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kh_kv/"/>
    </mc:Choice>
  </mc:AlternateContent>
  <xr:revisionPtr revIDLastSave="0" documentId="8_{9E76BD82-3E80-4A34-94A8-DCB4A92BA83F}" xr6:coauthVersionLast="47" xr6:coauthVersionMax="47" xr10:uidLastSave="{00000000-0000-0000-0000-000000000000}"/>
  <bookViews>
    <workbookView xWindow="-26220" yWindow="2580" windowWidth="15375" windowHeight="7875" xr2:uid="{AE6B2E85-0702-4B68-8222-3852D90270AF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31" i="1" l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<sst xmlns="http://schemas.openxmlformats.org/spreadsheetml/2006/main" count="15" uniqueCount="15">
  <si>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MODEL\SCENARIOS\2022\Parameterstudy_kh_kv\kh1_kv1.sr3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</si>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</sst>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46A13-FC6F-491B-BCDB-53B8BBBEAC1B}" name="Table1" displayName="Table1" ref="A3:N1931" totalsRowShown="0">
  <autoFilter ref="A3:N1931" xr:uid="{2B046A13-FC6F-491B-BCDB-53B8BBBEAC1B}"/>
  <tableColumns count="14">
    <tableColumn id="1" xr3:uid="{6CCFE0D5-EC3D-496A-920C-74842B47098E}" name="Time (day)"/>
    <tableColumn id="2" xr3:uid="{DE9E61F4-1051-4F01-9FA6-CB9158E38287}" name="Date" dataDxfId="0"/>
    <tableColumn id="3" xr3:uid="{E4D655F7-DDE3-45C6-A6A1-DE9DDA56EB32}" name="Hot well INJ-Well bottom hole temperature (C)"/>
    <tableColumn id="4" xr3:uid="{77820F35-1CA1-48EF-A4D6-CA5E95ED0B0B}" name="Hot well PROD-Well bottom hole temperature (C)"/>
    <tableColumn id="5" xr3:uid="{11A19620-ACC1-41CF-ACBE-49AEDFB578E4}" name="Warm well INJ-Well bottom hole temperature (C)"/>
    <tableColumn id="6" xr3:uid="{6881B776-B930-4626-9D06-18738D598924}" name="Warm well PROD-Well bottom hole temperature (C)"/>
    <tableColumn id="7" xr3:uid="{131265D1-6041-47B9-B66F-1A3633171E3A}" name="Hot well INJ-Well Bottom-hole Pressure (kPa)"/>
    <tableColumn id="8" xr3:uid="{19BAA284-70D6-4D4E-B4B4-C6CD798AAFD6}" name="Hot well PROD-Well Bottom-hole Pressure (kPa)"/>
    <tableColumn id="9" xr3:uid="{B13D7C63-3AA2-4C50-A57B-42B2C7737D26}" name="Warm well INJ-Well Bottom-hole Pressure (kPa)"/>
    <tableColumn id="10" xr3:uid="{0768BEEB-DC88-4767-8891-88F6C4BF023F}" name="Warm well PROD-Well Bottom-hole Pressure (kPa)"/>
    <tableColumn id="11" xr3:uid="{75D33CC8-7453-4331-A54B-6283E285ABE5}" name="Hot well INJ-Fluid Rate SC (m³/day)"/>
    <tableColumn id="12" xr3:uid="{3F8775BB-534A-444D-AEF8-41C05B16BA09}" name="Hot well PROD-Fluid Rate SC (m³/day)"/>
    <tableColumn id="13" xr3:uid="{51289509-0E27-46BB-9B38-8EC14C30AAA7}" name="Warm well INJ-Fluid Rate SC (m³/day)"/>
    <tableColumn id="14" xr3:uid="{C59A2802-02BE-4B4E-9008-B8B323485C33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1019-A2A0-4FA2-B2C0-2973AE129B84}">
  <dimension ref="A1:N1931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14.999998093</v>
      </c>
      <c r="G4">
        <v>1723.6602783000001</v>
      </c>
      <c r="H4">
        <v>1329.4145507999999</v>
      </c>
      <c r="I4">
        <v>1329.4047852000001</v>
      </c>
      <c r="J4">
        <v>935.15753173999997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15.000314713</v>
      </c>
      <c r="E5">
        <v>50</v>
      </c>
      <c r="F5">
        <v>14.999993324</v>
      </c>
      <c r="G5">
        <v>1723.6726074000001</v>
      </c>
      <c r="H5">
        <v>1329.4291992000001</v>
      </c>
      <c r="I5">
        <v>1329.3902588000001</v>
      </c>
      <c r="J5">
        <v>935.14294433999999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15.001023292999999</v>
      </c>
      <c r="E6">
        <v>50</v>
      </c>
      <c r="F6">
        <v>14.999977112</v>
      </c>
      <c r="G6">
        <v>1723.7094727000001</v>
      </c>
      <c r="H6">
        <v>1329.4730225000001</v>
      </c>
      <c r="I6">
        <v>1329.3465576000001</v>
      </c>
      <c r="J6">
        <v>935.09906006000006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15.003149986</v>
      </c>
      <c r="E7">
        <v>50</v>
      </c>
      <c r="F7">
        <v>14.999930382000001</v>
      </c>
      <c r="G7">
        <v>1723.8198242000001</v>
      </c>
      <c r="H7">
        <v>1329.6044922000001</v>
      </c>
      <c r="I7">
        <v>1329.2155762</v>
      </c>
      <c r="J7">
        <v>934.96759033000001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15.009527206</v>
      </c>
      <c r="E8">
        <v>50</v>
      </c>
      <c r="F8">
        <v>14.999788283999999</v>
      </c>
      <c r="G8">
        <v>1724.1505127</v>
      </c>
      <c r="H8">
        <v>1329.9984131000001</v>
      </c>
      <c r="I8">
        <v>1328.8233643000001</v>
      </c>
      <c r="J8">
        <v>934.57379149999997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15.028654099000001</v>
      </c>
      <c r="E9">
        <v>50</v>
      </c>
      <c r="F9">
        <v>14.999365807</v>
      </c>
      <c r="G9">
        <v>1725.1359863</v>
      </c>
      <c r="H9">
        <v>1331.1734618999999</v>
      </c>
      <c r="I9">
        <v>1327.6530762</v>
      </c>
      <c r="J9">
        <v>933.39892578000001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15.085990905999999</v>
      </c>
      <c r="E10">
        <v>50</v>
      </c>
      <c r="F10">
        <v>14.998118400999999</v>
      </c>
      <c r="G10">
        <v>1728.0367432</v>
      </c>
      <c r="H10">
        <v>1334.6418457</v>
      </c>
      <c r="I10">
        <v>1324.1990966999999</v>
      </c>
      <c r="J10">
        <v>929.93133545000001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15.257607459999999</v>
      </c>
      <c r="E11">
        <v>50</v>
      </c>
      <c r="F11">
        <v>14.994558334000001</v>
      </c>
      <c r="G11">
        <v>1736.2683105000001</v>
      </c>
      <c r="H11">
        <v>1344.5661620999999</v>
      </c>
      <c r="I11">
        <v>1314.3162841999999</v>
      </c>
      <c r="J11">
        <v>920.00939941000001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15.765865326</v>
      </c>
      <c r="E12">
        <v>50</v>
      </c>
      <c r="F12">
        <v>14.985223769999999</v>
      </c>
      <c r="G12">
        <v>1757.3814697</v>
      </c>
      <c r="H12">
        <v>1370.6340332</v>
      </c>
      <c r="I12">
        <v>1288.2872314000001</v>
      </c>
      <c r="J12">
        <v>893.87780762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2.2749999999999999E-2</v>
      </c>
      <c r="B13" s="1">
        <f>DATE(2010,5,1) + TIME(0,32,45)</f>
        <v>40299.022743055553</v>
      </c>
      <c r="C13">
        <v>80</v>
      </c>
      <c r="D13">
        <v>16.744359970000001</v>
      </c>
      <c r="E13">
        <v>50</v>
      </c>
      <c r="F13">
        <v>14.970755577</v>
      </c>
      <c r="G13">
        <v>1788.5955810999999</v>
      </c>
      <c r="H13">
        <v>1411.1156006000001</v>
      </c>
      <c r="I13">
        <v>1247.3829346</v>
      </c>
      <c r="J13">
        <v>852.81445312000005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3.5942000000000002E-2</v>
      </c>
      <c r="B14" s="1">
        <f>DATE(2010,5,1) + TIME(0,51,45)</f>
        <v>40299.035937499997</v>
      </c>
      <c r="C14">
        <v>80</v>
      </c>
      <c r="D14">
        <v>17.720663071000001</v>
      </c>
      <c r="E14">
        <v>50</v>
      </c>
      <c r="F14">
        <v>14.958985329000001</v>
      </c>
      <c r="G14">
        <v>1812.4960937999999</v>
      </c>
      <c r="H14">
        <v>1443.8977050999999</v>
      </c>
      <c r="I14">
        <v>1213.5540771000001</v>
      </c>
      <c r="J14">
        <v>818.85723876999998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4.9454999999999999E-2</v>
      </c>
      <c r="B15" s="1">
        <f>DATE(2010,5,1) + TIME(1,11,12)</f>
        <v>40299.049444444441</v>
      </c>
      <c r="C15">
        <v>80</v>
      </c>
      <c r="D15">
        <v>18.698793411</v>
      </c>
      <c r="E15">
        <v>50</v>
      </c>
      <c r="F15">
        <v>14.949306488</v>
      </c>
      <c r="G15">
        <v>1830.6717529</v>
      </c>
      <c r="H15">
        <v>1470.6311035000001</v>
      </c>
      <c r="I15">
        <v>1185.1463623</v>
      </c>
      <c r="J15">
        <v>790.34338378999996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6.3270000000000007E-2</v>
      </c>
      <c r="B16" s="1">
        <f>DATE(2010,5,1) + TIME(1,31,6)</f>
        <v>40299.063263888886</v>
      </c>
      <c r="C16">
        <v>80</v>
      </c>
      <c r="D16">
        <v>19.678314209</v>
      </c>
      <c r="E16">
        <v>50</v>
      </c>
      <c r="F16">
        <v>14.941290855</v>
      </c>
      <c r="G16">
        <v>1844.3310547000001</v>
      </c>
      <c r="H16">
        <v>1492.5341797000001</v>
      </c>
      <c r="I16">
        <v>1161.0134277</v>
      </c>
      <c r="J16">
        <v>766.12194824000005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7.7373999999999998E-2</v>
      </c>
      <c r="B17" s="1">
        <f>DATE(2010,5,1) + TIME(1,51,25)</f>
        <v>40299.077372685184</v>
      </c>
      <c r="C17">
        <v>80</v>
      </c>
      <c r="D17">
        <v>20.659461974999999</v>
      </c>
      <c r="E17">
        <v>50</v>
      </c>
      <c r="F17">
        <v>14.934597969</v>
      </c>
      <c r="G17">
        <v>1854.4521483999999</v>
      </c>
      <c r="H17">
        <v>1510.6014404</v>
      </c>
      <c r="I17">
        <v>1140.2640381000001</v>
      </c>
      <c r="J17">
        <v>745.29840088000003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9.1747999999999996E-2</v>
      </c>
      <c r="B18" s="1">
        <f>DATE(2010,5,1) + TIME(2,12,7)</f>
        <v>40299.091747685183</v>
      </c>
      <c r="C18">
        <v>80</v>
      </c>
      <c r="D18">
        <v>21.641090392999999</v>
      </c>
      <c r="E18">
        <v>50</v>
      </c>
      <c r="F18">
        <v>14.928966522</v>
      </c>
      <c r="G18">
        <v>1861.8148193</v>
      </c>
      <c r="H18">
        <v>1525.6228027</v>
      </c>
      <c r="I18">
        <v>1122.2180175999999</v>
      </c>
      <c r="J18">
        <v>727.18957520000004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0.106392</v>
      </c>
      <c r="B19" s="1">
        <f>DATE(2010,5,1) + TIME(2,33,12)</f>
        <v>40299.106388888889</v>
      </c>
      <c r="C19">
        <v>80</v>
      </c>
      <c r="D19">
        <v>22.622970581000001</v>
      </c>
      <c r="E19">
        <v>50</v>
      </c>
      <c r="F19">
        <v>14.924186707</v>
      </c>
      <c r="G19">
        <v>1867.0463867000001</v>
      </c>
      <c r="H19">
        <v>1538.2375488</v>
      </c>
      <c r="I19">
        <v>1106.3345947</v>
      </c>
      <c r="J19">
        <v>711.25262451000003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0.121306</v>
      </c>
      <c r="B20" s="1">
        <f>DATE(2010,5,1) + TIME(2,54,40)</f>
        <v>40299.121296296296</v>
      </c>
      <c r="C20">
        <v>80</v>
      </c>
      <c r="D20">
        <v>23.605176925999999</v>
      </c>
      <c r="E20">
        <v>50</v>
      </c>
      <c r="F20">
        <v>14.920095443999999</v>
      </c>
      <c r="G20">
        <v>1870.6324463000001</v>
      </c>
      <c r="H20">
        <v>1548.9465332</v>
      </c>
      <c r="I20">
        <v>1092.1959228999999</v>
      </c>
      <c r="J20">
        <v>697.06799316000001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0.13649</v>
      </c>
      <c r="B21" s="1">
        <f>DATE(2010,5,1) + TIME(3,16,32)</f>
        <v>40299.136481481481</v>
      </c>
      <c r="C21">
        <v>80</v>
      </c>
      <c r="D21">
        <v>24.587560654000001</v>
      </c>
      <c r="E21">
        <v>50</v>
      </c>
      <c r="F21">
        <v>14.916567801999999</v>
      </c>
      <c r="G21">
        <v>1872.9494629000001</v>
      </c>
      <c r="H21">
        <v>1558.1385498</v>
      </c>
      <c r="I21">
        <v>1079.480957</v>
      </c>
      <c r="J21">
        <v>684.31317138999998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0.151946</v>
      </c>
      <c r="B22" s="1">
        <f>DATE(2010,5,1) + TIME(3,38,48)</f>
        <v>40299.151944444442</v>
      </c>
      <c r="C22">
        <v>80</v>
      </c>
      <c r="D22">
        <v>25.570388793999999</v>
      </c>
      <c r="E22">
        <v>50</v>
      </c>
      <c r="F22">
        <v>14.913505554</v>
      </c>
      <c r="G22">
        <v>1874.2879639</v>
      </c>
      <c r="H22">
        <v>1566.1163329999999</v>
      </c>
      <c r="I22">
        <v>1067.9383545000001</v>
      </c>
      <c r="J22">
        <v>672.73590088000003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0.16767299999999999</v>
      </c>
      <c r="B23" s="1">
        <f>DATE(2010,5,1) + TIME(4,1,26)</f>
        <v>40299.167662037034</v>
      </c>
      <c r="C23">
        <v>80</v>
      </c>
      <c r="D23">
        <v>26.553079605000001</v>
      </c>
      <c r="E23">
        <v>50</v>
      </c>
      <c r="F23">
        <v>14.910829544</v>
      </c>
      <c r="G23">
        <v>1874.8706055</v>
      </c>
      <c r="H23">
        <v>1573.1130370999999</v>
      </c>
      <c r="I23">
        <v>1057.3745117000001</v>
      </c>
      <c r="J23">
        <v>662.14154053000004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0.18367600000000001</v>
      </c>
      <c r="B24" s="1">
        <f>DATE(2010,5,1) + TIME(4,24,29)</f>
        <v>40299.183668981481</v>
      </c>
      <c r="C24">
        <v>80</v>
      </c>
      <c r="D24">
        <v>27.535377501999999</v>
      </c>
      <c r="E24">
        <v>50</v>
      </c>
      <c r="F24">
        <v>14.908480644000001</v>
      </c>
      <c r="G24">
        <v>1874.8745117000001</v>
      </c>
      <c r="H24">
        <v>1579.3138428</v>
      </c>
      <c r="I24">
        <v>1047.6311035000001</v>
      </c>
      <c r="J24">
        <v>652.37109375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0.19996800000000001</v>
      </c>
      <c r="B25" s="1">
        <f>DATE(2010,5,1) + TIME(4,47,57)</f>
        <v>40299.199965277781</v>
      </c>
      <c r="C25">
        <v>80</v>
      </c>
      <c r="D25">
        <v>28.517488480000001</v>
      </c>
      <c r="E25">
        <v>50</v>
      </c>
      <c r="F25">
        <v>14.906406403</v>
      </c>
      <c r="G25">
        <v>1874.4349365</v>
      </c>
      <c r="H25">
        <v>1584.864624</v>
      </c>
      <c r="I25">
        <v>1038.5799560999999</v>
      </c>
      <c r="J25">
        <v>643.29608154000005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0.216557</v>
      </c>
      <c r="B26" s="1">
        <f>DATE(2010,5,1) + TIME(5,11,50)</f>
        <v>40299.216550925928</v>
      </c>
      <c r="C26">
        <v>80</v>
      </c>
      <c r="D26">
        <v>29.499359130999999</v>
      </c>
      <c r="E26">
        <v>50</v>
      </c>
      <c r="F26">
        <v>14.904568672</v>
      </c>
      <c r="G26">
        <v>1873.6560059000001</v>
      </c>
      <c r="H26">
        <v>1589.8786620999999</v>
      </c>
      <c r="I26">
        <v>1030.1204834</v>
      </c>
      <c r="J26">
        <v>634.81524658000001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0.23345199999999999</v>
      </c>
      <c r="B27" s="1">
        <f>DATE(2010,5,1) + TIME(5,36,10)</f>
        <v>40299.233449074076</v>
      </c>
      <c r="C27">
        <v>80</v>
      </c>
      <c r="D27">
        <v>30.481061935</v>
      </c>
      <c r="E27">
        <v>50</v>
      </c>
      <c r="F27">
        <v>14.902934073999999</v>
      </c>
      <c r="G27">
        <v>1872.6188964999999</v>
      </c>
      <c r="H27">
        <v>1594.4455565999999</v>
      </c>
      <c r="I27">
        <v>1022.1705933</v>
      </c>
      <c r="J27">
        <v>626.84631348000005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0.250662</v>
      </c>
      <c r="B28" s="1">
        <f>DATE(2010,5,1) + TIME(6,0,57)</f>
        <v>40299.250659722224</v>
      </c>
      <c r="C28">
        <v>80</v>
      </c>
      <c r="D28">
        <v>31.462450026999999</v>
      </c>
      <c r="E28">
        <v>50</v>
      </c>
      <c r="F28">
        <v>14.901476860000001</v>
      </c>
      <c r="G28">
        <v>1871.3864745999999</v>
      </c>
      <c r="H28">
        <v>1598.6362305</v>
      </c>
      <c r="I28">
        <v>1014.6638794</v>
      </c>
      <c r="J28">
        <v>619.32257079999999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0.26819799999999999</v>
      </c>
      <c r="B29" s="1">
        <f>DATE(2010,5,1) + TIME(6,26,12)</f>
        <v>40299.268194444441</v>
      </c>
      <c r="C29">
        <v>80</v>
      </c>
      <c r="D29">
        <v>32.443374634000001</v>
      </c>
      <c r="E29">
        <v>50</v>
      </c>
      <c r="F29">
        <v>14.900174141000001</v>
      </c>
      <c r="G29">
        <v>1870.0089111</v>
      </c>
      <c r="H29">
        <v>1602.5079346</v>
      </c>
      <c r="I29">
        <v>1007.5446167</v>
      </c>
      <c r="J29">
        <v>612.18786621000004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0.28607500000000002</v>
      </c>
      <c r="B30" s="1">
        <f>DATE(2010,5,1) + TIME(6,51,56)</f>
        <v>40299.286064814813</v>
      </c>
      <c r="C30">
        <v>80</v>
      </c>
      <c r="D30">
        <v>33.423912047999998</v>
      </c>
      <c r="E30">
        <v>50</v>
      </c>
      <c r="F30">
        <v>14.899009704999999</v>
      </c>
      <c r="G30">
        <v>1868.5258789</v>
      </c>
      <c r="H30">
        <v>1606.1079102000001</v>
      </c>
      <c r="I30">
        <v>1000.7653198</v>
      </c>
      <c r="J30">
        <v>605.39465331999997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0.30430699999999999</v>
      </c>
      <c r="B31" s="1">
        <f>DATE(2010,5,1) + TIME(7,18,12)</f>
        <v>40299.304305555554</v>
      </c>
      <c r="C31">
        <v>80</v>
      </c>
      <c r="D31">
        <v>34.404037475999999</v>
      </c>
      <c r="E31">
        <v>50</v>
      </c>
      <c r="F31">
        <v>14.897965430999999</v>
      </c>
      <c r="G31">
        <v>1866.9686279</v>
      </c>
      <c r="H31">
        <v>1609.4741211</v>
      </c>
      <c r="I31">
        <v>994.28674316000001</v>
      </c>
      <c r="J31">
        <v>598.90350341999999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0.322909</v>
      </c>
      <c r="B32" s="1">
        <f>DATE(2010,5,1) + TIME(7,44,59)</f>
        <v>40299.322905092595</v>
      </c>
      <c r="C32">
        <v>80</v>
      </c>
      <c r="D32">
        <v>35.383724213000001</v>
      </c>
      <c r="E32">
        <v>50</v>
      </c>
      <c r="F32">
        <v>14.897029877</v>
      </c>
      <c r="G32">
        <v>1865.3621826000001</v>
      </c>
      <c r="H32">
        <v>1612.6381836</v>
      </c>
      <c r="I32">
        <v>988.07543944999998</v>
      </c>
      <c r="J32">
        <v>592.68084716999999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0.34189599999999998</v>
      </c>
      <c r="B33" s="1">
        <f>DATE(2010,5,1) + TIME(8,12,19)</f>
        <v>40299.341886574075</v>
      </c>
      <c r="C33">
        <v>80</v>
      </c>
      <c r="D33">
        <v>36.362949370999999</v>
      </c>
      <c r="E33">
        <v>50</v>
      </c>
      <c r="F33">
        <v>14.896191597</v>
      </c>
      <c r="G33">
        <v>1863.7265625</v>
      </c>
      <c r="H33">
        <v>1615.6263428</v>
      </c>
      <c r="I33">
        <v>982.10284423999997</v>
      </c>
      <c r="J33">
        <v>586.69787598000005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0.36128700000000002</v>
      </c>
      <c r="B34" s="1">
        <f>DATE(2010,5,1) + TIME(8,40,15)</f>
        <v>40299.361284722225</v>
      </c>
      <c r="C34">
        <v>80</v>
      </c>
      <c r="D34">
        <v>37.341682433999999</v>
      </c>
      <c r="E34">
        <v>50</v>
      </c>
      <c r="F34">
        <v>14.895441054999999</v>
      </c>
      <c r="G34">
        <v>1862.0778809000001</v>
      </c>
      <c r="H34">
        <v>1618.4603271000001</v>
      </c>
      <c r="I34">
        <v>976.34405518000005</v>
      </c>
      <c r="J34">
        <v>580.92974853999999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0.38109799999999999</v>
      </c>
      <c r="B35" s="1">
        <f>DATE(2010,5,1) + TIME(9,8,46)</f>
        <v>40299.38108796296</v>
      </c>
      <c r="C35">
        <v>80</v>
      </c>
      <c r="D35">
        <v>38.319896698000001</v>
      </c>
      <c r="E35">
        <v>50</v>
      </c>
      <c r="F35">
        <v>14.894769669</v>
      </c>
      <c r="G35">
        <v>1860.4290771000001</v>
      </c>
      <c r="H35">
        <v>1621.1590576000001</v>
      </c>
      <c r="I35">
        <v>970.77746581999997</v>
      </c>
      <c r="J35">
        <v>575.35473633000004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0.40135100000000001</v>
      </c>
      <c r="B36" s="1">
        <f>DATE(2010,5,1) + TIME(9,37,56)</f>
        <v>40299.401342592595</v>
      </c>
      <c r="C36">
        <v>80</v>
      </c>
      <c r="D36">
        <v>39.29757309</v>
      </c>
      <c r="E36">
        <v>50</v>
      </c>
      <c r="F36">
        <v>14.894169807000001</v>
      </c>
      <c r="G36">
        <v>1858.7907714999999</v>
      </c>
      <c r="H36">
        <v>1623.7382812000001</v>
      </c>
      <c r="I36">
        <v>965.38415526999995</v>
      </c>
      <c r="J36">
        <v>569.95379638999998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0.422066</v>
      </c>
      <c r="B37" s="1">
        <f>DATE(2010,5,1) + TIME(10,7,46)</f>
        <v>40299.422060185185</v>
      </c>
      <c r="C37">
        <v>80</v>
      </c>
      <c r="D37">
        <v>40.274745940999999</v>
      </c>
      <c r="E37">
        <v>50</v>
      </c>
      <c r="F37">
        <v>14.893636703</v>
      </c>
      <c r="G37">
        <v>1857.1715088000001</v>
      </c>
      <c r="H37">
        <v>1626.2115478999999</v>
      </c>
      <c r="I37">
        <v>960.14733887</v>
      </c>
      <c r="J37">
        <v>564.71002196999996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0.44326500000000002</v>
      </c>
      <c r="B38" s="1">
        <f>DATE(2010,5,1) + TIME(10,38,18)</f>
        <v>40299.44326388889</v>
      </c>
      <c r="C38">
        <v>80</v>
      </c>
      <c r="D38">
        <v>41.251430511000002</v>
      </c>
      <c r="E38">
        <v>50</v>
      </c>
      <c r="F38">
        <v>14.893161773999999</v>
      </c>
      <c r="G38">
        <v>1855.5780029</v>
      </c>
      <c r="H38">
        <v>1628.5906981999999</v>
      </c>
      <c r="I38">
        <v>955.05230713000003</v>
      </c>
      <c r="J38">
        <v>559.60870361000002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0.46497100000000002</v>
      </c>
      <c r="B39" s="1">
        <f>DATE(2010,5,1) + TIME(11,9,33)</f>
        <v>40299.464965277781</v>
      </c>
      <c r="C39">
        <v>80</v>
      </c>
      <c r="D39">
        <v>42.227325438999998</v>
      </c>
      <c r="E39">
        <v>50</v>
      </c>
      <c r="F39">
        <v>14.892743111</v>
      </c>
      <c r="G39">
        <v>1854.0161132999999</v>
      </c>
      <c r="H39">
        <v>1630.8854980000001</v>
      </c>
      <c r="I39">
        <v>950.08612060999997</v>
      </c>
      <c r="J39">
        <v>554.63684081999997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0.48721199999999998</v>
      </c>
      <c r="B40" s="1">
        <f>DATE(2010,5,1) + TIME(11,41,35)</f>
        <v>40299.487210648149</v>
      </c>
      <c r="C40">
        <v>80</v>
      </c>
      <c r="D40">
        <v>43.202564240000001</v>
      </c>
      <c r="E40">
        <v>50</v>
      </c>
      <c r="F40">
        <v>14.892374039</v>
      </c>
      <c r="G40">
        <v>1852.4901123</v>
      </c>
      <c r="H40">
        <v>1633.1052245999999</v>
      </c>
      <c r="I40">
        <v>945.23590088000003</v>
      </c>
      <c r="J40">
        <v>549.78149413999995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0.51001799999999997</v>
      </c>
      <c r="B41" s="1">
        <f>DATE(2010,5,1) + TIME(12,14,25)</f>
        <v>40299.510011574072</v>
      </c>
      <c r="C41">
        <v>80</v>
      </c>
      <c r="D41">
        <v>44.177108765</v>
      </c>
      <c r="E41">
        <v>50</v>
      </c>
      <c r="F41">
        <v>14.892051696999999</v>
      </c>
      <c r="G41">
        <v>1851.0041504000001</v>
      </c>
      <c r="H41">
        <v>1635.2579346</v>
      </c>
      <c r="I41">
        <v>940.49053954999999</v>
      </c>
      <c r="J41">
        <v>545.03155518000005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0.53342000000000001</v>
      </c>
      <c r="B42" s="1">
        <f>DATE(2010,5,1) + TIME(12,48,7)</f>
        <v>40299.533414351848</v>
      </c>
      <c r="C42">
        <v>80</v>
      </c>
      <c r="D42">
        <v>45.150932312000002</v>
      </c>
      <c r="E42">
        <v>50</v>
      </c>
      <c r="F42">
        <v>14.891771317</v>
      </c>
      <c r="G42">
        <v>1849.5610352000001</v>
      </c>
      <c r="H42">
        <v>1637.3507079999999</v>
      </c>
      <c r="I42">
        <v>935.83996581999997</v>
      </c>
      <c r="J42">
        <v>540.37689208999996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0.55745100000000003</v>
      </c>
      <c r="B43" s="1">
        <f>DATE(2010,5,1) + TIME(13,22,43)</f>
        <v>40299.557442129626</v>
      </c>
      <c r="C43">
        <v>80</v>
      </c>
      <c r="D43">
        <v>46.123985290999997</v>
      </c>
      <c r="E43">
        <v>50</v>
      </c>
      <c r="F43">
        <v>14.891530991</v>
      </c>
      <c r="G43">
        <v>1848.1635742000001</v>
      </c>
      <c r="H43">
        <v>1639.3896483999999</v>
      </c>
      <c r="I43">
        <v>931.27490234000004</v>
      </c>
      <c r="J43">
        <v>535.80810546999999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0.58214699999999997</v>
      </c>
      <c r="B44" s="1">
        <f>DATE(2010,5,1) + TIME(13,58,17)</f>
        <v>40299.582141203704</v>
      </c>
      <c r="C44">
        <v>80</v>
      </c>
      <c r="D44">
        <v>47.096237183</v>
      </c>
      <c r="E44">
        <v>50</v>
      </c>
      <c r="F44">
        <v>14.891326904</v>
      </c>
      <c r="G44">
        <v>1846.8135986</v>
      </c>
      <c r="H44">
        <v>1641.3803711</v>
      </c>
      <c r="I44">
        <v>926.78668213000003</v>
      </c>
      <c r="J44">
        <v>531.31658935999997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0.60754799999999998</v>
      </c>
      <c r="B45" s="1">
        <f>DATE(2010,5,1) + TIME(14,34,52)</f>
        <v>40299.607546296298</v>
      </c>
      <c r="C45">
        <v>80</v>
      </c>
      <c r="D45">
        <v>48.067634583</v>
      </c>
      <c r="E45">
        <v>50</v>
      </c>
      <c r="F45">
        <v>14.891155243</v>
      </c>
      <c r="G45">
        <v>1845.5126952999999</v>
      </c>
      <c r="H45">
        <v>1643.328125</v>
      </c>
      <c r="I45">
        <v>922.3671875</v>
      </c>
      <c r="J45">
        <v>526.89422606999995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0.63369799999999998</v>
      </c>
      <c r="B46" s="1">
        <f>DATE(2010,5,1) + TIME(15,12,31)</f>
        <v>40299.633692129632</v>
      </c>
      <c r="C46">
        <v>80</v>
      </c>
      <c r="D46">
        <v>49.038135529000002</v>
      </c>
      <c r="E46">
        <v>50</v>
      </c>
      <c r="F46">
        <v>14.891015053</v>
      </c>
      <c r="G46">
        <v>1844.2623291</v>
      </c>
      <c r="H46">
        <v>1645.2373047000001</v>
      </c>
      <c r="I46">
        <v>918.00891113</v>
      </c>
      <c r="J46">
        <v>522.53338623000002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0.66064199999999995</v>
      </c>
      <c r="B47" s="1">
        <f>DATE(2010,5,1) + TIME(15,51,19)</f>
        <v>40299.660636574074</v>
      </c>
      <c r="C47">
        <v>80</v>
      </c>
      <c r="D47">
        <v>50.007678986000002</v>
      </c>
      <c r="E47">
        <v>50</v>
      </c>
      <c r="F47">
        <v>14.890904427000001</v>
      </c>
      <c r="G47">
        <v>1843.0634766000001</v>
      </c>
      <c r="H47">
        <v>1647.1121826000001</v>
      </c>
      <c r="I47">
        <v>913.70452881000006</v>
      </c>
      <c r="J47">
        <v>518.22674560999997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0.68843200000000004</v>
      </c>
      <c r="B48" s="1">
        <f>DATE(2010,5,1) + TIME(16,31,20)</f>
        <v>40299.688425925924</v>
      </c>
      <c r="C48">
        <v>80</v>
      </c>
      <c r="D48">
        <v>50.975746155000003</v>
      </c>
      <c r="E48">
        <v>50</v>
      </c>
      <c r="F48">
        <v>14.89081955</v>
      </c>
      <c r="G48">
        <v>1841.9173584</v>
      </c>
      <c r="H48">
        <v>1648.9566649999999</v>
      </c>
      <c r="I48">
        <v>909.44720458999996</v>
      </c>
      <c r="J48">
        <v>513.96746826000003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0.71713899999999997</v>
      </c>
      <c r="B49" s="1">
        <f>DATE(2010,5,1) + TIME(17,12,40)</f>
        <v>40299.717129629629</v>
      </c>
      <c r="C49">
        <v>80</v>
      </c>
      <c r="D49">
        <v>51.943176270000002</v>
      </c>
      <c r="E49">
        <v>50</v>
      </c>
      <c r="F49">
        <v>14.890758514</v>
      </c>
      <c r="G49">
        <v>1840.8245850000001</v>
      </c>
      <c r="H49">
        <v>1650.7753906</v>
      </c>
      <c r="I49">
        <v>905.22821045000001</v>
      </c>
      <c r="J49">
        <v>509.74676513999998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0.74681200000000003</v>
      </c>
      <c r="B50" s="1">
        <f>DATE(2010,5,1) + TIME(17,55,24)</f>
        <v>40299.746805555558</v>
      </c>
      <c r="C50">
        <v>80</v>
      </c>
      <c r="D50">
        <v>52.909469604000002</v>
      </c>
      <c r="E50">
        <v>50</v>
      </c>
      <c r="F50">
        <v>14.890720367</v>
      </c>
      <c r="G50">
        <v>1839.7863769999999</v>
      </c>
      <c r="H50">
        <v>1652.5711670000001</v>
      </c>
      <c r="I50">
        <v>901.04302978999999</v>
      </c>
      <c r="J50">
        <v>505.56018066000001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0.77752100000000002</v>
      </c>
      <c r="B51" s="1">
        <f>DATE(2010,5,1) + TIME(18,39,37)</f>
        <v>40299.777511574073</v>
      </c>
      <c r="C51">
        <v>80</v>
      </c>
      <c r="D51">
        <v>53.874546051000003</v>
      </c>
      <c r="E51">
        <v>50</v>
      </c>
      <c r="F51">
        <v>14.890703201000001</v>
      </c>
      <c r="G51">
        <v>1838.8033447</v>
      </c>
      <c r="H51">
        <v>1654.3470459</v>
      </c>
      <c r="I51">
        <v>896.88531493999994</v>
      </c>
      <c r="J51">
        <v>501.40124512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0.80934099999999998</v>
      </c>
      <c r="B52" s="1">
        <f>DATE(2010,5,1) + TIME(19,25,27)</f>
        <v>40299.809340277781</v>
      </c>
      <c r="C52">
        <v>80</v>
      </c>
      <c r="D52">
        <v>54.838321686</v>
      </c>
      <c r="E52">
        <v>50</v>
      </c>
      <c r="F52">
        <v>14.890704155</v>
      </c>
      <c r="G52">
        <v>1837.8756103999999</v>
      </c>
      <c r="H52">
        <v>1656.1062012</v>
      </c>
      <c r="I52">
        <v>892.74865723000005</v>
      </c>
      <c r="J52">
        <v>497.26364136000001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0.84235599999999999</v>
      </c>
      <c r="B53" s="1">
        <f>DATE(2010,5,1) + TIME(20,12,59)</f>
        <v>40299.842349537037</v>
      </c>
      <c r="C53">
        <v>80</v>
      </c>
      <c r="D53">
        <v>55.800701140999998</v>
      </c>
      <c r="E53">
        <v>50</v>
      </c>
      <c r="F53">
        <v>14.890723228000001</v>
      </c>
      <c r="G53">
        <v>1837.0041504000001</v>
      </c>
      <c r="H53">
        <v>1657.8518065999999</v>
      </c>
      <c r="I53">
        <v>888.62683104999996</v>
      </c>
      <c r="J53">
        <v>493.14099120999998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0.87665000000000004</v>
      </c>
      <c r="B54" s="1">
        <f>DATE(2010,5,1) + TIME(21,2,22)</f>
        <v>40299.876643518517</v>
      </c>
      <c r="C54">
        <v>80</v>
      </c>
      <c r="D54">
        <v>56.761230468999997</v>
      </c>
      <c r="E54">
        <v>50</v>
      </c>
      <c r="F54">
        <v>14.890757560999999</v>
      </c>
      <c r="G54">
        <v>1836.1898193</v>
      </c>
      <c r="H54">
        <v>1659.5860596</v>
      </c>
      <c r="I54">
        <v>884.51483154000005</v>
      </c>
      <c r="J54">
        <v>489.02838135000002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0.91231499999999999</v>
      </c>
      <c r="B55" s="1">
        <f>DATE(2010,5,1) + TIME(21,53,43)</f>
        <v>40299.912303240744</v>
      </c>
      <c r="C55">
        <v>80</v>
      </c>
      <c r="D55">
        <v>57.719524384000003</v>
      </c>
      <c r="E55">
        <v>50</v>
      </c>
      <c r="F55">
        <v>14.890806198</v>
      </c>
      <c r="G55">
        <v>1835.4337158000001</v>
      </c>
      <c r="H55">
        <v>1661.3117675999999</v>
      </c>
      <c r="I55">
        <v>880.40734863</v>
      </c>
      <c r="J55">
        <v>484.92041016000002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0.94946600000000003</v>
      </c>
      <c r="B56" s="1">
        <f>DATE(2010,5,1) + TIME(22,47,13)</f>
        <v>40299.949456018519</v>
      </c>
      <c r="C56">
        <v>80</v>
      </c>
      <c r="D56">
        <v>58.675437926999997</v>
      </c>
      <c r="E56">
        <v>50</v>
      </c>
      <c r="F56">
        <v>14.890868187000001</v>
      </c>
      <c r="G56">
        <v>1834.7370605000001</v>
      </c>
      <c r="H56">
        <v>1663.0321045000001</v>
      </c>
      <c r="I56">
        <v>876.29760741999996</v>
      </c>
      <c r="J56">
        <v>480.81036376999998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0.98823399999999995</v>
      </c>
      <c r="B57" s="1">
        <f>DATE(2010,5,1) + TIME(23,43,3)</f>
        <v>40299.988229166665</v>
      </c>
      <c r="C57">
        <v>80</v>
      </c>
      <c r="D57">
        <v>59.628803253000001</v>
      </c>
      <c r="E57">
        <v>50</v>
      </c>
      <c r="F57">
        <v>14.890940666000001</v>
      </c>
      <c r="G57">
        <v>1834.1010742000001</v>
      </c>
      <c r="H57">
        <v>1664.7502440999999</v>
      </c>
      <c r="I57">
        <v>872.17883300999995</v>
      </c>
      <c r="J57">
        <v>476.69137573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1.0287059999999999</v>
      </c>
      <c r="B58" s="1">
        <f>DATE(2010,5,2) + TIME(0,41,20)</f>
        <v>40300.028703703705</v>
      </c>
      <c r="C58">
        <v>80</v>
      </c>
      <c r="D58">
        <v>60.577663422000001</v>
      </c>
      <c r="E58">
        <v>50</v>
      </c>
      <c r="F58">
        <v>14.891023636</v>
      </c>
      <c r="G58">
        <v>1833.5279541</v>
      </c>
      <c r="H58">
        <v>1666.4670410000001</v>
      </c>
      <c r="I58">
        <v>868.04949951000003</v>
      </c>
      <c r="J58">
        <v>472.56192017000001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1.070967</v>
      </c>
      <c r="B59" s="1">
        <f>DATE(2010,5,2) + TIME(1,42,11)</f>
        <v>40300.070960648147</v>
      </c>
      <c r="C59">
        <v>80</v>
      </c>
      <c r="D59">
        <v>61.520397185999997</v>
      </c>
      <c r="E59">
        <v>50</v>
      </c>
      <c r="F59">
        <v>14.891113281000001</v>
      </c>
      <c r="G59">
        <v>1833.0202637</v>
      </c>
      <c r="H59">
        <v>1668.1827393000001</v>
      </c>
      <c r="I59">
        <v>863.90893555000002</v>
      </c>
      <c r="J59">
        <v>468.42138671999999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1.1151340000000001</v>
      </c>
      <c r="B60" s="1">
        <f>DATE(2010,5,2) + TIME(2,45,47)</f>
        <v>40300.115127314813</v>
      </c>
      <c r="C60">
        <v>80</v>
      </c>
      <c r="D60">
        <v>62.455989838000001</v>
      </c>
      <c r="E60">
        <v>50</v>
      </c>
      <c r="F60">
        <v>14.891210556000001</v>
      </c>
      <c r="G60">
        <v>1832.5799560999999</v>
      </c>
      <c r="H60">
        <v>1669.8994141000001</v>
      </c>
      <c r="I60">
        <v>859.75408935999997</v>
      </c>
      <c r="J60">
        <v>464.26663208000002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1.1613819999999999</v>
      </c>
      <c r="B61" s="1">
        <f>DATE(2010,5,2) + TIME(3,52,23)</f>
        <v>40300.161377314813</v>
      </c>
      <c r="C61">
        <v>80</v>
      </c>
      <c r="D61">
        <v>63.383964538999997</v>
      </c>
      <c r="E61">
        <v>50</v>
      </c>
      <c r="F61">
        <v>14.891311646</v>
      </c>
      <c r="G61">
        <v>1832.2086182</v>
      </c>
      <c r="H61">
        <v>1671.6204834</v>
      </c>
      <c r="I61">
        <v>855.57794189000003</v>
      </c>
      <c r="J61">
        <v>460.09060669000002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1.209951</v>
      </c>
      <c r="B62" s="1">
        <f>DATE(2010,5,2) + TIME(5,2,19)</f>
        <v>40300.20994212963</v>
      </c>
      <c r="C62">
        <v>80</v>
      </c>
      <c r="D62">
        <v>64.304611206000004</v>
      </c>
      <c r="E62">
        <v>50</v>
      </c>
      <c r="F62">
        <v>14.891416550000001</v>
      </c>
      <c r="G62">
        <v>1831.9082031</v>
      </c>
      <c r="H62">
        <v>1673.3515625</v>
      </c>
      <c r="I62">
        <v>851.36901854999996</v>
      </c>
      <c r="J62">
        <v>455.88186646000003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1.2610440000000001</v>
      </c>
      <c r="B63" s="1">
        <f>DATE(2010,5,2) + TIME(6,15,54)</f>
        <v>40300.261041666665</v>
      </c>
      <c r="C63">
        <v>80</v>
      </c>
      <c r="D63">
        <v>65.216873168999996</v>
      </c>
      <c r="E63">
        <v>50</v>
      </c>
      <c r="F63">
        <v>14.891523361000001</v>
      </c>
      <c r="G63">
        <v>1831.6812743999999</v>
      </c>
      <c r="H63">
        <v>1675.0954589999999</v>
      </c>
      <c r="I63">
        <v>847.12158203000001</v>
      </c>
      <c r="J63">
        <v>451.63455199999999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1.3149</v>
      </c>
      <c r="B64" s="1">
        <f>DATE(2010,5,2) + TIME(7,33,27)</f>
        <v>40300.314895833333</v>
      </c>
      <c r="C64">
        <v>80</v>
      </c>
      <c r="D64">
        <v>66.119834900000001</v>
      </c>
      <c r="E64">
        <v>50</v>
      </c>
      <c r="F64">
        <v>14.891630172999999</v>
      </c>
      <c r="G64">
        <v>1831.5310059000001</v>
      </c>
      <c r="H64">
        <v>1676.8558350000001</v>
      </c>
      <c r="I64">
        <v>842.82843018000005</v>
      </c>
      <c r="J64">
        <v>447.34161376999998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1.3718250000000001</v>
      </c>
      <c r="B65" s="1">
        <f>DATE(2010,5,2) + TIME(8,55,25)</f>
        <v>40300.371817129628</v>
      </c>
      <c r="C65">
        <v>80</v>
      </c>
      <c r="D65">
        <v>67.012702942000004</v>
      </c>
      <c r="E65">
        <v>50</v>
      </c>
      <c r="F65">
        <v>14.891735077</v>
      </c>
      <c r="G65">
        <v>1831.4610596</v>
      </c>
      <c r="H65">
        <v>1678.6376952999999</v>
      </c>
      <c r="I65">
        <v>838.47955321999996</v>
      </c>
      <c r="J65">
        <v>442.99291992000002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1.4321299999999999</v>
      </c>
      <c r="B66" s="1">
        <f>DATE(2010,5,2) + TIME(10,22,16)</f>
        <v>40300.432129629633</v>
      </c>
      <c r="C66">
        <v>80</v>
      </c>
      <c r="D66">
        <v>67.894149780000006</v>
      </c>
      <c r="E66">
        <v>50</v>
      </c>
      <c r="F66">
        <v>14.891838074000001</v>
      </c>
      <c r="G66">
        <v>1831.4759521000001</v>
      </c>
      <c r="H66">
        <v>1680.4454346</v>
      </c>
      <c r="I66">
        <v>834.06677246000004</v>
      </c>
      <c r="J66">
        <v>438.58023071000002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1.4924409999999999</v>
      </c>
      <c r="B67" s="1">
        <f>DATE(2010,5,2) + TIME(11,49,6)</f>
        <v>40300.492430555554</v>
      </c>
      <c r="C67">
        <v>80</v>
      </c>
      <c r="D67">
        <v>68.715515136999997</v>
      </c>
      <c r="E67">
        <v>50</v>
      </c>
      <c r="F67">
        <v>14.891926764999999</v>
      </c>
      <c r="G67">
        <v>1831.5526123</v>
      </c>
      <c r="H67">
        <v>1682.1571045000001</v>
      </c>
      <c r="I67">
        <v>829.83239746000004</v>
      </c>
      <c r="J67">
        <v>434.34588623000002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1.5529489999999999</v>
      </c>
      <c r="B68" s="1">
        <f>DATE(2010,5,2) + TIME(13,16,14)</f>
        <v>40300.552939814814</v>
      </c>
      <c r="C68">
        <v>80</v>
      </c>
      <c r="D68">
        <v>69.483116150000001</v>
      </c>
      <c r="E68">
        <v>50</v>
      </c>
      <c r="F68">
        <v>14.892003059</v>
      </c>
      <c r="G68">
        <v>1831.6856689000001</v>
      </c>
      <c r="H68">
        <v>1683.7927245999999</v>
      </c>
      <c r="I68">
        <v>825.75036621000004</v>
      </c>
      <c r="J68">
        <v>430.26379394999998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1.61375</v>
      </c>
      <c r="B69" s="1">
        <f>DATE(2010,5,2) + TIME(14,43,48)</f>
        <v>40300.613749999997</v>
      </c>
      <c r="C69">
        <v>80</v>
      </c>
      <c r="D69">
        <v>70.201179503999995</v>
      </c>
      <c r="E69">
        <v>50</v>
      </c>
      <c r="F69">
        <v>14.892066002</v>
      </c>
      <c r="G69">
        <v>1831.8753661999999</v>
      </c>
      <c r="H69">
        <v>1685.3669434000001</v>
      </c>
      <c r="I69">
        <v>821.80383300999995</v>
      </c>
      <c r="J69">
        <v>426.31710815000002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1.674939</v>
      </c>
      <c r="B70" s="1">
        <f>DATE(2010,5,2) + TIME(16,11,54)</f>
        <v>40300.674930555557</v>
      </c>
      <c r="C70">
        <v>80</v>
      </c>
      <c r="D70">
        <v>70.873352050999998</v>
      </c>
      <c r="E70">
        <v>50</v>
      </c>
      <c r="F70">
        <v>14.892118454</v>
      </c>
      <c r="G70">
        <v>1832.1199951000001</v>
      </c>
      <c r="H70">
        <v>1686.8896483999999</v>
      </c>
      <c r="I70">
        <v>817.97808838000003</v>
      </c>
      <c r="J70">
        <v>422.49111937999999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1.736607</v>
      </c>
      <c r="B71" s="1">
        <f>DATE(2010,5,2) + TIME(17,40,42)</f>
        <v>40300.736597222225</v>
      </c>
      <c r="C71">
        <v>80</v>
      </c>
      <c r="D71">
        <v>71.503425598000007</v>
      </c>
      <c r="E71">
        <v>50</v>
      </c>
      <c r="F71">
        <v>14.892158508</v>
      </c>
      <c r="G71">
        <v>1832.416626</v>
      </c>
      <c r="H71">
        <v>1688.3687743999999</v>
      </c>
      <c r="I71">
        <v>814.26025390999996</v>
      </c>
      <c r="J71">
        <v>418.77291869999999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1.7988409999999999</v>
      </c>
      <c r="B72" s="1">
        <f>DATE(2010,5,2) + TIME(19,10,19)</f>
        <v>40300.798831018517</v>
      </c>
      <c r="C72">
        <v>80</v>
      </c>
      <c r="D72">
        <v>72.094444275000001</v>
      </c>
      <c r="E72">
        <v>50</v>
      </c>
      <c r="F72">
        <v>14.892188072</v>
      </c>
      <c r="G72">
        <v>1832.7623291</v>
      </c>
      <c r="H72">
        <v>1689.8104248</v>
      </c>
      <c r="I72">
        <v>810.63903808999999</v>
      </c>
      <c r="J72">
        <v>415.15124512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1.861729</v>
      </c>
      <c r="B73" s="1">
        <f>DATE(2010,5,2) + TIME(20,40,53)</f>
        <v>40300.861724537041</v>
      </c>
      <c r="C73">
        <v>80</v>
      </c>
      <c r="D73">
        <v>72.649108886999997</v>
      </c>
      <c r="E73">
        <v>50</v>
      </c>
      <c r="F73">
        <v>14.892208098999999</v>
      </c>
      <c r="G73">
        <v>1833.1541748</v>
      </c>
      <c r="H73">
        <v>1691.2196045000001</v>
      </c>
      <c r="I73">
        <v>807.10430908000001</v>
      </c>
      <c r="J73">
        <v>411.61596680000002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1.9253579999999999</v>
      </c>
      <c r="B74" s="1">
        <f>DATE(2010,5,2) + TIME(22,12,30)</f>
        <v>40300.925347222219</v>
      </c>
      <c r="C74">
        <v>80</v>
      </c>
      <c r="D74">
        <v>73.169868468999994</v>
      </c>
      <c r="E74">
        <v>50</v>
      </c>
      <c r="F74">
        <v>14.892217636</v>
      </c>
      <c r="G74">
        <v>1833.5892334</v>
      </c>
      <c r="H74">
        <v>1692.6005858999999</v>
      </c>
      <c r="I74">
        <v>803.64709473000005</v>
      </c>
      <c r="J74">
        <v>408.15811157000002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1.9898119999999999</v>
      </c>
      <c r="B75" s="1">
        <f>DATE(2010,5,2) + TIME(23,45,19)</f>
        <v>40300.989803240744</v>
      </c>
      <c r="C75">
        <v>80</v>
      </c>
      <c r="D75">
        <v>73.658912658999995</v>
      </c>
      <c r="E75">
        <v>50</v>
      </c>
      <c r="F75">
        <v>14.892217636</v>
      </c>
      <c r="G75">
        <v>1834.0651855000001</v>
      </c>
      <c r="H75">
        <v>1693.9567870999999</v>
      </c>
      <c r="I75">
        <v>800.25933838000003</v>
      </c>
      <c r="J75">
        <v>404.76965331999997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2.0551699999999999</v>
      </c>
      <c r="B76" s="1">
        <f>DATE(2010,5,3) + TIME(1,19,26)</f>
        <v>40301.055162037039</v>
      </c>
      <c r="C76">
        <v>80</v>
      </c>
      <c r="D76">
        <v>74.118156432999996</v>
      </c>
      <c r="E76">
        <v>50</v>
      </c>
      <c r="F76">
        <v>14.892209053</v>
      </c>
      <c r="G76">
        <v>1834.5797118999999</v>
      </c>
      <c r="H76">
        <v>1695.2913818</v>
      </c>
      <c r="I76">
        <v>796.93426513999998</v>
      </c>
      <c r="J76">
        <v>401.44372558999999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2.1215359999999999</v>
      </c>
      <c r="B77" s="1">
        <f>DATE(2010,5,3) + TIME(2,55,0)</f>
        <v>40301.121527777781</v>
      </c>
      <c r="C77">
        <v>80</v>
      </c>
      <c r="D77">
        <v>74.549522400000001</v>
      </c>
      <c r="E77">
        <v>50</v>
      </c>
      <c r="F77">
        <v>14.892192841</v>
      </c>
      <c r="G77">
        <v>1835.1312256000001</v>
      </c>
      <c r="H77">
        <v>1696.6075439000001</v>
      </c>
      <c r="I77">
        <v>793.66436768000005</v>
      </c>
      <c r="J77">
        <v>398.17297363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2.1890049999999999</v>
      </c>
      <c r="B78" s="1">
        <f>DATE(2010,5,3) + TIME(4,32,10)</f>
        <v>40301.189004629632</v>
      </c>
      <c r="C78">
        <v>80</v>
      </c>
      <c r="D78">
        <v>74.954673767000003</v>
      </c>
      <c r="E78">
        <v>50</v>
      </c>
      <c r="F78">
        <v>14.892168045</v>
      </c>
      <c r="G78">
        <v>1835.7180175999999</v>
      </c>
      <c r="H78">
        <v>1697.9079589999999</v>
      </c>
      <c r="I78">
        <v>790.44348145000004</v>
      </c>
      <c r="J78">
        <v>394.95114136000001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2.2576749999999999</v>
      </c>
      <c r="B79" s="1">
        <f>DATE(2010,5,3) + TIME(6,11,3)</f>
        <v>40301.257673611108</v>
      </c>
      <c r="C79">
        <v>80</v>
      </c>
      <c r="D79">
        <v>75.334854125999996</v>
      </c>
      <c r="E79">
        <v>50</v>
      </c>
      <c r="F79">
        <v>14.892136574</v>
      </c>
      <c r="G79">
        <v>1836.3387451000001</v>
      </c>
      <c r="H79">
        <v>1699.1949463000001</v>
      </c>
      <c r="I79">
        <v>787.26580810999997</v>
      </c>
      <c r="J79">
        <v>391.77246093999997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2.3276490000000001</v>
      </c>
      <c r="B80" s="1">
        <f>DATE(2010,5,3) + TIME(7,51,48)</f>
        <v>40301.327638888892</v>
      </c>
      <c r="C80">
        <v>80</v>
      </c>
      <c r="D80">
        <v>75.691696167000003</v>
      </c>
      <c r="E80">
        <v>50</v>
      </c>
      <c r="F80">
        <v>14.892098427000001</v>
      </c>
      <c r="G80">
        <v>1836.9924315999999</v>
      </c>
      <c r="H80">
        <v>1700.4707031</v>
      </c>
      <c r="I80">
        <v>784.12597656000003</v>
      </c>
      <c r="J80">
        <v>388.63156128000003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2.3990360000000002</v>
      </c>
      <c r="B81" s="1">
        <f>DATE(2010,5,3) + TIME(9,34,36)</f>
        <v>40301.399027777778</v>
      </c>
      <c r="C81">
        <v>80</v>
      </c>
      <c r="D81">
        <v>76.026542664000004</v>
      </c>
      <c r="E81">
        <v>50</v>
      </c>
      <c r="F81">
        <v>14.892053604000001</v>
      </c>
      <c r="G81">
        <v>1837.6778564000001</v>
      </c>
      <c r="H81">
        <v>1701.7373047000001</v>
      </c>
      <c r="I81">
        <v>781.01892090000001</v>
      </c>
      <c r="J81">
        <v>385.52334595000002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2.4719380000000002</v>
      </c>
      <c r="B82" s="1">
        <f>DATE(2010,5,3) + TIME(11,19,35)</f>
        <v>40301.471932870372</v>
      </c>
      <c r="C82">
        <v>80</v>
      </c>
      <c r="D82">
        <v>76.340515136999997</v>
      </c>
      <c r="E82">
        <v>50</v>
      </c>
      <c r="F82">
        <v>14.892003059</v>
      </c>
      <c r="G82">
        <v>1838.394043</v>
      </c>
      <c r="H82">
        <v>1702.9964600000001</v>
      </c>
      <c r="I82">
        <v>777.94030762</v>
      </c>
      <c r="J82">
        <v>382.44351196000002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2.546421</v>
      </c>
      <c r="B83" s="1">
        <f>DATE(2010,5,3) + TIME(13,6,50)</f>
        <v>40301.546412037038</v>
      </c>
      <c r="C83">
        <v>80</v>
      </c>
      <c r="D83">
        <v>76.634544372999997</v>
      </c>
      <c r="E83">
        <v>50</v>
      </c>
      <c r="F83">
        <v>14.891947746</v>
      </c>
      <c r="G83">
        <v>1839.1392822</v>
      </c>
      <c r="H83">
        <v>1704.2486572</v>
      </c>
      <c r="I83">
        <v>774.88781738</v>
      </c>
      <c r="J83">
        <v>379.38973999000001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2.622611</v>
      </c>
      <c r="B84" s="1">
        <f>DATE(2010,5,3) + TIME(14,56,33)</f>
        <v>40301.622604166667</v>
      </c>
      <c r="C84">
        <v>80</v>
      </c>
      <c r="D84">
        <v>76.909713745000005</v>
      </c>
      <c r="E84">
        <v>50</v>
      </c>
      <c r="F84">
        <v>14.891886711</v>
      </c>
      <c r="G84">
        <v>1839.9129639</v>
      </c>
      <c r="H84">
        <v>1705.4959716999999</v>
      </c>
      <c r="I84">
        <v>771.85687256000006</v>
      </c>
      <c r="J84">
        <v>376.35742188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2.7006459999999999</v>
      </c>
      <c r="B85" s="1">
        <f>DATE(2010,5,3) + TIME(16,48,55)</f>
        <v>40301.700636574074</v>
      </c>
      <c r="C85">
        <v>80</v>
      </c>
      <c r="D85">
        <v>77.167022704999994</v>
      </c>
      <c r="E85">
        <v>50</v>
      </c>
      <c r="F85">
        <v>14.891820908</v>
      </c>
      <c r="G85">
        <v>1840.7148437999999</v>
      </c>
      <c r="H85">
        <v>1706.7398682</v>
      </c>
      <c r="I85">
        <v>768.84301758000004</v>
      </c>
      <c r="J85">
        <v>373.34225464000002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2.7806920000000002</v>
      </c>
      <c r="B86" s="1">
        <f>DATE(2010,5,3) + TIME(18,44,11)</f>
        <v>40301.780682870369</v>
      </c>
      <c r="C86">
        <v>80</v>
      </c>
      <c r="D86">
        <v>77.407478333</v>
      </c>
      <c r="E86">
        <v>50</v>
      </c>
      <c r="F86">
        <v>14.891752242999999</v>
      </c>
      <c r="G86">
        <v>1841.5446777</v>
      </c>
      <c r="H86">
        <v>1707.9826660000001</v>
      </c>
      <c r="I86">
        <v>765.84136963000003</v>
      </c>
      <c r="J86">
        <v>370.33917236000002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2.8629069999999999</v>
      </c>
      <c r="B87" s="1">
        <f>DATE(2010,5,3) + TIME(20,42,35)</f>
        <v>40301.862905092596</v>
      </c>
      <c r="C87">
        <v>80</v>
      </c>
      <c r="D87">
        <v>77.631935119999994</v>
      </c>
      <c r="E87">
        <v>50</v>
      </c>
      <c r="F87">
        <v>14.89167881</v>
      </c>
      <c r="G87">
        <v>1842.4023437999999</v>
      </c>
      <c r="H87">
        <v>1709.2259521000001</v>
      </c>
      <c r="I87">
        <v>762.84783935999997</v>
      </c>
      <c r="J87">
        <v>367.34411620999998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2.9474480000000001</v>
      </c>
      <c r="B88" s="1">
        <f>DATE(2010,5,3) + TIME(22,44,19)</f>
        <v>40301.947442129633</v>
      </c>
      <c r="C88">
        <v>80</v>
      </c>
      <c r="D88">
        <v>77.841186523000005</v>
      </c>
      <c r="E88">
        <v>50</v>
      </c>
      <c r="F88">
        <v>14.891602516000001</v>
      </c>
      <c r="G88">
        <v>1843.2873535000001</v>
      </c>
      <c r="H88">
        <v>1710.4707031</v>
      </c>
      <c r="I88">
        <v>759.85870361000002</v>
      </c>
      <c r="J88">
        <v>364.35351562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3.0345019999999998</v>
      </c>
      <c r="B89" s="1">
        <f>DATE(2010,5,4) + TIME(0,49,40)</f>
        <v>40302.034490740742</v>
      </c>
      <c r="C89">
        <v>80</v>
      </c>
      <c r="D89">
        <v>78.035987853999998</v>
      </c>
      <c r="E89">
        <v>50</v>
      </c>
      <c r="F89">
        <v>14.891522408</v>
      </c>
      <c r="G89">
        <v>1844.1999512</v>
      </c>
      <c r="H89">
        <v>1711.71875</v>
      </c>
      <c r="I89">
        <v>756.86999512</v>
      </c>
      <c r="J89">
        <v>361.36328125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3.1241729999999999</v>
      </c>
      <c r="B90" s="1">
        <f>DATE(2010,5,4) + TIME(2,58,48)</f>
        <v>40302.124166666668</v>
      </c>
      <c r="C90">
        <v>80</v>
      </c>
      <c r="D90">
        <v>78.216896057</v>
      </c>
      <c r="E90">
        <v>50</v>
      </c>
      <c r="F90">
        <v>14.891441345</v>
      </c>
      <c r="G90">
        <v>1845.1384277</v>
      </c>
      <c r="H90">
        <v>1712.9694824000001</v>
      </c>
      <c r="I90">
        <v>753.88085937999995</v>
      </c>
      <c r="J90">
        <v>358.37249756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3.216548</v>
      </c>
      <c r="B91" s="1">
        <f>DATE(2010,5,4) + TIME(5,11,49)</f>
        <v>40302.216539351852</v>
      </c>
      <c r="C91">
        <v>80</v>
      </c>
      <c r="D91">
        <v>78.384422302000004</v>
      </c>
      <c r="E91">
        <v>50</v>
      </c>
      <c r="F91">
        <v>14.891357422</v>
      </c>
      <c r="G91">
        <v>1846.1014404</v>
      </c>
      <c r="H91">
        <v>1714.2226562000001</v>
      </c>
      <c r="I91">
        <v>750.89105225000003</v>
      </c>
      <c r="J91">
        <v>355.38110352000001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3.3117179999999999</v>
      </c>
      <c r="B92" s="1">
        <f>DATE(2010,5,4) + TIME(7,28,52)</f>
        <v>40302.311712962961</v>
      </c>
      <c r="C92">
        <v>80</v>
      </c>
      <c r="D92">
        <v>78.539123535000002</v>
      </c>
      <c r="E92">
        <v>50</v>
      </c>
      <c r="F92">
        <v>14.891272545</v>
      </c>
      <c r="G92">
        <v>1847.0872803</v>
      </c>
      <c r="H92">
        <v>1715.4776611</v>
      </c>
      <c r="I92">
        <v>747.90039062000005</v>
      </c>
      <c r="J92">
        <v>352.38882446000002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3.409799</v>
      </c>
      <c r="B93" s="1">
        <f>DATE(2010,5,4) + TIME(9,50,6)</f>
        <v>40302.409791666665</v>
      </c>
      <c r="C93">
        <v>80</v>
      </c>
      <c r="D93">
        <v>78.681579589999998</v>
      </c>
      <c r="E93">
        <v>50</v>
      </c>
      <c r="F93">
        <v>14.891185760000001</v>
      </c>
      <c r="G93">
        <v>1848.0950928</v>
      </c>
      <c r="H93">
        <v>1716.7346190999999</v>
      </c>
      <c r="I93">
        <v>744.90814208999996</v>
      </c>
      <c r="J93">
        <v>349.39492797999998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3.5110130000000002</v>
      </c>
      <c r="B94" s="1">
        <f>DATE(2010,5,4) + TIME(12,15,51)</f>
        <v>40302.511006944442</v>
      </c>
      <c r="C94">
        <v>80</v>
      </c>
      <c r="D94">
        <v>78.8125</v>
      </c>
      <c r="E94">
        <v>50</v>
      </c>
      <c r="F94">
        <v>14.891098976</v>
      </c>
      <c r="G94">
        <v>1849.125</v>
      </c>
      <c r="H94">
        <v>1717.9951172000001</v>
      </c>
      <c r="I94">
        <v>741.91070557</v>
      </c>
      <c r="J94">
        <v>346.39581299000002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3.6156290000000002</v>
      </c>
      <c r="B95" s="1">
        <f>DATE(2010,5,4) + TIME(14,46,30)</f>
        <v>40302.615624999999</v>
      </c>
      <c r="C95">
        <v>80</v>
      </c>
      <c r="D95">
        <v>78.932601929</v>
      </c>
      <c r="E95">
        <v>50</v>
      </c>
      <c r="F95">
        <v>14.891012192</v>
      </c>
      <c r="G95">
        <v>1850.1779785000001</v>
      </c>
      <c r="H95">
        <v>1719.2612305</v>
      </c>
      <c r="I95">
        <v>738.90362548999997</v>
      </c>
      <c r="J95">
        <v>343.38708495999998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3.7239429999999998</v>
      </c>
      <c r="B96" s="1">
        <f>DATE(2010,5,4) + TIME(17,22,28)</f>
        <v>40302.723935185182</v>
      </c>
      <c r="C96">
        <v>80</v>
      </c>
      <c r="D96">
        <v>79.042526245000005</v>
      </c>
      <c r="E96">
        <v>50</v>
      </c>
      <c r="F96">
        <v>14.890926361</v>
      </c>
      <c r="G96">
        <v>1851.2546387</v>
      </c>
      <c r="H96">
        <v>1720.5347899999999</v>
      </c>
      <c r="I96">
        <v>735.88250731999995</v>
      </c>
      <c r="J96">
        <v>340.36422728999997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3.8362889999999998</v>
      </c>
      <c r="B97" s="1">
        <f>DATE(2010,5,4) + TIME(20,4,15)</f>
        <v>40302.836284722223</v>
      </c>
      <c r="C97">
        <v>80</v>
      </c>
      <c r="D97">
        <v>79.142913817999997</v>
      </c>
      <c r="E97">
        <v>50</v>
      </c>
      <c r="F97">
        <v>14.89084053</v>
      </c>
      <c r="G97">
        <v>1852.3555908000001</v>
      </c>
      <c r="H97">
        <v>1721.8175048999999</v>
      </c>
      <c r="I97">
        <v>732.84246826000003</v>
      </c>
      <c r="J97">
        <v>337.32254028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3.9530379999999998</v>
      </c>
      <c r="B98" s="1">
        <f>DATE(2010,5,4) + TIME(22,52,22)</f>
        <v>40302.953032407408</v>
      </c>
      <c r="C98">
        <v>80</v>
      </c>
      <c r="D98">
        <v>79.234336853000002</v>
      </c>
      <c r="E98">
        <v>50</v>
      </c>
      <c r="F98">
        <v>14.890755652999999</v>
      </c>
      <c r="G98">
        <v>1853.4818115</v>
      </c>
      <c r="H98">
        <v>1723.1113281</v>
      </c>
      <c r="I98">
        <v>729.77868651999995</v>
      </c>
      <c r="J98">
        <v>334.25704955999998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4.0735910000000004</v>
      </c>
      <c r="B99" s="1">
        <f>DATE(2010,5,5) + TIME(1,45,58)</f>
        <v>40303.073587962965</v>
      </c>
      <c r="C99">
        <v>80</v>
      </c>
      <c r="D99">
        <v>79.316757202000005</v>
      </c>
      <c r="E99">
        <v>50</v>
      </c>
      <c r="F99">
        <v>14.890672684</v>
      </c>
      <c r="G99">
        <v>1854.6199951000001</v>
      </c>
      <c r="H99">
        <v>1724.402832</v>
      </c>
      <c r="I99">
        <v>726.71099853999999</v>
      </c>
      <c r="J99">
        <v>331.18765259000003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4.198213</v>
      </c>
      <c r="B100" s="1">
        <f>DATE(2010,5,5) + TIME(4,45,25)</f>
        <v>40303.198206018518</v>
      </c>
      <c r="C100">
        <v>80</v>
      </c>
      <c r="D100">
        <v>79.390838622999993</v>
      </c>
      <c r="E100">
        <v>50</v>
      </c>
      <c r="F100">
        <v>14.890592574999999</v>
      </c>
      <c r="G100">
        <v>1855.7717285000001</v>
      </c>
      <c r="H100">
        <v>1725.6948242000001</v>
      </c>
      <c r="I100">
        <v>723.63647461000005</v>
      </c>
      <c r="J100">
        <v>328.11145019999998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4.3272529999999998</v>
      </c>
      <c r="B101" s="1">
        <f>DATE(2010,5,5) + TIME(7,51,14)</f>
        <v>40303.327245370368</v>
      </c>
      <c r="C101">
        <v>80</v>
      </c>
      <c r="D101">
        <v>79.457244872999993</v>
      </c>
      <c r="E101">
        <v>50</v>
      </c>
      <c r="F101">
        <v>14.890514374</v>
      </c>
      <c r="G101">
        <v>1856.9385986</v>
      </c>
      <c r="H101">
        <v>1726.9899902</v>
      </c>
      <c r="I101">
        <v>720.55072021000001</v>
      </c>
      <c r="J101">
        <v>325.02407836999998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4.4591729999999998</v>
      </c>
      <c r="B102" s="1">
        <f>DATE(2010,5,5) + TIME(11,1,12)</f>
        <v>40303.459166666667</v>
      </c>
      <c r="C102">
        <v>80</v>
      </c>
      <c r="D102">
        <v>79.515838622999993</v>
      </c>
      <c r="E102">
        <v>50</v>
      </c>
      <c r="F102">
        <v>14.890440941</v>
      </c>
      <c r="G102">
        <v>1858.0965576000001</v>
      </c>
      <c r="H102">
        <v>1728.2635498</v>
      </c>
      <c r="I102">
        <v>717.49267578000001</v>
      </c>
      <c r="J102">
        <v>321.96438598999998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4.5916170000000003</v>
      </c>
      <c r="B103" s="1">
        <f>DATE(2010,5,5) + TIME(14,11,55)</f>
        <v>40303.591608796298</v>
      </c>
      <c r="C103">
        <v>80</v>
      </c>
      <c r="D103">
        <v>79.566581725999995</v>
      </c>
      <c r="E103">
        <v>50</v>
      </c>
      <c r="F103">
        <v>14.890371323</v>
      </c>
      <c r="G103">
        <v>1859.2170410000001</v>
      </c>
      <c r="H103">
        <v>1729.4869385</v>
      </c>
      <c r="I103">
        <v>714.51434326000003</v>
      </c>
      <c r="J103">
        <v>318.98452759000003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4.7248229999999998</v>
      </c>
      <c r="B104" s="1">
        <f>DATE(2010,5,5) + TIME(17,23,44)</f>
        <v>40303.724814814814</v>
      </c>
      <c r="C104">
        <v>80</v>
      </c>
      <c r="D104">
        <v>79.610588074000006</v>
      </c>
      <c r="E104">
        <v>50</v>
      </c>
      <c r="F104">
        <v>14.890307426</v>
      </c>
      <c r="G104">
        <v>1860.3109131000001</v>
      </c>
      <c r="H104">
        <v>1730.6726074000001</v>
      </c>
      <c r="I104">
        <v>711.60699463000003</v>
      </c>
      <c r="J104">
        <v>316.07571410999998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4.8590260000000001</v>
      </c>
      <c r="B105" s="1">
        <f>DATE(2010,5,5) + TIME(20,36,59)</f>
        <v>40303.859016203707</v>
      </c>
      <c r="C105">
        <v>80</v>
      </c>
      <c r="D105">
        <v>79.648818969999994</v>
      </c>
      <c r="E105">
        <v>50</v>
      </c>
      <c r="F105">
        <v>14.890247345000001</v>
      </c>
      <c r="G105">
        <v>1861.3836670000001</v>
      </c>
      <c r="H105">
        <v>1731.8276367000001</v>
      </c>
      <c r="I105">
        <v>708.76269531000003</v>
      </c>
      <c r="J105">
        <v>313.22994994999999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4.9944519999999999</v>
      </c>
      <c r="B106" s="1">
        <f>DATE(2010,5,5) + TIME(23,52,0)</f>
        <v>40303.994444444441</v>
      </c>
      <c r="C106">
        <v>80</v>
      </c>
      <c r="D106">
        <v>79.682044982999997</v>
      </c>
      <c r="E106">
        <v>50</v>
      </c>
      <c r="F106">
        <v>14.890192032</v>
      </c>
      <c r="G106">
        <v>1862.4388428</v>
      </c>
      <c r="H106">
        <v>1732.9567870999999</v>
      </c>
      <c r="I106">
        <v>705.97436522999999</v>
      </c>
      <c r="J106">
        <v>310.44030762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5.1313089999999999</v>
      </c>
      <c r="B107" s="1">
        <f>DATE(2010,5,6) + TIME(3,9,5)</f>
        <v>40304.131307870368</v>
      </c>
      <c r="C107">
        <v>80</v>
      </c>
      <c r="D107">
        <v>79.7109375</v>
      </c>
      <c r="E107">
        <v>50</v>
      </c>
      <c r="F107">
        <v>14.890142441</v>
      </c>
      <c r="G107">
        <v>1863.4779053</v>
      </c>
      <c r="H107">
        <v>1734.0627440999999</v>
      </c>
      <c r="I107">
        <v>703.23614501999998</v>
      </c>
      <c r="J107">
        <v>307.70074462999997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5.2696940000000003</v>
      </c>
      <c r="B108" s="1">
        <f>DATE(2010,5,6) + TIME(6,28,21)</f>
        <v>40304.269687499997</v>
      </c>
      <c r="C108">
        <v>80</v>
      </c>
      <c r="D108">
        <v>79.736045837000006</v>
      </c>
      <c r="E108">
        <v>50</v>
      </c>
      <c r="F108">
        <v>14.890096664</v>
      </c>
      <c r="G108">
        <v>1864.5013428</v>
      </c>
      <c r="H108">
        <v>1735.1467285000001</v>
      </c>
      <c r="I108">
        <v>700.54461670000001</v>
      </c>
      <c r="J108">
        <v>305.00796509000003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5.4097679999999997</v>
      </c>
      <c r="B109" s="1">
        <f>DATE(2010,5,6) + TIME(9,50,3)</f>
        <v>40304.409756944442</v>
      </c>
      <c r="C109">
        <v>80</v>
      </c>
      <c r="D109">
        <v>79.757865906000006</v>
      </c>
      <c r="E109">
        <v>50</v>
      </c>
      <c r="F109">
        <v>14.89005661</v>
      </c>
      <c r="G109">
        <v>1865.5100098</v>
      </c>
      <c r="H109">
        <v>1736.2104492000001</v>
      </c>
      <c r="I109">
        <v>697.89562988</v>
      </c>
      <c r="J109">
        <v>302.35781859999997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5.5517469999999998</v>
      </c>
      <c r="B110" s="1">
        <f>DATE(2010,5,6) + TIME(13,14,30)</f>
        <v>40304.551736111112</v>
      </c>
      <c r="C110">
        <v>80</v>
      </c>
      <c r="D110">
        <v>79.776824950999995</v>
      </c>
      <c r="E110">
        <v>50</v>
      </c>
      <c r="F110">
        <v>14.89002037</v>
      </c>
      <c r="G110">
        <v>1866.5053711</v>
      </c>
      <c r="H110">
        <v>1737.2561035000001</v>
      </c>
      <c r="I110">
        <v>695.28442383000004</v>
      </c>
      <c r="J110">
        <v>299.74542236000002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5.6958489999999999</v>
      </c>
      <c r="B111" s="1">
        <f>DATE(2010,5,6) + TIME(16,42,1)</f>
        <v>40304.695844907408</v>
      </c>
      <c r="C111">
        <v>80</v>
      </c>
      <c r="D111">
        <v>79.793296814000001</v>
      </c>
      <c r="E111">
        <v>50</v>
      </c>
      <c r="F111">
        <v>14.889988899</v>
      </c>
      <c r="G111">
        <v>1867.4882812000001</v>
      </c>
      <c r="H111">
        <v>1738.2852783000001</v>
      </c>
      <c r="I111">
        <v>692.70654296999999</v>
      </c>
      <c r="J111">
        <v>297.16650391000002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5.8422999999999998</v>
      </c>
      <c r="B112" s="1">
        <f>DATE(2010,5,6) + TIME(20,12,54)</f>
        <v>40304.842291666668</v>
      </c>
      <c r="C112">
        <v>80</v>
      </c>
      <c r="D112">
        <v>79.807594299000002</v>
      </c>
      <c r="E112">
        <v>50</v>
      </c>
      <c r="F112">
        <v>14.88996315</v>
      </c>
      <c r="G112">
        <v>1868.4599608999999</v>
      </c>
      <c r="H112">
        <v>1739.2995605000001</v>
      </c>
      <c r="I112">
        <v>690.15802001999998</v>
      </c>
      <c r="J112">
        <v>294.61691284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5.9913319999999999</v>
      </c>
      <c r="B113" s="1">
        <f>DATE(2010,5,6) + TIME(23,47,31)</f>
        <v>40304.991331018522</v>
      </c>
      <c r="C113">
        <v>80</v>
      </c>
      <c r="D113">
        <v>79.820007324000002</v>
      </c>
      <c r="E113">
        <v>50</v>
      </c>
      <c r="F113">
        <v>14.889941216</v>
      </c>
      <c r="G113">
        <v>1869.4211425999999</v>
      </c>
      <c r="H113">
        <v>1740.3001709</v>
      </c>
      <c r="I113">
        <v>687.63494873000002</v>
      </c>
      <c r="J113">
        <v>292.09292603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6.1430550000000004</v>
      </c>
      <c r="B114" s="1">
        <f>DATE(2010,5,7) + TIME(3,25,59)</f>
        <v>40305.143043981479</v>
      </c>
      <c r="C114">
        <v>80</v>
      </c>
      <c r="D114">
        <v>79.830757141000007</v>
      </c>
      <c r="E114">
        <v>50</v>
      </c>
      <c r="F114">
        <v>14.889924048999999</v>
      </c>
      <c r="G114">
        <v>1870.3713379000001</v>
      </c>
      <c r="H114">
        <v>1741.2871094</v>
      </c>
      <c r="I114">
        <v>685.13610840000001</v>
      </c>
      <c r="J114">
        <v>289.59310913000002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6.2970050000000004</v>
      </c>
      <c r="B115" s="1">
        <f>DATE(2010,5,7) + TIME(7,7,41)</f>
        <v>40305.297002314815</v>
      </c>
      <c r="C115">
        <v>80</v>
      </c>
      <c r="D115">
        <v>79.840019225999995</v>
      </c>
      <c r="E115">
        <v>50</v>
      </c>
      <c r="F115">
        <v>14.889912604999999</v>
      </c>
      <c r="G115">
        <v>1871.3050536999999</v>
      </c>
      <c r="H115">
        <v>1742.2551269999999</v>
      </c>
      <c r="I115">
        <v>682.66906738</v>
      </c>
      <c r="J115">
        <v>287.12521362000001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6.4534120000000001</v>
      </c>
      <c r="B116" s="1">
        <f>DATE(2010,5,7) + TIME(10,52,54)</f>
        <v>40305.453402777777</v>
      </c>
      <c r="C116">
        <v>80</v>
      </c>
      <c r="D116">
        <v>79.847999572999996</v>
      </c>
      <c r="E116">
        <v>50</v>
      </c>
      <c r="F116">
        <v>14.889904976</v>
      </c>
      <c r="G116">
        <v>1872.2244873</v>
      </c>
      <c r="H116">
        <v>1743.2066649999999</v>
      </c>
      <c r="I116">
        <v>680.23016356999995</v>
      </c>
      <c r="J116">
        <v>284.68551636000001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6.6125100000000003</v>
      </c>
      <c r="B117" s="1">
        <f>DATE(2010,5,7) + TIME(14,42,0)</f>
        <v>40305.612500000003</v>
      </c>
      <c r="C117">
        <v>80</v>
      </c>
      <c r="D117">
        <v>79.854873656999999</v>
      </c>
      <c r="E117">
        <v>50</v>
      </c>
      <c r="F117">
        <v>14.889902115</v>
      </c>
      <c r="G117">
        <v>1873.1312256000001</v>
      </c>
      <c r="H117">
        <v>1744.1436768000001</v>
      </c>
      <c r="I117">
        <v>677.81610106999995</v>
      </c>
      <c r="J117">
        <v>282.27069091999999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6.7745490000000004</v>
      </c>
      <c r="B118" s="1">
        <f>DATE(2010,5,7) + TIME(18,35,21)</f>
        <v>40305.774548611109</v>
      </c>
      <c r="C118">
        <v>80</v>
      </c>
      <c r="D118">
        <v>79.860794067</v>
      </c>
      <c r="E118">
        <v>50</v>
      </c>
      <c r="F118">
        <v>14.889904022</v>
      </c>
      <c r="G118">
        <v>1874.0261230000001</v>
      </c>
      <c r="H118">
        <v>1745.0673827999999</v>
      </c>
      <c r="I118">
        <v>675.42364501999998</v>
      </c>
      <c r="J118">
        <v>279.87750244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6.9398369999999998</v>
      </c>
      <c r="B119" s="1">
        <f>DATE(2010,5,7) + TIME(22,33,21)</f>
        <v>40305.939826388887</v>
      </c>
      <c r="C119">
        <v>80</v>
      </c>
      <c r="D119">
        <v>79.865890503000003</v>
      </c>
      <c r="E119">
        <v>50</v>
      </c>
      <c r="F119">
        <v>14.889910698</v>
      </c>
      <c r="G119">
        <v>1874.9107666</v>
      </c>
      <c r="H119">
        <v>1745.9793701000001</v>
      </c>
      <c r="I119">
        <v>673.04907227000001</v>
      </c>
      <c r="J119">
        <v>277.50228881999999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7.1086559999999999</v>
      </c>
      <c r="B120" s="1">
        <f>DATE(2010,5,8) + TIME(2,36,27)</f>
        <v>40306.10864583333</v>
      </c>
      <c r="C120">
        <v>80</v>
      </c>
      <c r="D120">
        <v>79.870269774999997</v>
      </c>
      <c r="E120">
        <v>50</v>
      </c>
      <c r="F120">
        <v>14.889922142</v>
      </c>
      <c r="G120">
        <v>1875.7856445</v>
      </c>
      <c r="H120">
        <v>1746.8804932</v>
      </c>
      <c r="I120">
        <v>670.68945312000005</v>
      </c>
      <c r="J120">
        <v>275.14205933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7.2812809999999999</v>
      </c>
      <c r="B121" s="1">
        <f>DATE(2010,5,8) + TIME(6,45,2)</f>
        <v>40306.281273148146</v>
      </c>
      <c r="C121">
        <v>80</v>
      </c>
      <c r="D121">
        <v>79.874023437999995</v>
      </c>
      <c r="E121">
        <v>50</v>
      </c>
      <c r="F121">
        <v>14.889939308000001</v>
      </c>
      <c r="G121">
        <v>1876.6512451000001</v>
      </c>
      <c r="H121">
        <v>1747.7714844</v>
      </c>
      <c r="I121">
        <v>668.34234618999994</v>
      </c>
      <c r="J121">
        <v>272.79440308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7.4580469999999996</v>
      </c>
      <c r="B122" s="1">
        <f>DATE(2010,5,8) + TIME(10,59,35)</f>
        <v>40306.458043981482</v>
      </c>
      <c r="C122">
        <v>80</v>
      </c>
      <c r="D122">
        <v>79.877250670999999</v>
      </c>
      <c r="E122">
        <v>50</v>
      </c>
      <c r="F122">
        <v>14.889960288999999</v>
      </c>
      <c r="G122">
        <v>1877.5084228999999</v>
      </c>
      <c r="H122">
        <v>1748.6531981999999</v>
      </c>
      <c r="I122">
        <v>666.00476074000005</v>
      </c>
      <c r="J122">
        <v>270.45632934999998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7.6391080000000002</v>
      </c>
      <c r="B123" s="1">
        <f>DATE(2010,5,8) + TIME(15,20,18)</f>
        <v>40306.639097222222</v>
      </c>
      <c r="C123">
        <v>80</v>
      </c>
      <c r="D123">
        <v>79.880004882999998</v>
      </c>
      <c r="E123">
        <v>50</v>
      </c>
      <c r="F123">
        <v>14.889987946</v>
      </c>
      <c r="G123">
        <v>1878.3564452999999</v>
      </c>
      <c r="H123">
        <v>1749.5251464999999</v>
      </c>
      <c r="I123">
        <v>663.67645263999998</v>
      </c>
      <c r="J123">
        <v>268.12756347999999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7.8245240000000003</v>
      </c>
      <c r="B124" s="1">
        <f>DATE(2010,5,8) + TIME(19,47,18)</f>
        <v>40306.824513888889</v>
      </c>
      <c r="C124">
        <v>80</v>
      </c>
      <c r="D124">
        <v>79.882347107000001</v>
      </c>
      <c r="E124">
        <v>50</v>
      </c>
      <c r="F124">
        <v>14.890019417</v>
      </c>
      <c r="G124">
        <v>1879.1939697</v>
      </c>
      <c r="H124">
        <v>1750.3861084</v>
      </c>
      <c r="I124">
        <v>661.35833739999998</v>
      </c>
      <c r="J124">
        <v>265.80908203000001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8.0143889999999995</v>
      </c>
      <c r="B125" s="1">
        <f>DATE(2010,5,9) + TIME(0,20,43)</f>
        <v>40307.014386574076</v>
      </c>
      <c r="C125">
        <v>80</v>
      </c>
      <c r="D125">
        <v>79.884338378999999</v>
      </c>
      <c r="E125">
        <v>50</v>
      </c>
      <c r="F125">
        <v>14.89005661</v>
      </c>
      <c r="G125">
        <v>1880.0203856999999</v>
      </c>
      <c r="H125">
        <v>1751.2353516000001</v>
      </c>
      <c r="I125">
        <v>659.05102538999995</v>
      </c>
      <c r="J125">
        <v>263.50140381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8.2088640000000002</v>
      </c>
      <c r="B126" s="1">
        <f>DATE(2010,5,9) + TIME(5,0,45)</f>
        <v>40307.208854166667</v>
      </c>
      <c r="C126">
        <v>80</v>
      </c>
      <c r="D126">
        <v>79.886032103999995</v>
      </c>
      <c r="E126">
        <v>50</v>
      </c>
      <c r="F126">
        <v>14.890099525</v>
      </c>
      <c r="G126">
        <v>1880.8353271000001</v>
      </c>
      <c r="H126">
        <v>1752.0729980000001</v>
      </c>
      <c r="I126">
        <v>656.75427246000004</v>
      </c>
      <c r="J126">
        <v>261.20434569999998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8.408201</v>
      </c>
      <c r="B127" s="1">
        <f>DATE(2010,5,9) + TIME(9,47,48)</f>
        <v>40307.408194444448</v>
      </c>
      <c r="C127">
        <v>80</v>
      </c>
      <c r="D127">
        <v>79.887451171999999</v>
      </c>
      <c r="E127">
        <v>50</v>
      </c>
      <c r="F127">
        <v>14.890148162999999</v>
      </c>
      <c r="G127">
        <v>1881.6392822</v>
      </c>
      <c r="H127">
        <v>1752.8992920000001</v>
      </c>
      <c r="I127">
        <v>654.46691895000004</v>
      </c>
      <c r="J127">
        <v>258.91674805000002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8.6127369999999992</v>
      </c>
      <c r="B128" s="1">
        <f>DATE(2010,5,9) + TIME(14,42,20)</f>
        <v>40307.61273148148</v>
      </c>
      <c r="C128">
        <v>80</v>
      </c>
      <c r="D128">
        <v>79.888656616000006</v>
      </c>
      <c r="E128">
        <v>50</v>
      </c>
      <c r="F128">
        <v>14.890201569</v>
      </c>
      <c r="G128">
        <v>1882.4328613</v>
      </c>
      <c r="H128">
        <v>1753.7148437999999</v>
      </c>
      <c r="I128">
        <v>652.18713378999996</v>
      </c>
      <c r="J128">
        <v>256.63681029999998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8.8229399999999991</v>
      </c>
      <c r="B129" s="1">
        <f>DATE(2010,5,9) + TIME(19,45,2)</f>
        <v>40307.822939814818</v>
      </c>
      <c r="C129">
        <v>80</v>
      </c>
      <c r="D129">
        <v>79.889663696</v>
      </c>
      <c r="E129">
        <v>50</v>
      </c>
      <c r="F129">
        <v>14.890261649999999</v>
      </c>
      <c r="G129">
        <v>1883.2169189000001</v>
      </c>
      <c r="H129">
        <v>1754.5209961</v>
      </c>
      <c r="I129">
        <v>649.91204833999996</v>
      </c>
      <c r="J129">
        <v>254.36160278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9.0393290000000004</v>
      </c>
      <c r="B130" s="1">
        <f>DATE(2010,5,10) + TIME(0,56,38)</f>
        <v>40308.0393287037</v>
      </c>
      <c r="C130">
        <v>80</v>
      </c>
      <c r="D130">
        <v>79.890518188000001</v>
      </c>
      <c r="E130">
        <v>50</v>
      </c>
      <c r="F130">
        <v>14.890328407</v>
      </c>
      <c r="G130">
        <v>1883.9924315999999</v>
      </c>
      <c r="H130">
        <v>1755.3183594</v>
      </c>
      <c r="I130">
        <v>647.63867187999995</v>
      </c>
      <c r="J130">
        <v>252.08818054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9.2624759999999995</v>
      </c>
      <c r="B131" s="1">
        <f>DATE(2010,5,10) + TIME(6,17,57)</f>
        <v>40308.262465277781</v>
      </c>
      <c r="C131">
        <v>80</v>
      </c>
      <c r="D131">
        <v>79.891227721999996</v>
      </c>
      <c r="E131">
        <v>50</v>
      </c>
      <c r="F131">
        <v>14.890401839999999</v>
      </c>
      <c r="G131">
        <v>1884.7600098</v>
      </c>
      <c r="H131">
        <v>1756.1080322</v>
      </c>
      <c r="I131">
        <v>645.36401366999996</v>
      </c>
      <c r="J131">
        <v>249.81352233999999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9.4883220000000001</v>
      </c>
      <c r="B132" s="1">
        <f>DATE(2010,5,10) + TIME(11,43,11)</f>
        <v>40308.488321759258</v>
      </c>
      <c r="C132">
        <v>80</v>
      </c>
      <c r="D132">
        <v>79.891777039000004</v>
      </c>
      <c r="E132">
        <v>50</v>
      </c>
      <c r="F132">
        <v>14.890480042</v>
      </c>
      <c r="G132">
        <v>1885.494751</v>
      </c>
      <c r="H132">
        <v>1756.864624</v>
      </c>
      <c r="I132">
        <v>643.13000488</v>
      </c>
      <c r="J132">
        <v>247.57957458000001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9.7142590000000002</v>
      </c>
      <c r="B133" s="1">
        <f>DATE(2010,5,10) + TIME(17,8,31)</f>
        <v>40308.714247685188</v>
      </c>
      <c r="C133">
        <v>80</v>
      </c>
      <c r="D133">
        <v>79.892196655000006</v>
      </c>
      <c r="E133">
        <v>50</v>
      </c>
      <c r="F133">
        <v>14.890563010999999</v>
      </c>
      <c r="G133">
        <v>1886.1882324000001</v>
      </c>
      <c r="H133">
        <v>1757.5795897999999</v>
      </c>
      <c r="I133">
        <v>640.96026611000002</v>
      </c>
      <c r="J133">
        <v>245.40997314000001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9.9405339999999995</v>
      </c>
      <c r="B134" s="1">
        <f>DATE(2010,5,10) + TIME(22,34,22)</f>
        <v>40308.940532407411</v>
      </c>
      <c r="C134">
        <v>80</v>
      </c>
      <c r="D134">
        <v>79.892524718999994</v>
      </c>
      <c r="E134">
        <v>50</v>
      </c>
      <c r="F134">
        <v>14.890649796</v>
      </c>
      <c r="G134">
        <v>1886.8486327999999</v>
      </c>
      <c r="H134">
        <v>1758.2611084</v>
      </c>
      <c r="I134">
        <v>638.84985352000001</v>
      </c>
      <c r="J134">
        <v>243.29972839000001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10.167458999999999</v>
      </c>
      <c r="B135" s="1">
        <f>DATE(2010,5,11) + TIME(4,1,8)</f>
        <v>40309.167453703703</v>
      </c>
      <c r="C135">
        <v>80</v>
      </c>
      <c r="D135">
        <v>79.892784118999998</v>
      </c>
      <c r="E135">
        <v>50</v>
      </c>
      <c r="F135">
        <v>14.890741348000001</v>
      </c>
      <c r="G135">
        <v>1887.4812012</v>
      </c>
      <c r="H135">
        <v>1758.9143065999999</v>
      </c>
      <c r="I135">
        <v>636.79351807</v>
      </c>
      <c r="J135">
        <v>241.24368286000001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10.395384999999999</v>
      </c>
      <c r="B136" s="1">
        <f>DATE(2010,5,11) + TIME(9,29,21)</f>
        <v>40309.395381944443</v>
      </c>
      <c r="C136">
        <v>80</v>
      </c>
      <c r="D136">
        <v>79.892982482999997</v>
      </c>
      <c r="E136">
        <v>50</v>
      </c>
      <c r="F136">
        <v>14.890836716000001</v>
      </c>
      <c r="G136">
        <v>1888.0889893000001</v>
      </c>
      <c r="H136">
        <v>1759.5423584</v>
      </c>
      <c r="I136">
        <v>634.78637694999998</v>
      </c>
      <c r="J136">
        <v>239.23678588999999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10.624654</v>
      </c>
      <c r="B137" s="1">
        <f>DATE(2010,5,11) + TIME(14,59,30)</f>
        <v>40309.624652777777</v>
      </c>
      <c r="C137">
        <v>80</v>
      </c>
      <c r="D137">
        <v>79.893142699999999</v>
      </c>
      <c r="E137">
        <v>50</v>
      </c>
      <c r="F137">
        <v>14.890936851999999</v>
      </c>
      <c r="G137">
        <v>1888.6743164</v>
      </c>
      <c r="H137">
        <v>1760.1477050999999</v>
      </c>
      <c r="I137">
        <v>632.82373046999999</v>
      </c>
      <c r="J137">
        <v>237.27452087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10.855593000000001</v>
      </c>
      <c r="B138" s="1">
        <f>DATE(2010,5,11) + TIME(20,32,3)</f>
        <v>40309.855590277781</v>
      </c>
      <c r="C138">
        <v>80</v>
      </c>
      <c r="D138">
        <v>79.893264771000005</v>
      </c>
      <c r="E138">
        <v>50</v>
      </c>
      <c r="F138">
        <v>14.891040801999999</v>
      </c>
      <c r="G138">
        <v>1889.2390137</v>
      </c>
      <c r="H138">
        <v>1760.7319336</v>
      </c>
      <c r="I138">
        <v>630.90167236000002</v>
      </c>
      <c r="J138">
        <v>235.35285949999999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11.088524</v>
      </c>
      <c r="B139" s="1">
        <f>DATE(2010,5,12) + TIME(2,7,28)</f>
        <v>40310.088518518518</v>
      </c>
      <c r="C139">
        <v>80</v>
      </c>
      <c r="D139">
        <v>79.893356323000006</v>
      </c>
      <c r="E139">
        <v>50</v>
      </c>
      <c r="F139">
        <v>14.891148567</v>
      </c>
      <c r="G139">
        <v>1889.7843018000001</v>
      </c>
      <c r="H139">
        <v>1761.2966309000001</v>
      </c>
      <c r="I139">
        <v>629.01654053000004</v>
      </c>
      <c r="J139">
        <v>233.46818542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11.323774</v>
      </c>
      <c r="B140" s="1">
        <f>DATE(2010,5,12) + TIME(7,46,14)</f>
        <v>40310.323773148149</v>
      </c>
      <c r="C140">
        <v>80</v>
      </c>
      <c r="D140">
        <v>79.893417357999994</v>
      </c>
      <c r="E140">
        <v>50</v>
      </c>
      <c r="F140">
        <v>14.891261101</v>
      </c>
      <c r="G140">
        <v>1890.3115233999999</v>
      </c>
      <c r="H140">
        <v>1761.8430175999999</v>
      </c>
      <c r="I140">
        <v>627.16503906000003</v>
      </c>
      <c r="J140">
        <v>231.61714172000001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11.561680000000001</v>
      </c>
      <c r="B141" s="1">
        <f>DATE(2010,5,12) + TIME(13,28,49)</f>
        <v>40310.561678240738</v>
      </c>
      <c r="C141">
        <v>80</v>
      </c>
      <c r="D141">
        <v>79.893463135000005</v>
      </c>
      <c r="E141">
        <v>50</v>
      </c>
      <c r="F141">
        <v>14.891378402999999</v>
      </c>
      <c r="G141">
        <v>1890.8216553</v>
      </c>
      <c r="H141">
        <v>1762.3720702999999</v>
      </c>
      <c r="I141">
        <v>625.34393310999997</v>
      </c>
      <c r="J141">
        <v>229.79663085999999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11.802587000000001</v>
      </c>
      <c r="B142" s="1">
        <f>DATE(2010,5,12) + TIME(19,15,43)</f>
        <v>40310.802581018521</v>
      </c>
      <c r="C142">
        <v>80</v>
      </c>
      <c r="D142">
        <v>79.893493652000004</v>
      </c>
      <c r="E142">
        <v>50</v>
      </c>
      <c r="F142">
        <v>14.891499519</v>
      </c>
      <c r="G142">
        <v>1891.3155518000001</v>
      </c>
      <c r="H142">
        <v>1762.8848877</v>
      </c>
      <c r="I142">
        <v>623.55047606999995</v>
      </c>
      <c r="J142">
        <v>228.00375366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12.046856</v>
      </c>
      <c r="B143" s="1">
        <f>DATE(2010,5,13) + TIME(1,7,28)</f>
        <v>40311.046851851854</v>
      </c>
      <c r="C143">
        <v>80</v>
      </c>
      <c r="D143">
        <v>79.893501282000003</v>
      </c>
      <c r="E143">
        <v>50</v>
      </c>
      <c r="F143">
        <v>14.891625403999999</v>
      </c>
      <c r="G143">
        <v>1891.7941894999999</v>
      </c>
      <c r="H143">
        <v>1763.3822021000001</v>
      </c>
      <c r="I143">
        <v>621.78186034999999</v>
      </c>
      <c r="J143">
        <v>226.23576355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12.294864</v>
      </c>
      <c r="B144" s="1">
        <f>DATE(2010,5,13) + TIME(7,4,36)</f>
        <v>40311.294861111113</v>
      </c>
      <c r="C144">
        <v>80</v>
      </c>
      <c r="D144">
        <v>79.893493652000004</v>
      </c>
      <c r="E144">
        <v>50</v>
      </c>
      <c r="F144">
        <v>14.891757010999999</v>
      </c>
      <c r="G144">
        <v>1892.2580565999999</v>
      </c>
      <c r="H144">
        <v>1763.864624</v>
      </c>
      <c r="I144">
        <v>620.03546143000005</v>
      </c>
      <c r="J144">
        <v>224.49012755999999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12.547079</v>
      </c>
      <c r="B145" s="1">
        <f>DATE(2010,5,13) + TIME(13,7,47)</f>
        <v>40311.547071759262</v>
      </c>
      <c r="C145">
        <v>80</v>
      </c>
      <c r="D145">
        <v>79.893478393999999</v>
      </c>
      <c r="E145">
        <v>50</v>
      </c>
      <c r="F145">
        <v>14.891893387</v>
      </c>
      <c r="G145">
        <v>1892.7082519999999</v>
      </c>
      <c r="H145">
        <v>1764.333374</v>
      </c>
      <c r="I145">
        <v>618.30847168000003</v>
      </c>
      <c r="J145">
        <v>222.76388549999999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12.803917</v>
      </c>
      <c r="B146" s="1">
        <f>DATE(2010,5,13) + TIME(19,17,38)</f>
        <v>40311.803912037038</v>
      </c>
      <c r="C146">
        <v>80</v>
      </c>
      <c r="D146">
        <v>79.893455505000006</v>
      </c>
      <c r="E146">
        <v>50</v>
      </c>
      <c r="F146">
        <v>14.892034531</v>
      </c>
      <c r="G146">
        <v>1893.1451416</v>
      </c>
      <c r="H146">
        <v>1764.7888184000001</v>
      </c>
      <c r="I146">
        <v>616.59857178000004</v>
      </c>
      <c r="J146">
        <v>221.05480957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13.065787</v>
      </c>
      <c r="B147" s="1">
        <f>DATE(2010,5,14) + TIME(1,34,43)</f>
        <v>40312.065775462965</v>
      </c>
      <c r="C147">
        <v>80</v>
      </c>
      <c r="D147">
        <v>79.893417357999994</v>
      </c>
      <c r="E147">
        <v>50</v>
      </c>
      <c r="F147">
        <v>14.892182350000001</v>
      </c>
      <c r="G147">
        <v>1893.5690918</v>
      </c>
      <c r="H147">
        <v>1765.2312012</v>
      </c>
      <c r="I147">
        <v>614.90380859000004</v>
      </c>
      <c r="J147">
        <v>219.36091614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13.333067</v>
      </c>
      <c r="B148" s="1">
        <f>DATE(2010,5,14) + TIME(7,59,36)</f>
        <v>40312.333055555559</v>
      </c>
      <c r="C148">
        <v>80</v>
      </c>
      <c r="D148">
        <v>79.893371582</v>
      </c>
      <c r="E148">
        <v>50</v>
      </c>
      <c r="F148">
        <v>14.892335892</v>
      </c>
      <c r="G148">
        <v>1893.9801024999999</v>
      </c>
      <c r="H148">
        <v>1765.6607666</v>
      </c>
      <c r="I148">
        <v>613.22265625</v>
      </c>
      <c r="J148">
        <v>217.68066406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13.605896</v>
      </c>
      <c r="B149" s="1">
        <f>DATE(2010,5,14) + TIME(14,32,29)</f>
        <v>40312.605891203704</v>
      </c>
      <c r="C149">
        <v>80</v>
      </c>
      <c r="D149">
        <v>79.893318175999994</v>
      </c>
      <c r="E149">
        <v>50</v>
      </c>
      <c r="F149">
        <v>14.892495155000001</v>
      </c>
      <c r="G149">
        <v>1894.3778076000001</v>
      </c>
      <c r="H149">
        <v>1766.0769043</v>
      </c>
      <c r="I149">
        <v>611.55511475000003</v>
      </c>
      <c r="J149">
        <v>216.01416015999999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13.884323</v>
      </c>
      <c r="B150" s="1">
        <f>DATE(2010,5,14) + TIME(21,13,25)</f>
        <v>40312.884317129632</v>
      </c>
      <c r="C150">
        <v>80</v>
      </c>
      <c r="D150">
        <v>79.893257141000007</v>
      </c>
      <c r="E150">
        <v>50</v>
      </c>
      <c r="F150">
        <v>14.892660141</v>
      </c>
      <c r="G150">
        <v>1894.7612305</v>
      </c>
      <c r="H150">
        <v>1766.4788818</v>
      </c>
      <c r="I150">
        <v>609.90197753999996</v>
      </c>
      <c r="J150">
        <v>214.36204529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14.168395</v>
      </c>
      <c r="B151" s="1">
        <f>DATE(2010,5,15) + TIME(4,2,29)</f>
        <v>40313.168391203704</v>
      </c>
      <c r="C151">
        <v>80</v>
      </c>
      <c r="D151">
        <v>79.893196106000005</v>
      </c>
      <c r="E151">
        <v>50</v>
      </c>
      <c r="F151">
        <v>14.892831802</v>
      </c>
      <c r="G151">
        <v>1895.1301269999999</v>
      </c>
      <c r="H151">
        <v>1766.8662108999999</v>
      </c>
      <c r="I151">
        <v>608.26373291000004</v>
      </c>
      <c r="J151">
        <v>212.72491454999999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14.458310000000001</v>
      </c>
      <c r="B152" s="1">
        <f>DATE(2010,5,15) + TIME(10,59,57)</f>
        <v>40313.458298611113</v>
      </c>
      <c r="C152">
        <v>80</v>
      </c>
      <c r="D152">
        <v>79.893119811999995</v>
      </c>
      <c r="E152">
        <v>50</v>
      </c>
      <c r="F152">
        <v>14.893010138999999</v>
      </c>
      <c r="G152">
        <v>1895.484375</v>
      </c>
      <c r="H152">
        <v>1767.2391356999999</v>
      </c>
      <c r="I152">
        <v>606.64013671999999</v>
      </c>
      <c r="J152">
        <v>211.10255432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14.754416000000001</v>
      </c>
      <c r="B153" s="1">
        <f>DATE(2010,5,15) + TIME(18,6,21)</f>
        <v>40313.75440972222</v>
      </c>
      <c r="C153">
        <v>80</v>
      </c>
      <c r="D153">
        <v>79.893051146999994</v>
      </c>
      <c r="E153">
        <v>50</v>
      </c>
      <c r="F153">
        <v>14.893194199</v>
      </c>
      <c r="G153">
        <v>1895.8244629000001</v>
      </c>
      <c r="H153">
        <v>1767.5976562000001</v>
      </c>
      <c r="I153">
        <v>605.03033446999996</v>
      </c>
      <c r="J153">
        <v>209.49397278000001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15.057114</v>
      </c>
      <c r="B154" s="1">
        <f>DATE(2010,5,16) + TIME(1,22,14)</f>
        <v>40314.057106481479</v>
      </c>
      <c r="C154">
        <v>80</v>
      </c>
      <c r="D154">
        <v>79.892967224000003</v>
      </c>
      <c r="E154">
        <v>50</v>
      </c>
      <c r="F154">
        <v>14.893385887000001</v>
      </c>
      <c r="G154">
        <v>1896.1505127</v>
      </c>
      <c r="H154">
        <v>1767.9423827999999</v>
      </c>
      <c r="I154">
        <v>603.43310546999999</v>
      </c>
      <c r="J154">
        <v>207.89810181000001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15.210815</v>
      </c>
      <c r="B155" s="1">
        <f>DATE(2010,5,16) + TIME(5,3,34)</f>
        <v>40314.210810185185</v>
      </c>
      <c r="C155">
        <v>80</v>
      </c>
      <c r="D155">
        <v>79.892585753999995</v>
      </c>
      <c r="E155">
        <v>50</v>
      </c>
      <c r="F155">
        <v>14.893499373999999</v>
      </c>
      <c r="G155">
        <v>1896.1702881000001</v>
      </c>
      <c r="H155">
        <v>1767.9757079999999</v>
      </c>
      <c r="I155">
        <v>602.63458251999998</v>
      </c>
      <c r="J155">
        <v>207.10037231000001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15.518216000000001</v>
      </c>
      <c r="B156" s="1">
        <f>DATE(2010,5,16) + TIME(12,26,13)</f>
        <v>40314.518206018518</v>
      </c>
      <c r="C156">
        <v>80</v>
      </c>
      <c r="D156">
        <v>79.892707825000002</v>
      </c>
      <c r="E156">
        <v>50</v>
      </c>
      <c r="F156">
        <v>14.89369297</v>
      </c>
      <c r="G156">
        <v>1896.5240478999999</v>
      </c>
      <c r="H156">
        <v>1768.3446045000001</v>
      </c>
      <c r="I156">
        <v>601.08367920000001</v>
      </c>
      <c r="J156">
        <v>205.55082702999999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15.82568</v>
      </c>
      <c r="B157" s="1">
        <f>DATE(2010,5,16) + TIME(19,48,58)</f>
        <v>40314.825671296298</v>
      </c>
      <c r="C157">
        <v>80</v>
      </c>
      <c r="D157">
        <v>79.892723083000007</v>
      </c>
      <c r="E157">
        <v>50</v>
      </c>
      <c r="F157">
        <v>14.893892288</v>
      </c>
      <c r="G157">
        <v>1896.8283690999999</v>
      </c>
      <c r="H157">
        <v>1768.6667480000001</v>
      </c>
      <c r="I157">
        <v>599.57781981999995</v>
      </c>
      <c r="J157">
        <v>204.04635619999999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16.133586000000001</v>
      </c>
      <c r="B158" s="1">
        <f>DATE(2010,5,17) + TIME(3,12,21)</f>
        <v>40315.133576388886</v>
      </c>
      <c r="C158">
        <v>80</v>
      </c>
      <c r="D158">
        <v>79.892669678000004</v>
      </c>
      <c r="E158">
        <v>50</v>
      </c>
      <c r="F158">
        <v>14.894095420999999</v>
      </c>
      <c r="G158">
        <v>1897.0908202999999</v>
      </c>
      <c r="H158">
        <v>1768.9468993999999</v>
      </c>
      <c r="I158">
        <v>598.11315918000003</v>
      </c>
      <c r="J158">
        <v>202.58317565999999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16.442502999999999</v>
      </c>
      <c r="B159" s="1">
        <f>DATE(2010,5,17) + TIME(10,37,12)</f>
        <v>40315.442499999997</v>
      </c>
      <c r="C159">
        <v>80</v>
      </c>
      <c r="D159">
        <v>79.892585753999995</v>
      </c>
      <c r="E159">
        <v>50</v>
      </c>
      <c r="F159">
        <v>14.894302368</v>
      </c>
      <c r="G159">
        <v>1897.3262939000001</v>
      </c>
      <c r="H159">
        <v>1769.1999512</v>
      </c>
      <c r="I159">
        <v>596.68560791000004</v>
      </c>
      <c r="J159">
        <v>201.15718079000001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16.752915999999999</v>
      </c>
      <c r="B160" s="1">
        <f>DATE(2010,5,17) + TIME(18,4,11)</f>
        <v>40315.752905092595</v>
      </c>
      <c r="C160">
        <v>80</v>
      </c>
      <c r="D160">
        <v>79.892494201999995</v>
      </c>
      <c r="E160">
        <v>50</v>
      </c>
      <c r="F160">
        <v>14.894514084000001</v>
      </c>
      <c r="G160">
        <v>1897.541626</v>
      </c>
      <c r="H160">
        <v>1769.4326172000001</v>
      </c>
      <c r="I160">
        <v>595.29193114999998</v>
      </c>
      <c r="J160">
        <v>199.76504517000001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17.065287000000001</v>
      </c>
      <c r="B161" s="1">
        <f>DATE(2010,5,18) + TIME(1,34,0)</f>
        <v>40316.06527777778</v>
      </c>
      <c r="C161">
        <v>80</v>
      </c>
      <c r="D161">
        <v>79.892410278</v>
      </c>
      <c r="E161">
        <v>50</v>
      </c>
      <c r="F161">
        <v>14.894728661</v>
      </c>
      <c r="G161">
        <v>1897.7398682</v>
      </c>
      <c r="H161">
        <v>1769.6479492000001</v>
      </c>
      <c r="I161">
        <v>593.92907715000001</v>
      </c>
      <c r="J161">
        <v>198.40379333000001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17.380082000000002</v>
      </c>
      <c r="B162" s="1">
        <f>DATE(2010,5,18) + TIME(9,7,19)</f>
        <v>40316.38008101852</v>
      </c>
      <c r="C162">
        <v>80</v>
      </c>
      <c r="D162">
        <v>79.892333984000004</v>
      </c>
      <c r="E162">
        <v>50</v>
      </c>
      <c r="F162">
        <v>14.894947051999999</v>
      </c>
      <c r="G162">
        <v>1897.9228516000001</v>
      </c>
      <c r="H162">
        <v>1769.8479004000001</v>
      </c>
      <c r="I162">
        <v>592.59436034999999</v>
      </c>
      <c r="J162">
        <v>197.07075499999999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17.697761</v>
      </c>
      <c r="B163" s="1">
        <f>DATE(2010,5,18) + TIME(16,44,46)</f>
        <v>40316.697754629633</v>
      </c>
      <c r="C163">
        <v>80</v>
      </c>
      <c r="D163">
        <v>79.892265320000007</v>
      </c>
      <c r="E163">
        <v>50</v>
      </c>
      <c r="F163">
        <v>14.895170212</v>
      </c>
      <c r="G163">
        <v>1898.0916748</v>
      </c>
      <c r="H163">
        <v>1770.0333252</v>
      </c>
      <c r="I163">
        <v>591.28540038999995</v>
      </c>
      <c r="J163">
        <v>195.76347351000001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18.018795000000001</v>
      </c>
      <c r="B164" s="1">
        <f>DATE(2010,5,19) + TIME(0,27,3)</f>
        <v>40317.018784722219</v>
      </c>
      <c r="C164">
        <v>80</v>
      </c>
      <c r="D164">
        <v>79.892196655000006</v>
      </c>
      <c r="E164">
        <v>50</v>
      </c>
      <c r="F164">
        <v>14.895396233</v>
      </c>
      <c r="G164">
        <v>1898.2469481999999</v>
      </c>
      <c r="H164">
        <v>1770.2052002</v>
      </c>
      <c r="I164">
        <v>589.99987793000003</v>
      </c>
      <c r="J164">
        <v>194.47972107000001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18.343669999999999</v>
      </c>
      <c r="B165" s="1">
        <f>DATE(2010,5,19) + TIME(8,14,53)</f>
        <v>40317.343668981484</v>
      </c>
      <c r="C165">
        <v>80</v>
      </c>
      <c r="D165">
        <v>79.892135620000005</v>
      </c>
      <c r="E165">
        <v>50</v>
      </c>
      <c r="F165">
        <v>14.895627975</v>
      </c>
      <c r="G165">
        <v>1898.3892822</v>
      </c>
      <c r="H165">
        <v>1770.3640137</v>
      </c>
      <c r="I165">
        <v>588.73577881000006</v>
      </c>
      <c r="J165">
        <v>193.21740722999999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18.672889999999999</v>
      </c>
      <c r="B166" s="1">
        <f>DATE(2010,5,19) + TIME(16,8,57)</f>
        <v>40317.672881944447</v>
      </c>
      <c r="C166">
        <v>80</v>
      </c>
      <c r="D166">
        <v>79.892074585000003</v>
      </c>
      <c r="E166">
        <v>50</v>
      </c>
      <c r="F166">
        <v>14.895863533</v>
      </c>
      <c r="G166">
        <v>1898.5191649999999</v>
      </c>
      <c r="H166">
        <v>1770.5101318</v>
      </c>
      <c r="I166">
        <v>587.49108887</v>
      </c>
      <c r="J166">
        <v>191.97457886000001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19.007083999999999</v>
      </c>
      <c r="B167" s="1">
        <f>DATE(2010,5,20) + TIME(0,10,12)</f>
        <v>40318.00708333333</v>
      </c>
      <c r="C167">
        <v>80</v>
      </c>
      <c r="D167">
        <v>79.892021178999997</v>
      </c>
      <c r="E167">
        <v>50</v>
      </c>
      <c r="F167">
        <v>14.896103859</v>
      </c>
      <c r="G167">
        <v>1898.6370850000001</v>
      </c>
      <c r="H167">
        <v>1770.6441649999999</v>
      </c>
      <c r="I167">
        <v>586.26367187999995</v>
      </c>
      <c r="J167">
        <v>190.7490387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19.346786000000002</v>
      </c>
      <c r="B168" s="1">
        <f>DATE(2010,5,20) + TIME(8,19,22)</f>
        <v>40318.346782407411</v>
      </c>
      <c r="C168">
        <v>80</v>
      </c>
      <c r="D168">
        <v>79.891975403000004</v>
      </c>
      <c r="E168">
        <v>50</v>
      </c>
      <c r="F168">
        <v>14.896349906999999</v>
      </c>
      <c r="G168">
        <v>1898.7430420000001</v>
      </c>
      <c r="H168">
        <v>1770.7662353999999</v>
      </c>
      <c r="I168">
        <v>585.05187988</v>
      </c>
      <c r="J168">
        <v>189.53919983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19.692540999999999</v>
      </c>
      <c r="B169" s="1">
        <f>DATE(2010,5,20) + TIME(16,37,15)</f>
        <v>40318.69253472222</v>
      </c>
      <c r="C169">
        <v>80</v>
      </c>
      <c r="D169">
        <v>79.891929626000007</v>
      </c>
      <c r="E169">
        <v>50</v>
      </c>
      <c r="F169">
        <v>14.896601677</v>
      </c>
      <c r="G169">
        <v>1898.8370361</v>
      </c>
      <c r="H169">
        <v>1770.8764647999999</v>
      </c>
      <c r="I169">
        <v>583.85424805000002</v>
      </c>
      <c r="J169">
        <v>188.34359741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20.044687</v>
      </c>
      <c r="B170" s="1">
        <f>DATE(2010,5,21) + TIME(1,4,20)</f>
        <v>40319.044675925928</v>
      </c>
      <c r="C170">
        <v>80</v>
      </c>
      <c r="D170">
        <v>79.891891478999995</v>
      </c>
      <c r="E170">
        <v>50</v>
      </c>
      <c r="F170">
        <v>14.896859169000001</v>
      </c>
      <c r="G170">
        <v>1898.9189452999999</v>
      </c>
      <c r="H170">
        <v>1770.9743652</v>
      </c>
      <c r="I170">
        <v>582.67022704999999</v>
      </c>
      <c r="J170">
        <v>187.16162109000001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20.403354</v>
      </c>
      <c r="B171" s="1">
        <f>DATE(2010,5,21) + TIME(9,40,49)</f>
        <v>40319.403344907405</v>
      </c>
      <c r="C171">
        <v>80</v>
      </c>
      <c r="D171">
        <v>79.891853333</v>
      </c>
      <c r="E171">
        <v>50</v>
      </c>
      <c r="F171">
        <v>14.897123337</v>
      </c>
      <c r="G171">
        <v>1898.9882812000001</v>
      </c>
      <c r="H171">
        <v>1771.0596923999999</v>
      </c>
      <c r="I171">
        <v>581.49987793000003</v>
      </c>
      <c r="J171">
        <v>185.99345398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20.768525</v>
      </c>
      <c r="B172" s="1">
        <f>DATE(2010,5,21) + TIME(18,26,40)</f>
        <v>40319.768518518518</v>
      </c>
      <c r="C172">
        <v>80</v>
      </c>
      <c r="D172">
        <v>79.891815186000002</v>
      </c>
      <c r="E172">
        <v>50</v>
      </c>
      <c r="F172">
        <v>14.897393227</v>
      </c>
      <c r="G172">
        <v>1899.0445557</v>
      </c>
      <c r="H172">
        <v>1771.1319579999999</v>
      </c>
      <c r="I172">
        <v>580.34393310999997</v>
      </c>
      <c r="J172">
        <v>184.83969116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21.140599000000002</v>
      </c>
      <c r="B173" s="1">
        <f>DATE(2010,5,22) + TIME(3,22,27)</f>
        <v>40320.140590277777</v>
      </c>
      <c r="C173">
        <v>80</v>
      </c>
      <c r="D173">
        <v>79.891777039000004</v>
      </c>
      <c r="E173">
        <v>50</v>
      </c>
      <c r="F173">
        <v>14.897669792</v>
      </c>
      <c r="G173">
        <v>1899.0877685999999</v>
      </c>
      <c r="H173">
        <v>1771.1912841999999</v>
      </c>
      <c r="I173">
        <v>579.20166015999996</v>
      </c>
      <c r="J173">
        <v>183.69969176999999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21.519629999999999</v>
      </c>
      <c r="B174" s="1">
        <f>DATE(2010,5,22) + TIME(12,28,16)</f>
        <v>40320.519629629627</v>
      </c>
      <c r="C174">
        <v>80</v>
      </c>
      <c r="D174">
        <v>79.891746521000002</v>
      </c>
      <c r="E174">
        <v>50</v>
      </c>
      <c r="F174">
        <v>14.89795208</v>
      </c>
      <c r="G174">
        <v>1899.1179199000001</v>
      </c>
      <c r="H174">
        <v>1771.2374268000001</v>
      </c>
      <c r="I174">
        <v>578.07354736000002</v>
      </c>
      <c r="J174">
        <v>182.57389832000001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21.905667000000001</v>
      </c>
      <c r="B175" s="1">
        <f>DATE(2010,5,22) + TIME(21,44,9)</f>
        <v>40320.905659722222</v>
      </c>
      <c r="C175">
        <v>80</v>
      </c>
      <c r="D175">
        <v>79.891716002999999</v>
      </c>
      <c r="E175">
        <v>50</v>
      </c>
      <c r="F175">
        <v>14.898241997</v>
      </c>
      <c r="G175">
        <v>1899.1343993999999</v>
      </c>
      <c r="H175">
        <v>1771.2698975000001</v>
      </c>
      <c r="I175">
        <v>576.96002196999996</v>
      </c>
      <c r="J175">
        <v>181.4627533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22.101102000000001</v>
      </c>
      <c r="B176" s="1">
        <f>DATE(2010,5,23) + TIME(2,25,35)</f>
        <v>40321.101099537038</v>
      </c>
      <c r="C176">
        <v>80</v>
      </c>
      <c r="D176">
        <v>79.891433715999995</v>
      </c>
      <c r="E176">
        <v>50</v>
      </c>
      <c r="F176">
        <v>14.89841938</v>
      </c>
      <c r="G176">
        <v>1899.0249022999999</v>
      </c>
      <c r="H176">
        <v>1771.1719971</v>
      </c>
      <c r="I176">
        <v>576.40582274999997</v>
      </c>
      <c r="J176">
        <v>180.91003418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22.296538000000002</v>
      </c>
      <c r="B177" s="1">
        <f>DATE(2010,5,23) + TIME(7,7,0)</f>
        <v>40321.296527777777</v>
      </c>
      <c r="C177">
        <v>80</v>
      </c>
      <c r="D177">
        <v>79.89125061</v>
      </c>
      <c r="E177">
        <v>50</v>
      </c>
      <c r="F177">
        <v>14.898591042</v>
      </c>
      <c r="G177">
        <v>1898.9345702999999</v>
      </c>
      <c r="H177">
        <v>1771.0909423999999</v>
      </c>
      <c r="I177">
        <v>575.85986328000001</v>
      </c>
      <c r="J177">
        <v>180.36550903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22.491973999999999</v>
      </c>
      <c r="B178" s="1">
        <f>DATE(2010,5,23) + TIME(11,48,26)</f>
        <v>40321.491967592592</v>
      </c>
      <c r="C178">
        <v>80</v>
      </c>
      <c r="D178">
        <v>79.891166686999995</v>
      </c>
      <c r="E178">
        <v>50</v>
      </c>
      <c r="F178">
        <v>14.898756981</v>
      </c>
      <c r="G178">
        <v>1898.8703613</v>
      </c>
      <c r="H178">
        <v>1771.0352783000001</v>
      </c>
      <c r="I178">
        <v>575.32238770000004</v>
      </c>
      <c r="J178">
        <v>179.82940674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22.68741</v>
      </c>
      <c r="B179" s="1">
        <f>DATE(2010,5,23) + TIME(16,29,52)</f>
        <v>40321.687407407408</v>
      </c>
      <c r="C179">
        <v>80</v>
      </c>
      <c r="D179">
        <v>79.891151428000001</v>
      </c>
      <c r="E179">
        <v>50</v>
      </c>
      <c r="F179">
        <v>14.898919105999999</v>
      </c>
      <c r="G179">
        <v>1898.8221435999999</v>
      </c>
      <c r="H179">
        <v>1770.9951172000001</v>
      </c>
      <c r="I179">
        <v>574.79327393000005</v>
      </c>
      <c r="J179">
        <v>179.30166625999999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22.882846000000001</v>
      </c>
      <c r="B180" s="1">
        <f>DATE(2010,5,23) + TIME(21,11,17)</f>
        <v>40321.882835648146</v>
      </c>
      <c r="C180">
        <v>80</v>
      </c>
      <c r="D180">
        <v>79.891159058</v>
      </c>
      <c r="E180">
        <v>50</v>
      </c>
      <c r="F180">
        <v>14.899079323</v>
      </c>
      <c r="G180">
        <v>1898.7823486</v>
      </c>
      <c r="H180">
        <v>1770.9631348</v>
      </c>
      <c r="I180">
        <v>574.27239989999998</v>
      </c>
      <c r="J180">
        <v>178.78213500999999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23.273717999999999</v>
      </c>
      <c r="B181" s="1">
        <f>DATE(2010,5,24) + TIME(6,34,9)</f>
        <v>40322.273715277777</v>
      </c>
      <c r="C181">
        <v>80</v>
      </c>
      <c r="D181">
        <v>79.891555785999998</v>
      </c>
      <c r="E181">
        <v>50</v>
      </c>
      <c r="F181">
        <v>14.899341583</v>
      </c>
      <c r="G181">
        <v>1898.8831786999999</v>
      </c>
      <c r="H181">
        <v>1771.0751952999999</v>
      </c>
      <c r="I181">
        <v>573.26171875</v>
      </c>
      <c r="J181">
        <v>177.77366638000001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23.664787</v>
      </c>
      <c r="B182" s="1">
        <f>DATE(2010,5,24) + TIME(15,57,17)</f>
        <v>40322.664780092593</v>
      </c>
      <c r="C182">
        <v>80</v>
      </c>
      <c r="D182">
        <v>79.891708374000004</v>
      </c>
      <c r="E182">
        <v>50</v>
      </c>
      <c r="F182">
        <v>14.899619102000001</v>
      </c>
      <c r="G182">
        <v>1898.9102783000001</v>
      </c>
      <c r="H182">
        <v>1771.1162108999999</v>
      </c>
      <c r="I182">
        <v>572.28192138999998</v>
      </c>
      <c r="J182">
        <v>176.79621886999999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24.057077</v>
      </c>
      <c r="B183" s="1">
        <f>DATE(2010,5,25) + TIME(1,22,11)</f>
        <v>40323.057071759256</v>
      </c>
      <c r="C183">
        <v>80</v>
      </c>
      <c r="D183">
        <v>79.891731261999993</v>
      </c>
      <c r="E183">
        <v>50</v>
      </c>
      <c r="F183">
        <v>14.899907111999999</v>
      </c>
      <c r="G183">
        <v>1898.8869629000001</v>
      </c>
      <c r="H183">
        <v>1771.1072998</v>
      </c>
      <c r="I183">
        <v>571.32897949000005</v>
      </c>
      <c r="J183">
        <v>175.84574889999999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24.451366</v>
      </c>
      <c r="B184" s="1">
        <f>DATE(2010,5,25) + TIME(10,49,58)</f>
        <v>40323.451365740744</v>
      </c>
      <c r="C184">
        <v>80</v>
      </c>
      <c r="D184">
        <v>79.891716002999999</v>
      </c>
      <c r="E184">
        <v>50</v>
      </c>
      <c r="F184">
        <v>14.900203704999999</v>
      </c>
      <c r="G184">
        <v>1898.8352050999999</v>
      </c>
      <c r="H184">
        <v>1771.0698242000001</v>
      </c>
      <c r="I184">
        <v>570.40032958999996</v>
      </c>
      <c r="J184">
        <v>174.91963196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24.848313000000001</v>
      </c>
      <c r="B185" s="1">
        <f>DATE(2010,5,25) + TIME(20,21,34)</f>
        <v>40323.848310185182</v>
      </c>
      <c r="C185">
        <v>80</v>
      </c>
      <c r="D185">
        <v>79.891685486</v>
      </c>
      <c r="E185">
        <v>50</v>
      </c>
      <c r="F185">
        <v>14.90050602</v>
      </c>
      <c r="G185">
        <v>1898.7646483999999</v>
      </c>
      <c r="H185">
        <v>1771.0135498</v>
      </c>
      <c r="I185">
        <v>569.49389647999999</v>
      </c>
      <c r="J185">
        <v>174.01576233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25.248553999999999</v>
      </c>
      <c r="B186" s="1">
        <f>DATE(2010,5,26) + TIME(5,57,55)</f>
        <v>40324.248553240737</v>
      </c>
      <c r="C186">
        <v>80</v>
      </c>
      <c r="D186">
        <v>79.891662597999996</v>
      </c>
      <c r="E186">
        <v>50</v>
      </c>
      <c r="F186">
        <v>14.900814056</v>
      </c>
      <c r="G186">
        <v>1898.6795654</v>
      </c>
      <c r="H186">
        <v>1770.9426269999999</v>
      </c>
      <c r="I186">
        <v>568.60784911999997</v>
      </c>
      <c r="J186">
        <v>173.13237000000001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25.652705000000001</v>
      </c>
      <c r="B187" s="1">
        <f>DATE(2010,5,26) + TIME(15,39,53)</f>
        <v>40324.652696759258</v>
      </c>
      <c r="C187">
        <v>80</v>
      </c>
      <c r="D187">
        <v>79.891639709000003</v>
      </c>
      <c r="E187">
        <v>50</v>
      </c>
      <c r="F187">
        <v>14.901126862</v>
      </c>
      <c r="G187">
        <v>1898.5820312000001</v>
      </c>
      <c r="H187">
        <v>1770.8591309000001</v>
      </c>
      <c r="I187">
        <v>567.74066161999997</v>
      </c>
      <c r="J187">
        <v>172.26786804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26.061392999999999</v>
      </c>
      <c r="B188" s="1">
        <f>DATE(2010,5,27) + TIME(1,28,24)</f>
        <v>40325.061388888891</v>
      </c>
      <c r="C188">
        <v>80</v>
      </c>
      <c r="D188">
        <v>79.891632079999994</v>
      </c>
      <c r="E188">
        <v>50</v>
      </c>
      <c r="F188">
        <v>14.901443480999999</v>
      </c>
      <c r="G188">
        <v>1898.4731445</v>
      </c>
      <c r="H188">
        <v>1770.7639160000001</v>
      </c>
      <c r="I188">
        <v>566.89086913999995</v>
      </c>
      <c r="J188">
        <v>171.42083740000001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26.475268</v>
      </c>
      <c r="B189" s="1">
        <f>DATE(2010,5,27) + TIME(11,24,23)</f>
        <v>40325.475266203706</v>
      </c>
      <c r="C189">
        <v>80</v>
      </c>
      <c r="D189">
        <v>79.891632079999994</v>
      </c>
      <c r="E189">
        <v>50</v>
      </c>
      <c r="F189">
        <v>14.901765823</v>
      </c>
      <c r="G189">
        <v>1898.3531493999999</v>
      </c>
      <c r="H189">
        <v>1770.6577147999999</v>
      </c>
      <c r="I189">
        <v>566.05718993999994</v>
      </c>
      <c r="J189">
        <v>170.58995056000001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26.895192999999999</v>
      </c>
      <c r="B190" s="1">
        <f>DATE(2010,5,27) + TIME(21,29,4)</f>
        <v>40325.895185185182</v>
      </c>
      <c r="C190">
        <v>80</v>
      </c>
      <c r="D190">
        <v>79.891639709000003</v>
      </c>
      <c r="E190">
        <v>50</v>
      </c>
      <c r="F190">
        <v>14.902092934000001</v>
      </c>
      <c r="G190">
        <v>1898.2224120999999</v>
      </c>
      <c r="H190">
        <v>1770.5407714999999</v>
      </c>
      <c r="I190">
        <v>565.23803711000005</v>
      </c>
      <c r="J190">
        <v>169.77365112000001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27.321735</v>
      </c>
      <c r="B191" s="1">
        <f>DATE(2010,5,28) + TIME(7,43,17)</f>
        <v>40326.32172453704</v>
      </c>
      <c r="C191">
        <v>80</v>
      </c>
      <c r="D191">
        <v>79.891654967999997</v>
      </c>
      <c r="E191">
        <v>50</v>
      </c>
      <c r="F191">
        <v>14.902425766</v>
      </c>
      <c r="G191">
        <v>1898.0809326000001</v>
      </c>
      <c r="H191">
        <v>1770.4128418</v>
      </c>
      <c r="I191">
        <v>564.43261718999997</v>
      </c>
      <c r="J191">
        <v>168.97114563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27.755648999999998</v>
      </c>
      <c r="B192" s="1">
        <f>DATE(2010,5,28) + TIME(18,8,8)</f>
        <v>40326.755648148152</v>
      </c>
      <c r="C192">
        <v>80</v>
      </c>
      <c r="D192">
        <v>79.891670227000006</v>
      </c>
      <c r="E192">
        <v>50</v>
      </c>
      <c r="F192">
        <v>14.902764319999999</v>
      </c>
      <c r="G192">
        <v>1897.9283447</v>
      </c>
      <c r="H192">
        <v>1770.2738036999999</v>
      </c>
      <c r="I192">
        <v>563.63989258000004</v>
      </c>
      <c r="J192">
        <v>168.18138123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28.197019000000001</v>
      </c>
      <c r="B193" s="1">
        <f>DATE(2010,5,29) + TIME(4,43,42)</f>
        <v>40327.197013888886</v>
      </c>
      <c r="C193">
        <v>80</v>
      </c>
      <c r="D193">
        <v>79.891693114999995</v>
      </c>
      <c r="E193">
        <v>50</v>
      </c>
      <c r="F193">
        <v>14.90310955</v>
      </c>
      <c r="G193">
        <v>1897.7644043</v>
      </c>
      <c r="H193">
        <v>1770.1234131000001</v>
      </c>
      <c r="I193">
        <v>562.86010741999996</v>
      </c>
      <c r="J193">
        <v>167.40463256999999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28.646038999999998</v>
      </c>
      <c r="B194" s="1">
        <f>DATE(2010,5,29) + TIME(15,30,17)</f>
        <v>40327.64603009259</v>
      </c>
      <c r="C194">
        <v>80</v>
      </c>
      <c r="D194">
        <v>79.891716002999999</v>
      </c>
      <c r="E194">
        <v>50</v>
      </c>
      <c r="F194">
        <v>14.903460503</v>
      </c>
      <c r="G194">
        <v>1897.5887451000001</v>
      </c>
      <c r="H194">
        <v>1769.9613036999999</v>
      </c>
      <c r="I194">
        <v>562.09338378999996</v>
      </c>
      <c r="J194">
        <v>166.64099121000001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29.102816000000001</v>
      </c>
      <c r="B195" s="1">
        <f>DATE(2010,5,30) + TIME(2,28,3)</f>
        <v>40328.102812500001</v>
      </c>
      <c r="C195">
        <v>80</v>
      </c>
      <c r="D195">
        <v>79.891746521000002</v>
      </c>
      <c r="E195">
        <v>50</v>
      </c>
      <c r="F195">
        <v>14.903817177000001</v>
      </c>
      <c r="G195">
        <v>1897.4011230000001</v>
      </c>
      <c r="H195">
        <v>1769.7871094</v>
      </c>
      <c r="I195">
        <v>561.33990478999999</v>
      </c>
      <c r="J195">
        <v>165.89068603999999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29.567422000000001</v>
      </c>
      <c r="B196" s="1">
        <f>DATE(2010,5,30) + TIME(13,37,5)</f>
        <v>40328.567418981482</v>
      </c>
      <c r="C196">
        <v>80</v>
      </c>
      <c r="D196">
        <v>79.891777039000004</v>
      </c>
      <c r="E196">
        <v>50</v>
      </c>
      <c r="F196">
        <v>14.904180526999999</v>
      </c>
      <c r="G196">
        <v>1897.2015381000001</v>
      </c>
      <c r="H196">
        <v>1769.6009521000001</v>
      </c>
      <c r="I196">
        <v>560.60003661999997</v>
      </c>
      <c r="J196">
        <v>165.15402222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30.040012999999998</v>
      </c>
      <c r="B197" s="1">
        <f>DATE(2010,5,31) + TIME(0,57,37)</f>
        <v>40329.040011574078</v>
      </c>
      <c r="C197">
        <v>80</v>
      </c>
      <c r="D197">
        <v>79.891815186000002</v>
      </c>
      <c r="E197">
        <v>50</v>
      </c>
      <c r="F197">
        <v>14.904550552</v>
      </c>
      <c r="G197">
        <v>1896.989624</v>
      </c>
      <c r="H197">
        <v>1769.4024658000001</v>
      </c>
      <c r="I197">
        <v>559.87384033000001</v>
      </c>
      <c r="J197">
        <v>164.43113708000001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30.27833</v>
      </c>
      <c r="B198" s="1">
        <f>DATE(2010,5,31) + TIME(6,40,47)</f>
        <v>40329.278321759259</v>
      </c>
      <c r="C198">
        <v>80</v>
      </c>
      <c r="D198">
        <v>79.891616821</v>
      </c>
      <c r="E198">
        <v>50</v>
      </c>
      <c r="F198">
        <v>14.904784203</v>
      </c>
      <c r="G198">
        <v>1896.7854004000001</v>
      </c>
      <c r="H198">
        <v>1769.2080077999999</v>
      </c>
      <c r="I198">
        <v>559.51525878999996</v>
      </c>
      <c r="J198">
        <v>164.07463074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30.516646999999999</v>
      </c>
      <c r="B199" s="1">
        <f>DATE(2010,5,31) + TIME(12,23,58)</f>
        <v>40329.516643518517</v>
      </c>
      <c r="C199">
        <v>80</v>
      </c>
      <c r="D199">
        <v>79.891494750999996</v>
      </c>
      <c r="E199">
        <v>50</v>
      </c>
      <c r="F199">
        <v>14.905006409</v>
      </c>
      <c r="G199">
        <v>1896.5930175999999</v>
      </c>
      <c r="H199">
        <v>1769.0235596</v>
      </c>
      <c r="I199">
        <v>559.16241454999999</v>
      </c>
      <c r="J199">
        <v>163.72380065999999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30.758323000000001</v>
      </c>
      <c r="B200" s="1">
        <f>DATE(2010,5,31) + TIME(18,11,59)</f>
        <v>40329.758321759262</v>
      </c>
      <c r="C200">
        <v>80</v>
      </c>
      <c r="D200">
        <v>79.891456603999998</v>
      </c>
      <c r="E200">
        <v>50</v>
      </c>
      <c r="F200">
        <v>14.905221939</v>
      </c>
      <c r="G200">
        <v>1896.421875</v>
      </c>
      <c r="H200">
        <v>1768.8594971</v>
      </c>
      <c r="I200">
        <v>558.81097411999997</v>
      </c>
      <c r="J200">
        <v>163.3742981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31</v>
      </c>
      <c r="B201" s="1">
        <f>DATE(2010,6,1) + TIME(0,0,0)</f>
        <v>40330</v>
      </c>
      <c r="C201">
        <v>80</v>
      </c>
      <c r="D201">
        <v>79.891479492000002</v>
      </c>
      <c r="E201">
        <v>50</v>
      </c>
      <c r="F201">
        <v>14.905430794000001</v>
      </c>
      <c r="G201">
        <v>1896.2658690999999</v>
      </c>
      <c r="H201">
        <v>1768.7105713000001</v>
      </c>
      <c r="I201">
        <v>558.46594238</v>
      </c>
      <c r="J201">
        <v>163.03114318999999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31.239156000000001</v>
      </c>
      <c r="B202" s="1">
        <f>DATE(2010,6,1) + TIME(5,44,23)</f>
        <v>40330.239155092589</v>
      </c>
      <c r="C202">
        <v>80</v>
      </c>
      <c r="D202">
        <v>79.891517639</v>
      </c>
      <c r="E202">
        <v>50</v>
      </c>
      <c r="F202">
        <v>14.905633926</v>
      </c>
      <c r="G202">
        <v>1896.1185303</v>
      </c>
      <c r="H202">
        <v>1768.5697021000001</v>
      </c>
      <c r="I202">
        <v>558.13067626999998</v>
      </c>
      <c r="J202">
        <v>162.69770813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31.478311000000001</v>
      </c>
      <c r="B203" s="1">
        <f>DATE(2010,6,1) + TIME(11,28,46)</f>
        <v>40330.478310185186</v>
      </c>
      <c r="C203">
        <v>80</v>
      </c>
      <c r="D203">
        <v>79.891571045000006</v>
      </c>
      <c r="E203">
        <v>50</v>
      </c>
      <c r="F203">
        <v>14.905833244</v>
      </c>
      <c r="G203">
        <v>1895.9757079999999</v>
      </c>
      <c r="H203">
        <v>1768.4334716999999</v>
      </c>
      <c r="I203">
        <v>557.80151366999996</v>
      </c>
      <c r="J203">
        <v>162.37031554999999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31.717466999999999</v>
      </c>
      <c r="B204" s="1">
        <f>DATE(2010,6,1) + TIME(17,13,9)</f>
        <v>40330.717465277776</v>
      </c>
      <c r="C204">
        <v>80</v>
      </c>
      <c r="D204">
        <v>79.891624450999998</v>
      </c>
      <c r="E204">
        <v>50</v>
      </c>
      <c r="F204">
        <v>14.906029701</v>
      </c>
      <c r="G204">
        <v>1895.8356934000001</v>
      </c>
      <c r="H204">
        <v>1768.2996826000001</v>
      </c>
      <c r="I204">
        <v>557.47827147999999</v>
      </c>
      <c r="J204">
        <v>162.04888915999999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32.195777999999997</v>
      </c>
      <c r="B205" s="1">
        <f>DATE(2010,6,2) + TIME(4,41,55)</f>
        <v>40331.195775462962</v>
      </c>
      <c r="C205">
        <v>80</v>
      </c>
      <c r="D205">
        <v>79.892005920000003</v>
      </c>
      <c r="E205">
        <v>50</v>
      </c>
      <c r="F205">
        <v>14.906341553000001</v>
      </c>
      <c r="G205">
        <v>1895.7021483999999</v>
      </c>
      <c r="H205">
        <v>1768.1751709</v>
      </c>
      <c r="I205">
        <v>556.85382079999999</v>
      </c>
      <c r="J205">
        <v>161.42723083000001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32.674647999999998</v>
      </c>
      <c r="B206" s="1">
        <f>DATE(2010,6,2) + TIME(16,11,29)</f>
        <v>40331.674641203703</v>
      </c>
      <c r="C206">
        <v>80</v>
      </c>
      <c r="D206">
        <v>79.892173767000003</v>
      </c>
      <c r="E206">
        <v>50</v>
      </c>
      <c r="F206">
        <v>14.906682013999999</v>
      </c>
      <c r="G206">
        <v>1895.5114745999999</v>
      </c>
      <c r="H206">
        <v>1767.9957274999999</v>
      </c>
      <c r="I206">
        <v>556.25201416000004</v>
      </c>
      <c r="J206">
        <v>160.82853699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33.155906000000002</v>
      </c>
      <c r="B207" s="1">
        <f>DATE(2010,6,3) + TIME(3,44,30)</f>
        <v>40332.155902777777</v>
      </c>
      <c r="C207">
        <v>80</v>
      </c>
      <c r="D207">
        <v>79.892234802000004</v>
      </c>
      <c r="E207">
        <v>50</v>
      </c>
      <c r="F207">
        <v>14.907039642000001</v>
      </c>
      <c r="G207">
        <v>1895.277832</v>
      </c>
      <c r="H207">
        <v>1767.7739257999999</v>
      </c>
      <c r="I207">
        <v>555.66931151999995</v>
      </c>
      <c r="J207">
        <v>160.2490387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33.640529999999998</v>
      </c>
      <c r="B208" s="1">
        <f>DATE(2010,6,3) + TIME(15,22,21)</f>
        <v>40332.640520833331</v>
      </c>
      <c r="C208">
        <v>80</v>
      </c>
      <c r="D208">
        <v>79.892265320000007</v>
      </c>
      <c r="E208">
        <v>50</v>
      </c>
      <c r="F208">
        <v>14.907409668</v>
      </c>
      <c r="G208">
        <v>1895.0192870999999</v>
      </c>
      <c r="H208">
        <v>1767.5270995999999</v>
      </c>
      <c r="I208">
        <v>555.10394286999997</v>
      </c>
      <c r="J208">
        <v>159.68704224000001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34.129379999999998</v>
      </c>
      <c r="B209" s="1">
        <f>DATE(2010,6,4) + TIME(3,6,18)</f>
        <v>40333.129374999997</v>
      </c>
      <c r="C209">
        <v>80</v>
      </c>
      <c r="D209">
        <v>79.892288207999997</v>
      </c>
      <c r="E209">
        <v>50</v>
      </c>
      <c r="F209">
        <v>14.907788277</v>
      </c>
      <c r="G209">
        <v>1894.7441406</v>
      </c>
      <c r="H209">
        <v>1767.2636719</v>
      </c>
      <c r="I209">
        <v>554.5546875</v>
      </c>
      <c r="J209">
        <v>159.14125060999999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34.623247999999997</v>
      </c>
      <c r="B210" s="1">
        <f>DATE(2010,6,4) + TIME(14,57,28)</f>
        <v>40333.623240740744</v>
      </c>
      <c r="C210">
        <v>80</v>
      </c>
      <c r="D210">
        <v>79.892318725999999</v>
      </c>
      <c r="E210">
        <v>50</v>
      </c>
      <c r="F210">
        <v>14.908172606999999</v>
      </c>
      <c r="G210">
        <v>1894.4560547000001</v>
      </c>
      <c r="H210">
        <v>1766.9873047000001</v>
      </c>
      <c r="I210">
        <v>554.02056885000002</v>
      </c>
      <c r="J210">
        <v>158.6105957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35.122939000000002</v>
      </c>
      <c r="B211" s="1">
        <f>DATE(2010,6,5) + TIME(2,57,1)</f>
        <v>40334.122928240744</v>
      </c>
      <c r="C211">
        <v>80</v>
      </c>
      <c r="D211">
        <v>79.892356872999997</v>
      </c>
      <c r="E211">
        <v>50</v>
      </c>
      <c r="F211">
        <v>14.908562659999999</v>
      </c>
      <c r="G211">
        <v>1894.1567382999999</v>
      </c>
      <c r="H211">
        <v>1766.6995850000001</v>
      </c>
      <c r="I211">
        <v>553.50054932</v>
      </c>
      <c r="J211">
        <v>158.09417725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35.629421000000001</v>
      </c>
      <c r="B212" s="1">
        <f>DATE(2010,6,5) + TIME(15,6,21)</f>
        <v>40334.62940972222</v>
      </c>
      <c r="C212">
        <v>80</v>
      </c>
      <c r="D212">
        <v>79.892402649000005</v>
      </c>
      <c r="E212">
        <v>50</v>
      </c>
      <c r="F212">
        <v>14.908958435000001</v>
      </c>
      <c r="G212">
        <v>1893.8468018000001</v>
      </c>
      <c r="H212">
        <v>1766.401001</v>
      </c>
      <c r="I212">
        <v>552.99383545000001</v>
      </c>
      <c r="J212">
        <v>157.59106445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36.143532</v>
      </c>
      <c r="B213" s="1">
        <f>DATE(2010,6,6) + TIME(3,26,41)</f>
        <v>40335.143530092595</v>
      </c>
      <c r="C213">
        <v>80</v>
      </c>
      <c r="D213">
        <v>79.892456054999997</v>
      </c>
      <c r="E213">
        <v>50</v>
      </c>
      <c r="F213">
        <v>14.909359931999999</v>
      </c>
      <c r="G213">
        <v>1893.5261230000001</v>
      </c>
      <c r="H213">
        <v>1766.0919189000001</v>
      </c>
      <c r="I213">
        <v>552.49963378999996</v>
      </c>
      <c r="J213">
        <v>157.10057068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36.666105000000002</v>
      </c>
      <c r="B214" s="1">
        <f>DATE(2010,6,6) + TIME(15,59,11)</f>
        <v>40335.66609953704</v>
      </c>
      <c r="C214">
        <v>80</v>
      </c>
      <c r="D214">
        <v>79.892517089999998</v>
      </c>
      <c r="E214">
        <v>50</v>
      </c>
      <c r="F214">
        <v>14.909767151</v>
      </c>
      <c r="G214">
        <v>1893.1947021000001</v>
      </c>
      <c r="H214">
        <v>1765.7718506000001</v>
      </c>
      <c r="I214">
        <v>552.01745604999996</v>
      </c>
      <c r="J214">
        <v>156.62216187000001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37.196787</v>
      </c>
      <c r="B215" s="1">
        <f>DATE(2010,6,7) + TIME(4,43,22)</f>
        <v>40336.196782407409</v>
      </c>
      <c r="C215">
        <v>80</v>
      </c>
      <c r="D215">
        <v>79.892578125</v>
      </c>
      <c r="E215">
        <v>50</v>
      </c>
      <c r="F215">
        <v>14.910181046</v>
      </c>
      <c r="G215">
        <v>1892.8524170000001</v>
      </c>
      <c r="H215">
        <v>1765.440918</v>
      </c>
      <c r="I215">
        <v>551.54785156000003</v>
      </c>
      <c r="J215">
        <v>156.15638733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37.736248000000003</v>
      </c>
      <c r="B216" s="1">
        <f>DATE(2010,6,7) + TIME(17,40,11)</f>
        <v>40336.736238425925</v>
      </c>
      <c r="C216">
        <v>80</v>
      </c>
      <c r="D216">
        <v>79.892646790000001</v>
      </c>
      <c r="E216">
        <v>50</v>
      </c>
      <c r="F216">
        <v>14.910599709</v>
      </c>
      <c r="G216">
        <v>1892.4990233999999</v>
      </c>
      <c r="H216">
        <v>1765.0987548999999</v>
      </c>
      <c r="I216">
        <v>551.09051513999998</v>
      </c>
      <c r="J216">
        <v>155.70291137999999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38.284370000000003</v>
      </c>
      <c r="B217" s="1">
        <f>DATE(2010,6,8) + TIME(6,49,29)</f>
        <v>40337.284363425926</v>
      </c>
      <c r="C217">
        <v>80</v>
      </c>
      <c r="D217">
        <v>79.892723083000007</v>
      </c>
      <c r="E217">
        <v>50</v>
      </c>
      <c r="F217">
        <v>14.911025047000001</v>
      </c>
      <c r="G217">
        <v>1892.1345214999999</v>
      </c>
      <c r="H217">
        <v>1764.7454834</v>
      </c>
      <c r="I217">
        <v>550.64575194999998</v>
      </c>
      <c r="J217">
        <v>155.26206970000001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38.841470000000001</v>
      </c>
      <c r="B218" s="1">
        <f>DATE(2010,6,8) + TIME(20,11,43)</f>
        <v>40337.841469907406</v>
      </c>
      <c r="C218">
        <v>80</v>
      </c>
      <c r="D218">
        <v>79.892791747999993</v>
      </c>
      <c r="E218">
        <v>50</v>
      </c>
      <c r="F218">
        <v>14.911457062</v>
      </c>
      <c r="G218">
        <v>1891.7586670000001</v>
      </c>
      <c r="H218">
        <v>1764.3808594</v>
      </c>
      <c r="I218">
        <v>550.21350098000005</v>
      </c>
      <c r="J218">
        <v>154.83386229999999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39.120480000000001</v>
      </c>
      <c r="B219" s="1">
        <f>DATE(2010,6,9) + TIME(2,53,29)</f>
        <v>40338.120474537034</v>
      </c>
      <c r="C219">
        <v>80</v>
      </c>
      <c r="D219">
        <v>79.892654418999996</v>
      </c>
      <c r="E219">
        <v>50</v>
      </c>
      <c r="F219">
        <v>14.911735535</v>
      </c>
      <c r="G219">
        <v>1891.487793</v>
      </c>
      <c r="H219">
        <v>1764.1181641000001</v>
      </c>
      <c r="I219">
        <v>550.00329590000001</v>
      </c>
      <c r="J219">
        <v>154.62620544000001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39.399490999999998</v>
      </c>
      <c r="B220" s="1">
        <f>DATE(2010,6,9) + TIME(9,35,15)</f>
        <v>40338.39947916667</v>
      </c>
      <c r="C220">
        <v>80</v>
      </c>
      <c r="D220">
        <v>79.892570496000005</v>
      </c>
      <c r="E220">
        <v>50</v>
      </c>
      <c r="F220">
        <v>14.911995888</v>
      </c>
      <c r="G220">
        <v>1891.2237548999999</v>
      </c>
      <c r="H220">
        <v>1763.8607178</v>
      </c>
      <c r="I220">
        <v>549.79693603999999</v>
      </c>
      <c r="J220">
        <v>154.42225647000001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39.957510999999997</v>
      </c>
      <c r="B221" s="1">
        <f>DATE(2010,6,9) + TIME(22,58,48)</f>
        <v>40338.957499999997</v>
      </c>
      <c r="C221">
        <v>80</v>
      </c>
      <c r="D221">
        <v>79.892852782999995</v>
      </c>
      <c r="E221">
        <v>50</v>
      </c>
      <c r="F221">
        <v>14.912382126000001</v>
      </c>
      <c r="G221">
        <v>1890.8856201000001</v>
      </c>
      <c r="H221">
        <v>1763.5308838000001</v>
      </c>
      <c r="I221">
        <v>549.40063477000001</v>
      </c>
      <c r="J221">
        <v>154.02961730999999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40.515822</v>
      </c>
      <c r="B222" s="1">
        <f>DATE(2010,6,10) + TIME(12,22,46)</f>
        <v>40339.515810185185</v>
      </c>
      <c r="C222">
        <v>80</v>
      </c>
      <c r="D222">
        <v>79.893028259000005</v>
      </c>
      <c r="E222">
        <v>50</v>
      </c>
      <c r="F222">
        <v>14.912791252</v>
      </c>
      <c r="G222">
        <v>1890.5274658000001</v>
      </c>
      <c r="H222">
        <v>1763.1828613</v>
      </c>
      <c r="I222">
        <v>549.02319336000005</v>
      </c>
      <c r="J222">
        <v>153.65602111999999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41.075401999999997</v>
      </c>
      <c r="B223" s="1">
        <f>DATE(2010,6,11) + TIME(1,48,34)</f>
        <v>40340.07539351852</v>
      </c>
      <c r="C223">
        <v>80</v>
      </c>
      <c r="D223">
        <v>79.893135071000003</v>
      </c>
      <c r="E223">
        <v>50</v>
      </c>
      <c r="F223">
        <v>14.913211822999999</v>
      </c>
      <c r="G223">
        <v>1890.1444091999999</v>
      </c>
      <c r="H223">
        <v>1762.8100586</v>
      </c>
      <c r="I223">
        <v>548.66247558999999</v>
      </c>
      <c r="J223">
        <v>153.29924011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41.637343999999999</v>
      </c>
      <c r="B224" s="1">
        <f>DATE(2010,6,11) + TIME(15,17,46)</f>
        <v>40340.637337962966</v>
      </c>
      <c r="C224">
        <v>80</v>
      </c>
      <c r="D224">
        <v>79.893218993999994</v>
      </c>
      <c r="E224">
        <v>50</v>
      </c>
      <c r="F224">
        <v>14.913640021999999</v>
      </c>
      <c r="G224">
        <v>1889.7458495999999</v>
      </c>
      <c r="H224">
        <v>1762.421875</v>
      </c>
      <c r="I224">
        <v>548.31719970999995</v>
      </c>
      <c r="J224">
        <v>152.95793151999999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42.202578000000003</v>
      </c>
      <c r="B225" s="1">
        <f>DATE(2010,6,12) + TIME(4,51,42)</f>
        <v>40341.202569444446</v>
      </c>
      <c r="C225">
        <v>80</v>
      </c>
      <c r="D225">
        <v>79.893287658999995</v>
      </c>
      <c r="E225">
        <v>50</v>
      </c>
      <c r="F225">
        <v>14.914072037</v>
      </c>
      <c r="G225">
        <v>1889.3370361</v>
      </c>
      <c r="H225">
        <v>1762.0231934000001</v>
      </c>
      <c r="I225">
        <v>547.98632812000005</v>
      </c>
      <c r="J225">
        <v>152.63113403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42.772022999999997</v>
      </c>
      <c r="B226" s="1">
        <f>DATE(2010,6,12) + TIME(18,31,42)</f>
        <v>40341.772013888891</v>
      </c>
      <c r="C226">
        <v>80</v>
      </c>
      <c r="D226">
        <v>79.893371582</v>
      </c>
      <c r="E226">
        <v>50</v>
      </c>
      <c r="F226">
        <v>14.914507865999999</v>
      </c>
      <c r="G226">
        <v>1888.9197998</v>
      </c>
      <c r="H226">
        <v>1761.6159668</v>
      </c>
      <c r="I226">
        <v>547.66906738</v>
      </c>
      <c r="J226">
        <v>152.31802368000001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43.346653000000003</v>
      </c>
      <c r="B227" s="1">
        <f>DATE(2010,6,13) + TIME(8,19,10)</f>
        <v>40342.346643518518</v>
      </c>
      <c r="C227">
        <v>80</v>
      </c>
      <c r="D227">
        <v>79.893455505000006</v>
      </c>
      <c r="E227">
        <v>50</v>
      </c>
      <c r="F227">
        <v>14.914947509999999</v>
      </c>
      <c r="G227">
        <v>1888.494751</v>
      </c>
      <c r="H227">
        <v>1761.2008057</v>
      </c>
      <c r="I227">
        <v>547.36480713000003</v>
      </c>
      <c r="J227">
        <v>152.01785278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43.927388000000001</v>
      </c>
      <c r="B228" s="1">
        <f>DATE(2010,6,13) + TIME(22,15,26)</f>
        <v>40342.927384259259</v>
      </c>
      <c r="C228">
        <v>80</v>
      </c>
      <c r="D228">
        <v>79.893539429</v>
      </c>
      <c r="E228">
        <v>50</v>
      </c>
      <c r="F228">
        <v>14.915390015</v>
      </c>
      <c r="G228">
        <v>1888.0618896000001</v>
      </c>
      <c r="H228">
        <v>1760.7777100000001</v>
      </c>
      <c r="I228">
        <v>547.07281493999994</v>
      </c>
      <c r="J228">
        <v>151.73005676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44.515253999999999</v>
      </c>
      <c r="B229" s="1">
        <f>DATE(2010,6,14) + TIME(12,21,57)</f>
        <v>40343.515243055554</v>
      </c>
      <c r="C229">
        <v>80</v>
      </c>
      <c r="D229">
        <v>79.893630981000001</v>
      </c>
      <c r="E229">
        <v>50</v>
      </c>
      <c r="F229">
        <v>14.915837288000001</v>
      </c>
      <c r="G229">
        <v>1887.6208495999999</v>
      </c>
      <c r="H229">
        <v>1760.3465576000001</v>
      </c>
      <c r="I229">
        <v>546.79260253999996</v>
      </c>
      <c r="J229">
        <v>151.45407104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45.110563999999997</v>
      </c>
      <c r="B230" s="1">
        <f>DATE(2010,6,15) + TIME(2,39,12)</f>
        <v>40344.110555555555</v>
      </c>
      <c r="C230">
        <v>80</v>
      </c>
      <c r="D230">
        <v>79.893722534000005</v>
      </c>
      <c r="E230">
        <v>50</v>
      </c>
      <c r="F230">
        <v>14.916287422</v>
      </c>
      <c r="G230">
        <v>1887.1716309000001</v>
      </c>
      <c r="H230">
        <v>1759.9069824000001</v>
      </c>
      <c r="I230">
        <v>546.52398682</v>
      </c>
      <c r="J230">
        <v>151.18974304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45.713878999999999</v>
      </c>
      <c r="B231" s="1">
        <f>DATE(2010,6,15) + TIME(17,7,59)</f>
        <v>40344.713877314818</v>
      </c>
      <c r="C231">
        <v>80</v>
      </c>
      <c r="D231">
        <v>79.893821716000005</v>
      </c>
      <c r="E231">
        <v>50</v>
      </c>
      <c r="F231">
        <v>14.916742325</v>
      </c>
      <c r="G231">
        <v>1886.7137451000001</v>
      </c>
      <c r="H231">
        <v>1759.4586182</v>
      </c>
      <c r="I231">
        <v>546.26678466999999</v>
      </c>
      <c r="J231">
        <v>150.93685912999999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46.324677999999999</v>
      </c>
      <c r="B232" s="1">
        <f>DATE(2010,6,16) + TIME(7,47,32)</f>
        <v>40345.324675925927</v>
      </c>
      <c r="C232">
        <v>80</v>
      </c>
      <c r="D232">
        <v>79.893920898000005</v>
      </c>
      <c r="E232">
        <v>50</v>
      </c>
      <c r="F232">
        <v>14.917201042</v>
      </c>
      <c r="G232">
        <v>1886.2473144999999</v>
      </c>
      <c r="H232">
        <v>1759.0018310999999</v>
      </c>
      <c r="I232">
        <v>546.02117920000001</v>
      </c>
      <c r="J232">
        <v>150.69564818999999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46.944111999999997</v>
      </c>
      <c r="B233" s="1">
        <f>DATE(2010,6,16) + TIME(22,39,31)</f>
        <v>40345.944108796299</v>
      </c>
      <c r="C233">
        <v>80</v>
      </c>
      <c r="D233">
        <v>79.894027710000003</v>
      </c>
      <c r="E233">
        <v>50</v>
      </c>
      <c r="F233">
        <v>14.917665482</v>
      </c>
      <c r="G233">
        <v>1885.7720947</v>
      </c>
      <c r="H233">
        <v>1758.5360106999999</v>
      </c>
      <c r="I233">
        <v>545.78680420000001</v>
      </c>
      <c r="J233">
        <v>150.46566772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47.573098000000002</v>
      </c>
      <c r="B234" s="1">
        <f>DATE(2010,6,17) + TIME(13,45,15)</f>
        <v>40346.57309027778</v>
      </c>
      <c r="C234">
        <v>80</v>
      </c>
      <c r="D234">
        <v>79.894134520999998</v>
      </c>
      <c r="E234">
        <v>50</v>
      </c>
      <c r="F234">
        <v>14.918133736</v>
      </c>
      <c r="G234">
        <v>1885.2875977000001</v>
      </c>
      <c r="H234">
        <v>1758.0609131000001</v>
      </c>
      <c r="I234">
        <v>545.56329345999995</v>
      </c>
      <c r="J234">
        <v>150.24664307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48.211844999999997</v>
      </c>
      <c r="B235" s="1">
        <f>DATE(2010,6,18) + TIME(5,5,3)</f>
        <v>40347.211840277778</v>
      </c>
      <c r="C235">
        <v>80</v>
      </c>
      <c r="D235">
        <v>79.894241332999997</v>
      </c>
      <c r="E235">
        <v>50</v>
      </c>
      <c r="F235">
        <v>14.918607712</v>
      </c>
      <c r="G235">
        <v>1884.793457</v>
      </c>
      <c r="H235">
        <v>1757.5762939000001</v>
      </c>
      <c r="I235">
        <v>545.35070800999995</v>
      </c>
      <c r="J235">
        <v>150.03860474000001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48.532080999999998</v>
      </c>
      <c r="B236" s="1">
        <f>DATE(2010,6,18) + TIME(12,46,11)</f>
        <v>40347.532071759262</v>
      </c>
      <c r="C236">
        <v>80</v>
      </c>
      <c r="D236">
        <v>79.894142150999997</v>
      </c>
      <c r="E236">
        <v>50</v>
      </c>
      <c r="F236">
        <v>14.918920517</v>
      </c>
      <c r="G236">
        <v>1884.4747314000001</v>
      </c>
      <c r="H236">
        <v>1757.2644043</v>
      </c>
      <c r="I236">
        <v>545.24932861000002</v>
      </c>
      <c r="J236">
        <v>149.94017029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48.852317999999997</v>
      </c>
      <c r="B237" s="1">
        <f>DATE(2010,6,18) + TIME(20,27,20)</f>
        <v>40347.852314814816</v>
      </c>
      <c r="C237">
        <v>80</v>
      </c>
      <c r="D237">
        <v>79.894096375000004</v>
      </c>
      <c r="E237">
        <v>50</v>
      </c>
      <c r="F237">
        <v>14.919209479999999</v>
      </c>
      <c r="G237">
        <v>1884.1595459</v>
      </c>
      <c r="H237">
        <v>1756.9547118999999</v>
      </c>
      <c r="I237">
        <v>545.15026854999996</v>
      </c>
      <c r="J237">
        <v>149.84388733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49.492789999999999</v>
      </c>
      <c r="B238" s="1">
        <f>DATE(2010,6,19) + TIME(11,49,37)</f>
        <v>40348.492789351854</v>
      </c>
      <c r="C238">
        <v>80</v>
      </c>
      <c r="D238">
        <v>79.894378661999994</v>
      </c>
      <c r="E238">
        <v>50</v>
      </c>
      <c r="F238">
        <v>14.919624328999999</v>
      </c>
      <c r="G238">
        <v>1883.6994629000001</v>
      </c>
      <c r="H238">
        <v>1756.5014647999999</v>
      </c>
      <c r="I238">
        <v>544.96313477000001</v>
      </c>
      <c r="J238">
        <v>149.66079712000001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50.133329000000003</v>
      </c>
      <c r="B239" s="1">
        <f>DATE(2010,6,20) + TIME(3,11,59)</f>
        <v>40349.133321759262</v>
      </c>
      <c r="C239">
        <v>80</v>
      </c>
      <c r="D239">
        <v>79.894569396999998</v>
      </c>
      <c r="E239">
        <v>50</v>
      </c>
      <c r="F239">
        <v>14.920068741</v>
      </c>
      <c r="G239">
        <v>1883.2281493999999</v>
      </c>
      <c r="H239">
        <v>1756.0385742000001</v>
      </c>
      <c r="I239">
        <v>544.79034423999997</v>
      </c>
      <c r="J239">
        <v>149.49226379000001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50.775292</v>
      </c>
      <c r="B240" s="1">
        <f>DATE(2010,6,20) + TIME(18,36,25)</f>
        <v>40349.775289351855</v>
      </c>
      <c r="C240">
        <v>80</v>
      </c>
      <c r="D240">
        <v>79.894699097</v>
      </c>
      <c r="E240">
        <v>50</v>
      </c>
      <c r="F240">
        <v>14.920526505</v>
      </c>
      <c r="G240">
        <v>1882.7368164</v>
      </c>
      <c r="H240">
        <v>1755.5559082</v>
      </c>
      <c r="I240">
        <v>544.62982178000004</v>
      </c>
      <c r="J240">
        <v>149.33615112000001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51.419953999999997</v>
      </c>
      <c r="B241" s="1">
        <f>DATE(2010,6,21) + TIME(10,4,43)</f>
        <v>40350.419942129629</v>
      </c>
      <c r="C241">
        <v>80</v>
      </c>
      <c r="D241">
        <v>79.894805907999995</v>
      </c>
      <c r="E241">
        <v>50</v>
      </c>
      <c r="F241">
        <v>14.920992850999999</v>
      </c>
      <c r="G241">
        <v>1882.2332764</v>
      </c>
      <c r="H241">
        <v>1755.0610352000001</v>
      </c>
      <c r="I241">
        <v>544.48071288999995</v>
      </c>
      <c r="J241">
        <v>149.19154358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52.068393999999998</v>
      </c>
      <c r="B242" s="1">
        <f>DATE(2010,6,22) + TIME(1,38,29)</f>
        <v>40351.068391203706</v>
      </c>
      <c r="C242">
        <v>80</v>
      </c>
      <c r="D242">
        <v>79.894912719999994</v>
      </c>
      <c r="E242">
        <v>50</v>
      </c>
      <c r="F242">
        <v>14.921463013</v>
      </c>
      <c r="G242">
        <v>1881.7216797000001</v>
      </c>
      <c r="H242">
        <v>1754.5578613</v>
      </c>
      <c r="I242">
        <v>544.34240723000005</v>
      </c>
      <c r="J242">
        <v>149.05778502999999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52.721674999999998</v>
      </c>
      <c r="B243" s="1">
        <f>DATE(2010,6,22) + TIME(17,19,12)</f>
        <v>40351.721666666665</v>
      </c>
      <c r="C243">
        <v>80</v>
      </c>
      <c r="D243">
        <v>79.895019531000003</v>
      </c>
      <c r="E243">
        <v>50</v>
      </c>
      <c r="F243">
        <v>14.921936035</v>
      </c>
      <c r="G243">
        <v>1881.2033690999999</v>
      </c>
      <c r="H243">
        <v>1754.0479736</v>
      </c>
      <c r="I243">
        <v>544.21447753999996</v>
      </c>
      <c r="J243">
        <v>148.93440247000001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53.380944</v>
      </c>
      <c r="B244" s="1">
        <f>DATE(2010,6,23) + TIME(9,8,33)</f>
        <v>40352.380937499998</v>
      </c>
      <c r="C244">
        <v>80</v>
      </c>
      <c r="D244">
        <v>79.895126343000001</v>
      </c>
      <c r="E244">
        <v>50</v>
      </c>
      <c r="F244">
        <v>14.922411919</v>
      </c>
      <c r="G244">
        <v>1880.6788329999999</v>
      </c>
      <c r="H244">
        <v>1753.5317382999999</v>
      </c>
      <c r="I244">
        <v>544.09643555000002</v>
      </c>
      <c r="J244">
        <v>148.82098389000001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54.047280000000001</v>
      </c>
      <c r="B245" s="1">
        <f>DATE(2010,6,24) + TIME(1,8,5)</f>
        <v>40353.047280092593</v>
      </c>
      <c r="C245">
        <v>80</v>
      </c>
      <c r="D245">
        <v>79.895248413000004</v>
      </c>
      <c r="E245">
        <v>50</v>
      </c>
      <c r="F245">
        <v>14.922890663</v>
      </c>
      <c r="G245">
        <v>1880.1479492000001</v>
      </c>
      <c r="H245">
        <v>1753.0090332</v>
      </c>
      <c r="I245">
        <v>543.98803711000005</v>
      </c>
      <c r="J245">
        <v>148.71723938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54.721887000000002</v>
      </c>
      <c r="B246" s="1">
        <f>DATE(2010,6,24) + TIME(17,19,31)</f>
        <v>40353.721886574072</v>
      </c>
      <c r="C246">
        <v>80</v>
      </c>
      <c r="D246">
        <v>79.895362853999998</v>
      </c>
      <c r="E246">
        <v>50</v>
      </c>
      <c r="F246">
        <v>14.923372269</v>
      </c>
      <c r="G246">
        <v>1879.6101074000001</v>
      </c>
      <c r="H246">
        <v>1752.4793701000001</v>
      </c>
      <c r="I246">
        <v>543.88903808999999</v>
      </c>
      <c r="J246">
        <v>148.62289429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55.404870000000003</v>
      </c>
      <c r="B247" s="1">
        <f>DATE(2010,6,25) + TIME(9,43,0)</f>
        <v>40354.404861111114</v>
      </c>
      <c r="C247">
        <v>80</v>
      </c>
      <c r="D247">
        <v>79.895484924000002</v>
      </c>
      <c r="E247">
        <v>50</v>
      </c>
      <c r="F247">
        <v>14.923857689</v>
      </c>
      <c r="G247">
        <v>1879.0651855000001</v>
      </c>
      <c r="H247">
        <v>1751.9426269999999</v>
      </c>
      <c r="I247">
        <v>543.79931640999996</v>
      </c>
      <c r="J247">
        <v>148.53791809000001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56.095863000000001</v>
      </c>
      <c r="B248" s="1">
        <f>DATE(2010,6,26) + TIME(2,18,2)</f>
        <v>40355.095856481479</v>
      </c>
      <c r="C248">
        <v>80</v>
      </c>
      <c r="D248">
        <v>79.895606994999994</v>
      </c>
      <c r="E248">
        <v>50</v>
      </c>
      <c r="F248">
        <v>14.924345969999999</v>
      </c>
      <c r="G248">
        <v>1878.5135498</v>
      </c>
      <c r="H248">
        <v>1751.3989257999999</v>
      </c>
      <c r="I248">
        <v>543.71893310999997</v>
      </c>
      <c r="J248">
        <v>148.46228027000001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56.796028999999997</v>
      </c>
      <c r="B249" s="1">
        <f>DATE(2010,6,26) + TIME(19,6,16)</f>
        <v>40355.796018518522</v>
      </c>
      <c r="C249">
        <v>80</v>
      </c>
      <c r="D249">
        <v>79.895736693999993</v>
      </c>
      <c r="E249">
        <v>50</v>
      </c>
      <c r="F249">
        <v>14.924838066</v>
      </c>
      <c r="G249">
        <v>1877.9545897999999</v>
      </c>
      <c r="H249">
        <v>1750.8479004000001</v>
      </c>
      <c r="I249">
        <v>543.64764404000005</v>
      </c>
      <c r="J249">
        <v>148.39579773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57.505400000000002</v>
      </c>
      <c r="B250" s="1">
        <f>DATE(2010,6,27) + TIME(12,7,46)</f>
        <v>40356.505393518521</v>
      </c>
      <c r="C250">
        <v>80</v>
      </c>
      <c r="D250">
        <v>79.895858765</v>
      </c>
      <c r="E250">
        <v>50</v>
      </c>
      <c r="F250">
        <v>14.92533493</v>
      </c>
      <c r="G250">
        <v>1877.3883057</v>
      </c>
      <c r="H250">
        <v>1750.2895507999999</v>
      </c>
      <c r="I250">
        <v>543.58544921999999</v>
      </c>
      <c r="J250">
        <v>148.3384552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58.225088999999997</v>
      </c>
      <c r="B251" s="1">
        <f>DATE(2010,6,28) + TIME(5,24,7)</f>
        <v>40357.225081018521</v>
      </c>
      <c r="C251">
        <v>80</v>
      </c>
      <c r="D251">
        <v>79.895988463999998</v>
      </c>
      <c r="E251">
        <v>50</v>
      </c>
      <c r="F251">
        <v>14.925834655999999</v>
      </c>
      <c r="G251">
        <v>1876.8142089999999</v>
      </c>
      <c r="H251">
        <v>1749.7232666</v>
      </c>
      <c r="I251">
        <v>543.53222656000003</v>
      </c>
      <c r="J251">
        <v>148.29011535999999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58.58775</v>
      </c>
      <c r="B252" s="1">
        <f>DATE(2010,6,28) + TIME(14,6,21)</f>
        <v>40357.587743055556</v>
      </c>
      <c r="C252">
        <v>80</v>
      </c>
      <c r="D252">
        <v>79.895927428999997</v>
      </c>
      <c r="E252">
        <v>50</v>
      </c>
      <c r="F252">
        <v>14.92617321</v>
      </c>
      <c r="G252">
        <v>1876.4631348</v>
      </c>
      <c r="H252">
        <v>1749.3779297000001</v>
      </c>
      <c r="I252">
        <v>543.50970458999996</v>
      </c>
      <c r="J252">
        <v>148.27085876000001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58.950411000000003</v>
      </c>
      <c r="B253" s="1">
        <f>DATE(2010,6,28) + TIME(22,48,35)</f>
        <v>40357.95040509259</v>
      </c>
      <c r="C253">
        <v>80</v>
      </c>
      <c r="D253">
        <v>79.895904540999993</v>
      </c>
      <c r="E253">
        <v>50</v>
      </c>
      <c r="F253">
        <v>14.926480292999999</v>
      </c>
      <c r="G253">
        <v>1876.1134033000001</v>
      </c>
      <c r="H253">
        <v>1749.0328368999999</v>
      </c>
      <c r="I253">
        <v>543.48834228999999</v>
      </c>
      <c r="J253">
        <v>148.25248718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59.313073000000003</v>
      </c>
      <c r="B254" s="1">
        <f>DATE(2010,6,29) + TIME(7,30,49)</f>
        <v>40358.313067129631</v>
      </c>
      <c r="C254">
        <v>80</v>
      </c>
      <c r="D254">
        <v>79.895942688000005</v>
      </c>
      <c r="E254">
        <v>50</v>
      </c>
      <c r="F254">
        <v>14.926768302999999</v>
      </c>
      <c r="G254">
        <v>1875.7783202999999</v>
      </c>
      <c r="H254">
        <v>1748.7019043</v>
      </c>
      <c r="I254">
        <v>543.46911621000004</v>
      </c>
      <c r="J254">
        <v>148.23609923999999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59.675733999999999</v>
      </c>
      <c r="B255" s="1">
        <f>DATE(2010,6,29) + TIME(16,13,3)</f>
        <v>40358.675729166665</v>
      </c>
      <c r="C255">
        <v>80</v>
      </c>
      <c r="D255">
        <v>79.896011353000006</v>
      </c>
      <c r="E255">
        <v>50</v>
      </c>
      <c r="F255">
        <v>14.927043915</v>
      </c>
      <c r="G255">
        <v>1875.4554443</v>
      </c>
      <c r="H255">
        <v>1748.3829346</v>
      </c>
      <c r="I255">
        <v>543.45220946999996</v>
      </c>
      <c r="J255">
        <v>148.22190857000001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60.401057000000002</v>
      </c>
      <c r="B256" s="1">
        <f>DATE(2010,6,30) + TIME(9,37,31)</f>
        <v>40359.401053240741</v>
      </c>
      <c r="C256">
        <v>80</v>
      </c>
      <c r="D256">
        <v>79.896354674999998</v>
      </c>
      <c r="E256">
        <v>50</v>
      </c>
      <c r="F256">
        <v>14.92743969</v>
      </c>
      <c r="G256">
        <v>1874.9400635</v>
      </c>
      <c r="H256">
        <v>1747.8730469</v>
      </c>
      <c r="I256">
        <v>543.42541503999996</v>
      </c>
      <c r="J256">
        <v>148.1990509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61</v>
      </c>
      <c r="B257" s="1">
        <f>DATE(2010,7,1) + TIME(0,0,0)</f>
        <v>40360</v>
      </c>
      <c r="C257">
        <v>80</v>
      </c>
      <c r="D257">
        <v>79.896492003999995</v>
      </c>
      <c r="E257">
        <v>50</v>
      </c>
      <c r="F257">
        <v>14.927845955</v>
      </c>
      <c r="G257">
        <v>1874.4714355000001</v>
      </c>
      <c r="H257">
        <v>1747.4107666</v>
      </c>
      <c r="I257">
        <v>543.41131591999999</v>
      </c>
      <c r="J257">
        <v>148.18891907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61.725746000000001</v>
      </c>
      <c r="B258" s="1">
        <f>DATE(2010,7,1) + TIME(17,25,4)</f>
        <v>40360.725740740738</v>
      </c>
      <c r="C258">
        <v>80</v>
      </c>
      <c r="D258">
        <v>79.896675110000004</v>
      </c>
      <c r="E258">
        <v>50</v>
      </c>
      <c r="F258">
        <v>14.928296089</v>
      </c>
      <c r="G258">
        <v>1873.9265137</v>
      </c>
      <c r="H258">
        <v>1746.8723144999999</v>
      </c>
      <c r="I258">
        <v>543.40124512</v>
      </c>
      <c r="J258">
        <v>148.18330383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62.457706000000002</v>
      </c>
      <c r="B259" s="1">
        <f>DATE(2010,7,2) + TIME(10,59,5)</f>
        <v>40361.457696759258</v>
      </c>
      <c r="C259">
        <v>80</v>
      </c>
      <c r="D259">
        <v>79.896820067999997</v>
      </c>
      <c r="E259">
        <v>50</v>
      </c>
      <c r="F259">
        <v>14.928770065</v>
      </c>
      <c r="G259">
        <v>1873.3663329999999</v>
      </c>
      <c r="H259">
        <v>1746.3190918</v>
      </c>
      <c r="I259">
        <v>543.39941406000003</v>
      </c>
      <c r="J259">
        <v>148.18614196999999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63.194716999999997</v>
      </c>
      <c r="B260" s="1">
        <f>DATE(2010,7,3) + TIME(4,40,23)</f>
        <v>40362.194710648146</v>
      </c>
      <c r="C260">
        <v>80</v>
      </c>
      <c r="D260">
        <v>79.896942139000004</v>
      </c>
      <c r="E260">
        <v>50</v>
      </c>
      <c r="F260">
        <v>14.929256439</v>
      </c>
      <c r="G260">
        <v>1872.7932129000001</v>
      </c>
      <c r="H260">
        <v>1745.7528076000001</v>
      </c>
      <c r="I260">
        <v>543.40509033000001</v>
      </c>
      <c r="J260">
        <v>148.19662475999999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63.938155999999999</v>
      </c>
      <c r="B261" s="1">
        <f>DATE(2010,7,3) + TIME(22,30,56)</f>
        <v>40362.938148148147</v>
      </c>
      <c r="C261">
        <v>80</v>
      </c>
      <c r="D261">
        <v>79.897071838000002</v>
      </c>
      <c r="E261">
        <v>50</v>
      </c>
      <c r="F261">
        <v>14.929749489000001</v>
      </c>
      <c r="G261">
        <v>1872.2106934000001</v>
      </c>
      <c r="H261">
        <v>1745.1772461</v>
      </c>
      <c r="I261">
        <v>543.41802978999999</v>
      </c>
      <c r="J261">
        <v>148.21444701999999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64.689356000000004</v>
      </c>
      <c r="B262" s="1">
        <f>DATE(2010,7,4) + TIME(16,32,40)</f>
        <v>40363.689351851855</v>
      </c>
      <c r="C262">
        <v>80</v>
      </c>
      <c r="D262">
        <v>79.897193908999995</v>
      </c>
      <c r="E262">
        <v>50</v>
      </c>
      <c r="F262">
        <v>14.930246352999999</v>
      </c>
      <c r="G262">
        <v>1871.6208495999999</v>
      </c>
      <c r="H262">
        <v>1744.5942382999999</v>
      </c>
      <c r="I262">
        <v>543.43823241999996</v>
      </c>
      <c r="J262">
        <v>148.23953247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65.449573999999998</v>
      </c>
      <c r="B263" s="1">
        <f>DATE(2010,7,5) + TIME(10,47,23)</f>
        <v>40364.449571759258</v>
      </c>
      <c r="C263">
        <v>80</v>
      </c>
      <c r="D263">
        <v>79.897323607999994</v>
      </c>
      <c r="E263">
        <v>50</v>
      </c>
      <c r="F263">
        <v>14.930747031999999</v>
      </c>
      <c r="G263">
        <v>1871.0239257999999</v>
      </c>
      <c r="H263">
        <v>1744.0041504000001</v>
      </c>
      <c r="I263">
        <v>543.46557616999996</v>
      </c>
      <c r="J263">
        <v>148.27183532999999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66.219049999999996</v>
      </c>
      <c r="B264" s="1">
        <f>DATE(2010,7,6) + TIME(5,15,25)</f>
        <v>40365.219039351854</v>
      </c>
      <c r="C264">
        <v>80</v>
      </c>
      <c r="D264">
        <v>79.897460937999995</v>
      </c>
      <c r="E264">
        <v>50</v>
      </c>
      <c r="F264">
        <v>14.931251526</v>
      </c>
      <c r="G264">
        <v>1870.4206543</v>
      </c>
      <c r="H264">
        <v>1743.4075928</v>
      </c>
      <c r="I264">
        <v>543.50006103999999</v>
      </c>
      <c r="J264">
        <v>148.31135559000001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66.996775999999997</v>
      </c>
      <c r="B265" s="1">
        <f>DATE(2010,7,6) + TIME(23,55,21)</f>
        <v>40365.996770833335</v>
      </c>
      <c r="C265">
        <v>80</v>
      </c>
      <c r="D265">
        <v>79.897598267000006</v>
      </c>
      <c r="E265">
        <v>50</v>
      </c>
      <c r="F265">
        <v>14.931757927</v>
      </c>
      <c r="G265">
        <v>1869.8116454999999</v>
      </c>
      <c r="H265">
        <v>1742.8052978999999</v>
      </c>
      <c r="I265">
        <v>543.54168701000003</v>
      </c>
      <c r="J265">
        <v>148.35800171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67.783996999999999</v>
      </c>
      <c r="B266" s="1">
        <f>DATE(2010,7,7) + TIME(18,48,57)</f>
        <v>40366.783993055556</v>
      </c>
      <c r="C266">
        <v>80</v>
      </c>
      <c r="D266">
        <v>79.897743224999999</v>
      </c>
      <c r="E266">
        <v>50</v>
      </c>
      <c r="F266">
        <v>14.932267188999999</v>
      </c>
      <c r="G266">
        <v>1869.1966553</v>
      </c>
      <c r="H266">
        <v>1742.1968993999999</v>
      </c>
      <c r="I266">
        <v>543.59039307</v>
      </c>
      <c r="J266">
        <v>148.41178894000001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68.580448000000004</v>
      </c>
      <c r="B267" s="1">
        <f>DATE(2010,7,8) + TIME(13,55,50)</f>
        <v>40367.580439814818</v>
      </c>
      <c r="C267">
        <v>80</v>
      </c>
      <c r="D267">
        <v>79.897888183999996</v>
      </c>
      <c r="E267">
        <v>50</v>
      </c>
      <c r="F267">
        <v>14.932780266</v>
      </c>
      <c r="G267">
        <v>1868.5759277</v>
      </c>
      <c r="H267">
        <v>1741.5828856999999</v>
      </c>
      <c r="I267">
        <v>543.64617920000001</v>
      </c>
      <c r="J267">
        <v>148.47264099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69.384144000000006</v>
      </c>
      <c r="B268" s="1">
        <f>DATE(2010,7,9) + TIME(9,13,10)</f>
        <v>40368.384143518517</v>
      </c>
      <c r="C268">
        <v>80</v>
      </c>
      <c r="D268">
        <v>79.898033142000003</v>
      </c>
      <c r="E268">
        <v>50</v>
      </c>
      <c r="F268">
        <v>14.933294296</v>
      </c>
      <c r="G268">
        <v>1867.9509277</v>
      </c>
      <c r="H268">
        <v>1740.9643555</v>
      </c>
      <c r="I268">
        <v>543.70874022999999</v>
      </c>
      <c r="J268">
        <v>148.54034424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70.193665999999993</v>
      </c>
      <c r="B269" s="1">
        <f>DATE(2010,7,10) + TIME(4,38,52)</f>
        <v>40369.193657407406</v>
      </c>
      <c r="C269">
        <v>80</v>
      </c>
      <c r="D269">
        <v>79.898178100999999</v>
      </c>
      <c r="E269">
        <v>50</v>
      </c>
      <c r="F269">
        <v>14.933810233999999</v>
      </c>
      <c r="G269">
        <v>1867.3225098</v>
      </c>
      <c r="H269">
        <v>1740.3424072</v>
      </c>
      <c r="I269">
        <v>543.77783203000001</v>
      </c>
      <c r="J269">
        <v>148.61462402000001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71.005205000000004</v>
      </c>
      <c r="B270" s="1">
        <f>DATE(2010,7,11) + TIME(0,7,29)</f>
        <v>40370.005196759259</v>
      </c>
      <c r="C270">
        <v>80</v>
      </c>
      <c r="D270">
        <v>79.898323059000006</v>
      </c>
      <c r="E270">
        <v>50</v>
      </c>
      <c r="F270">
        <v>14.934326172</v>
      </c>
      <c r="G270">
        <v>1866.6932373</v>
      </c>
      <c r="H270">
        <v>1739.7194824000001</v>
      </c>
      <c r="I270">
        <v>543.85308838000003</v>
      </c>
      <c r="J270">
        <v>148.69499207000001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71.818095999999997</v>
      </c>
      <c r="B271" s="1">
        <f>DATE(2010,7,11) + TIME(19,38,3)</f>
        <v>40370.818090277775</v>
      </c>
      <c r="C271">
        <v>80</v>
      </c>
      <c r="D271">
        <v>79.898475646999998</v>
      </c>
      <c r="E271">
        <v>50</v>
      </c>
      <c r="F271">
        <v>14.934840202</v>
      </c>
      <c r="G271">
        <v>1866.0639647999999</v>
      </c>
      <c r="H271">
        <v>1739.0965576000001</v>
      </c>
      <c r="I271">
        <v>543.93408203000001</v>
      </c>
      <c r="J271">
        <v>148.78114318999999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72.633691999999996</v>
      </c>
      <c r="B272" s="1">
        <f>DATE(2010,7,12) + TIME(15,12,30)</f>
        <v>40371.633680555555</v>
      </c>
      <c r="C272">
        <v>80</v>
      </c>
      <c r="D272">
        <v>79.898620605000005</v>
      </c>
      <c r="E272">
        <v>50</v>
      </c>
      <c r="F272">
        <v>14.935352325</v>
      </c>
      <c r="G272">
        <v>1865.4345702999999</v>
      </c>
      <c r="H272">
        <v>1738.4732666</v>
      </c>
      <c r="I272">
        <v>544.02081298999997</v>
      </c>
      <c r="J272">
        <v>148.87298584000001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73.453329999999994</v>
      </c>
      <c r="B273" s="1">
        <f>DATE(2010,7,13) + TIME(10,52,47)</f>
        <v>40372.453321759262</v>
      </c>
      <c r="C273">
        <v>80</v>
      </c>
      <c r="D273">
        <v>79.898765564000001</v>
      </c>
      <c r="E273">
        <v>50</v>
      </c>
      <c r="F273">
        <v>14.935863495</v>
      </c>
      <c r="G273">
        <v>1864.8045654</v>
      </c>
      <c r="H273">
        <v>1737.8492432</v>
      </c>
      <c r="I273">
        <v>544.11322021000001</v>
      </c>
      <c r="J273">
        <v>148.97052002000001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74.278339000000003</v>
      </c>
      <c r="B274" s="1">
        <f>DATE(2010,7,14) + TIME(6,40,48)</f>
        <v>40373.278333333335</v>
      </c>
      <c r="C274">
        <v>80</v>
      </c>
      <c r="D274">
        <v>79.898918151999993</v>
      </c>
      <c r="E274">
        <v>50</v>
      </c>
      <c r="F274">
        <v>14.936374664000001</v>
      </c>
      <c r="G274">
        <v>1864.1732178</v>
      </c>
      <c r="H274">
        <v>1737.2238769999999</v>
      </c>
      <c r="I274">
        <v>544.21130371000004</v>
      </c>
      <c r="J274">
        <v>149.07376099000001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75.110162000000003</v>
      </c>
      <c r="B275" s="1">
        <f>DATE(2010,7,15) + TIME(2,38,37)</f>
        <v>40374.110150462962</v>
      </c>
      <c r="C275">
        <v>80</v>
      </c>
      <c r="D275">
        <v>79.899070739999999</v>
      </c>
      <c r="E275">
        <v>50</v>
      </c>
      <c r="F275">
        <v>14.936884879999999</v>
      </c>
      <c r="G275">
        <v>1863.5397949000001</v>
      </c>
      <c r="H275">
        <v>1736.5963135</v>
      </c>
      <c r="I275">
        <v>544.31518555000002</v>
      </c>
      <c r="J275">
        <v>149.18273926000001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75.949318000000005</v>
      </c>
      <c r="B276" s="1">
        <f>DATE(2010,7,15) + TIME(22,47,1)</f>
        <v>40374.949317129627</v>
      </c>
      <c r="C276">
        <v>80</v>
      </c>
      <c r="D276">
        <v>79.899230957</v>
      </c>
      <c r="E276">
        <v>50</v>
      </c>
      <c r="F276">
        <v>14.937397002999999</v>
      </c>
      <c r="G276">
        <v>1862.9039307</v>
      </c>
      <c r="H276">
        <v>1735.9661865</v>
      </c>
      <c r="I276">
        <v>544.42474364999998</v>
      </c>
      <c r="J276">
        <v>149.29745482999999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76.796379999999999</v>
      </c>
      <c r="B277" s="1">
        <f>DATE(2010,7,16) + TIME(19,6,47)</f>
        <v>40375.796377314815</v>
      </c>
      <c r="C277">
        <v>80</v>
      </c>
      <c r="D277">
        <v>79.899383545000006</v>
      </c>
      <c r="E277">
        <v>50</v>
      </c>
      <c r="F277">
        <v>14.937909125999999</v>
      </c>
      <c r="G277">
        <v>1862.2653809000001</v>
      </c>
      <c r="H277">
        <v>1735.3332519999999</v>
      </c>
      <c r="I277">
        <v>544.53997803000004</v>
      </c>
      <c r="J277">
        <v>149.41786193999999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77.650388000000007</v>
      </c>
      <c r="B278" s="1">
        <f>DATE(2010,7,17) + TIME(15,36,33)</f>
        <v>40376.650381944448</v>
      </c>
      <c r="C278">
        <v>80</v>
      </c>
      <c r="D278">
        <v>79.899543761999993</v>
      </c>
      <c r="E278">
        <v>50</v>
      </c>
      <c r="F278">
        <v>14.938422203</v>
      </c>
      <c r="G278">
        <v>1861.6243896000001</v>
      </c>
      <c r="H278">
        <v>1734.6979980000001</v>
      </c>
      <c r="I278">
        <v>544.66070557</v>
      </c>
      <c r="J278">
        <v>149.54374695000001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78.511314999999996</v>
      </c>
      <c r="B279" s="1">
        <f>DATE(2010,7,18) + TIME(12,16,17)</f>
        <v>40377.511307870373</v>
      </c>
      <c r="C279">
        <v>80</v>
      </c>
      <c r="D279">
        <v>79.899696349999999</v>
      </c>
      <c r="E279">
        <v>50</v>
      </c>
      <c r="F279">
        <v>14.938937187000001</v>
      </c>
      <c r="G279">
        <v>1860.9810791</v>
      </c>
      <c r="H279">
        <v>1734.0603027</v>
      </c>
      <c r="I279">
        <v>544.78674316000001</v>
      </c>
      <c r="J279">
        <v>149.67500304999999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79.375020000000006</v>
      </c>
      <c r="B280" s="1">
        <f>DATE(2010,7,19) + TIME(9,0,1)</f>
        <v>40378.375011574077</v>
      </c>
      <c r="C280">
        <v>80</v>
      </c>
      <c r="D280">
        <v>79.899856567</v>
      </c>
      <c r="E280">
        <v>50</v>
      </c>
      <c r="F280">
        <v>14.939450264</v>
      </c>
      <c r="G280">
        <v>1860.3380127</v>
      </c>
      <c r="H280">
        <v>1733.4227295000001</v>
      </c>
      <c r="I280">
        <v>544.91748046999999</v>
      </c>
      <c r="J280">
        <v>149.81091309000001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80.242810000000006</v>
      </c>
      <c r="B281" s="1">
        <f>DATE(2010,7,20) + TIME(5,49,38)</f>
        <v>40379.242800925924</v>
      </c>
      <c r="C281">
        <v>80</v>
      </c>
      <c r="D281">
        <v>79.900009155000006</v>
      </c>
      <c r="E281">
        <v>50</v>
      </c>
      <c r="F281">
        <v>14.939963341</v>
      </c>
      <c r="G281">
        <v>1859.6945800999999</v>
      </c>
      <c r="H281">
        <v>1732.7847899999999</v>
      </c>
      <c r="I281">
        <v>545.05285645000004</v>
      </c>
      <c r="J281">
        <v>149.95149230999999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81.116343999999998</v>
      </c>
      <c r="B282" s="1">
        <f>DATE(2010,7,21) + TIME(2,47,32)</f>
        <v>40380.116342592592</v>
      </c>
      <c r="C282">
        <v>80</v>
      </c>
      <c r="D282">
        <v>79.900169372999997</v>
      </c>
      <c r="E282">
        <v>50</v>
      </c>
      <c r="F282">
        <v>14.940476417999999</v>
      </c>
      <c r="G282">
        <v>1859.0501709</v>
      </c>
      <c r="H282">
        <v>1732.1457519999999</v>
      </c>
      <c r="I282">
        <v>545.19311522999999</v>
      </c>
      <c r="J282">
        <v>150.09692383000001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81.997088000000005</v>
      </c>
      <c r="B283" s="1">
        <f>DATE(2010,7,21) + TIME(23,55,48)</f>
        <v>40380.997083333335</v>
      </c>
      <c r="C283">
        <v>80</v>
      </c>
      <c r="D283">
        <v>79.900329589999998</v>
      </c>
      <c r="E283">
        <v>50</v>
      </c>
      <c r="F283">
        <v>14.940989494</v>
      </c>
      <c r="G283">
        <v>1858.4041748</v>
      </c>
      <c r="H283">
        <v>1731.5050048999999</v>
      </c>
      <c r="I283">
        <v>545.33837890999996</v>
      </c>
      <c r="J283">
        <v>150.24736023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82.886500999999996</v>
      </c>
      <c r="B284" s="1">
        <f>DATE(2010,7,22) + TIME(21,16,33)</f>
        <v>40381.886493055557</v>
      </c>
      <c r="C284">
        <v>80</v>
      </c>
      <c r="D284">
        <v>79.900489807</v>
      </c>
      <c r="E284">
        <v>50</v>
      </c>
      <c r="F284">
        <v>14.941502570999999</v>
      </c>
      <c r="G284">
        <v>1857.7557373</v>
      </c>
      <c r="H284">
        <v>1730.8616943</v>
      </c>
      <c r="I284">
        <v>545.48876953000001</v>
      </c>
      <c r="J284">
        <v>150.40298462000001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83.783285000000006</v>
      </c>
      <c r="B285" s="1">
        <f>DATE(2010,7,23) + TIME(18,47,55)</f>
        <v>40382.783275462964</v>
      </c>
      <c r="C285">
        <v>80</v>
      </c>
      <c r="D285">
        <v>79.900650024000001</v>
      </c>
      <c r="E285">
        <v>50</v>
      </c>
      <c r="F285">
        <v>14.942017555</v>
      </c>
      <c r="G285">
        <v>1857.1054687999999</v>
      </c>
      <c r="H285">
        <v>1730.2165527</v>
      </c>
      <c r="I285">
        <v>545.64410399999997</v>
      </c>
      <c r="J285">
        <v>150.56350707999999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84.685231000000002</v>
      </c>
      <c r="B286" s="1">
        <f>DATE(2010,7,24) + TIME(16,26,43)</f>
        <v>40383.685219907406</v>
      </c>
      <c r="C286">
        <v>80</v>
      </c>
      <c r="D286">
        <v>79.900817871000001</v>
      </c>
      <c r="E286">
        <v>50</v>
      </c>
      <c r="F286">
        <v>14.942532539</v>
      </c>
      <c r="G286">
        <v>1856.4544678</v>
      </c>
      <c r="H286">
        <v>1729.5705565999999</v>
      </c>
      <c r="I286">
        <v>545.80383300999995</v>
      </c>
      <c r="J286">
        <v>150.72848511000001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85.591538</v>
      </c>
      <c r="B287" s="1">
        <f>DATE(2010,7,25) + TIME(14,11,48)</f>
        <v>40384.591527777775</v>
      </c>
      <c r="C287">
        <v>80</v>
      </c>
      <c r="D287">
        <v>79.900978088000002</v>
      </c>
      <c r="E287">
        <v>50</v>
      </c>
      <c r="F287">
        <v>14.943047523000001</v>
      </c>
      <c r="G287">
        <v>1855.8033447</v>
      </c>
      <c r="H287">
        <v>1728.9245605000001</v>
      </c>
      <c r="I287">
        <v>545.96783446999996</v>
      </c>
      <c r="J287">
        <v>150.89767456000001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86.502785000000003</v>
      </c>
      <c r="B288" s="1">
        <f>DATE(2010,7,26) + TIME(12,4,0)</f>
        <v>40385.50277777778</v>
      </c>
      <c r="C288">
        <v>80</v>
      </c>
      <c r="D288">
        <v>79.901138306000007</v>
      </c>
      <c r="E288">
        <v>50</v>
      </c>
      <c r="F288">
        <v>14.943561554</v>
      </c>
      <c r="G288">
        <v>1855.1520995999999</v>
      </c>
      <c r="H288">
        <v>1728.2781981999999</v>
      </c>
      <c r="I288">
        <v>546.13604736000002</v>
      </c>
      <c r="J288">
        <v>151.07110596000001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87.417619000000002</v>
      </c>
      <c r="B289" s="1">
        <f>DATE(2010,7,27) + TIME(10,1,22)</f>
        <v>40386.417615740742</v>
      </c>
      <c r="C289">
        <v>80</v>
      </c>
      <c r="D289">
        <v>79.901298522999994</v>
      </c>
      <c r="E289">
        <v>50</v>
      </c>
      <c r="F289">
        <v>14.944074630999999</v>
      </c>
      <c r="G289">
        <v>1854.5015868999999</v>
      </c>
      <c r="H289">
        <v>1727.6324463000001</v>
      </c>
      <c r="I289">
        <v>546.30816649999997</v>
      </c>
      <c r="J289">
        <v>151.2484436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88.334052999999997</v>
      </c>
      <c r="B290" s="1">
        <f>DATE(2010,7,28) + TIME(8,1,2)</f>
        <v>40387.334050925929</v>
      </c>
      <c r="C290">
        <v>80</v>
      </c>
      <c r="D290">
        <v>79.901466369999994</v>
      </c>
      <c r="E290">
        <v>50</v>
      </c>
      <c r="F290">
        <v>14.944586753999999</v>
      </c>
      <c r="G290">
        <v>1853.8529053</v>
      </c>
      <c r="H290">
        <v>1726.9886475000001</v>
      </c>
      <c r="I290">
        <v>546.48376465000001</v>
      </c>
      <c r="J290">
        <v>151.42926025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89.250765999999999</v>
      </c>
      <c r="B291" s="1">
        <f>DATE(2010,7,29) + TIME(6,1,6)</f>
        <v>40388.250763888886</v>
      </c>
      <c r="C291">
        <v>80</v>
      </c>
      <c r="D291">
        <v>79.901626586999996</v>
      </c>
      <c r="E291">
        <v>50</v>
      </c>
      <c r="F291">
        <v>14.945096016000001</v>
      </c>
      <c r="G291">
        <v>1853.2070312000001</v>
      </c>
      <c r="H291">
        <v>1726.3474120999999</v>
      </c>
      <c r="I291">
        <v>546.66253661999997</v>
      </c>
      <c r="J291">
        <v>151.61318969999999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90.169488000000001</v>
      </c>
      <c r="B292" s="1">
        <f>DATE(2010,7,30) + TIME(4,4,3)</f>
        <v>40389.169479166667</v>
      </c>
      <c r="C292">
        <v>80</v>
      </c>
      <c r="D292">
        <v>79.901786803999997</v>
      </c>
      <c r="E292">
        <v>50</v>
      </c>
      <c r="F292">
        <v>14.945603371000001</v>
      </c>
      <c r="G292">
        <v>1852.5632324000001</v>
      </c>
      <c r="H292">
        <v>1725.7081298999999</v>
      </c>
      <c r="I292">
        <v>546.84472656000003</v>
      </c>
      <c r="J292">
        <v>151.80047607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91.091831999999997</v>
      </c>
      <c r="B293" s="1">
        <f>DATE(2010,7,31) + TIME(2,12,14)</f>
        <v>40390.091828703706</v>
      </c>
      <c r="C293">
        <v>80</v>
      </c>
      <c r="D293">
        <v>79.901947020999998</v>
      </c>
      <c r="E293">
        <v>50</v>
      </c>
      <c r="F293">
        <v>14.946108818000001</v>
      </c>
      <c r="G293">
        <v>1851.9207764</v>
      </c>
      <c r="H293">
        <v>1725.0703125</v>
      </c>
      <c r="I293">
        <v>547.03051758000004</v>
      </c>
      <c r="J293">
        <v>151.99139403999999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92</v>
      </c>
      <c r="B294" s="1">
        <f>DATE(2010,8,1) + TIME(0,0,0)</f>
        <v>40391</v>
      </c>
      <c r="C294">
        <v>80</v>
      </c>
      <c r="D294">
        <v>79.902107239000003</v>
      </c>
      <c r="E294">
        <v>50</v>
      </c>
      <c r="F294">
        <v>14.946608543</v>
      </c>
      <c r="G294">
        <v>1851.2890625</v>
      </c>
      <c r="H294">
        <v>1724.4428711</v>
      </c>
      <c r="I294">
        <v>547.21630859000004</v>
      </c>
      <c r="J294">
        <v>152.18231201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92.927627000000001</v>
      </c>
      <c r="B295" s="1">
        <f>DATE(2010,8,1) + TIME(22,15,46)</f>
        <v>40391.927615740744</v>
      </c>
      <c r="C295">
        <v>80</v>
      </c>
      <c r="D295">
        <v>79.902275084999999</v>
      </c>
      <c r="E295">
        <v>50</v>
      </c>
      <c r="F295">
        <v>14.947108268999999</v>
      </c>
      <c r="G295">
        <v>1850.6508789</v>
      </c>
      <c r="H295">
        <v>1723.809082</v>
      </c>
      <c r="I295">
        <v>547.40881348000005</v>
      </c>
      <c r="J295">
        <v>152.37985229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93.870599999999996</v>
      </c>
      <c r="B296" s="1">
        <f>DATE(2010,8,2) + TIME(20,53,39)</f>
        <v>40392.87059027778</v>
      </c>
      <c r="C296">
        <v>80</v>
      </c>
      <c r="D296">
        <v>79.902442932</v>
      </c>
      <c r="E296">
        <v>50</v>
      </c>
      <c r="F296">
        <v>14.947610855000001</v>
      </c>
      <c r="G296">
        <v>1850.0081786999999</v>
      </c>
      <c r="H296">
        <v>1723.1706543</v>
      </c>
      <c r="I296">
        <v>547.60717772999999</v>
      </c>
      <c r="J296">
        <v>152.58332824999999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94.818979999999996</v>
      </c>
      <c r="B297" s="1">
        <f>DATE(2010,8,3) + TIME(19,39,19)</f>
        <v>40393.818969907406</v>
      </c>
      <c r="C297">
        <v>80</v>
      </c>
      <c r="D297">
        <v>79.902610779</v>
      </c>
      <c r="E297">
        <v>50</v>
      </c>
      <c r="F297">
        <v>14.948115349</v>
      </c>
      <c r="G297">
        <v>1849.3653564000001</v>
      </c>
      <c r="H297">
        <v>1722.5319824000001</v>
      </c>
      <c r="I297">
        <v>547.80944824000005</v>
      </c>
      <c r="J297">
        <v>152.79066467000001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95.774759000000003</v>
      </c>
      <c r="B298" s="1">
        <f>DATE(2010,8,4) + TIME(18,35,39)</f>
        <v>40394.774756944447</v>
      </c>
      <c r="C298">
        <v>80</v>
      </c>
      <c r="D298">
        <v>79.902778624999996</v>
      </c>
      <c r="E298">
        <v>50</v>
      </c>
      <c r="F298">
        <v>14.948621749999999</v>
      </c>
      <c r="G298">
        <v>1848.7211914</v>
      </c>
      <c r="H298">
        <v>1721.8920897999999</v>
      </c>
      <c r="I298">
        <v>548.01586913999995</v>
      </c>
      <c r="J298">
        <v>153.00222778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96.739520999999996</v>
      </c>
      <c r="B299" s="1">
        <f>DATE(2010,8,5) + TIME(17,44,54)</f>
        <v>40395.73951388889</v>
      </c>
      <c r="C299">
        <v>80</v>
      </c>
      <c r="D299">
        <v>79.902946471999996</v>
      </c>
      <c r="E299">
        <v>50</v>
      </c>
      <c r="F299">
        <v>14.949130058</v>
      </c>
      <c r="G299">
        <v>1848.0750731999999</v>
      </c>
      <c r="H299">
        <v>1721.2501221</v>
      </c>
      <c r="I299">
        <v>548.22686768000005</v>
      </c>
      <c r="J299">
        <v>153.21833801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97.222954000000001</v>
      </c>
      <c r="B300" s="1">
        <f>DATE(2010,8,6) + TIME(5,21,3)</f>
        <v>40396.222951388889</v>
      </c>
      <c r="C300">
        <v>80</v>
      </c>
      <c r="D300">
        <v>79.902954101999995</v>
      </c>
      <c r="E300">
        <v>50</v>
      </c>
      <c r="F300">
        <v>14.949489593999999</v>
      </c>
      <c r="G300">
        <v>1847.7125243999999</v>
      </c>
      <c r="H300">
        <v>1720.8905029</v>
      </c>
      <c r="I300">
        <v>548.33581543000003</v>
      </c>
      <c r="J300">
        <v>153.33091736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97.706388000000004</v>
      </c>
      <c r="B301" s="1">
        <f>DATE(2010,8,6) + TIME(16,57,11)</f>
        <v>40396.706377314818</v>
      </c>
      <c r="C301">
        <v>80</v>
      </c>
      <c r="D301">
        <v>79.902984618999994</v>
      </c>
      <c r="E301">
        <v>50</v>
      </c>
      <c r="F301">
        <v>14.949804306000001</v>
      </c>
      <c r="G301">
        <v>1847.3466797000001</v>
      </c>
      <c r="H301">
        <v>1720.5270995999999</v>
      </c>
      <c r="I301">
        <v>548.44464111000002</v>
      </c>
      <c r="J301">
        <v>153.44291687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98.189820999999995</v>
      </c>
      <c r="B302" s="1">
        <f>DATE(2010,8,7) + TIME(4,33,20)</f>
        <v>40397.189814814818</v>
      </c>
      <c r="C302">
        <v>80</v>
      </c>
      <c r="D302">
        <v>79.903045653999996</v>
      </c>
      <c r="E302">
        <v>50</v>
      </c>
      <c r="F302">
        <v>14.950095177</v>
      </c>
      <c r="G302">
        <v>1846.9895019999999</v>
      </c>
      <c r="H302">
        <v>1720.1721190999999</v>
      </c>
      <c r="I302">
        <v>548.5546875</v>
      </c>
      <c r="J302">
        <v>153.55587768999999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98.673254</v>
      </c>
      <c r="B303" s="1">
        <f>DATE(2010,8,7) + TIME(16,9,29)</f>
        <v>40397.673252314817</v>
      </c>
      <c r="C303">
        <v>80</v>
      </c>
      <c r="D303">
        <v>79.903129578000005</v>
      </c>
      <c r="E303">
        <v>50</v>
      </c>
      <c r="F303">
        <v>14.950369835</v>
      </c>
      <c r="G303">
        <v>1846.6416016000001</v>
      </c>
      <c r="H303">
        <v>1719.8262939000001</v>
      </c>
      <c r="I303">
        <v>548.66613770000004</v>
      </c>
      <c r="J303">
        <v>153.67010497999999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99.156688000000003</v>
      </c>
      <c r="B304" s="1">
        <f>DATE(2010,8,8) + TIME(3,45,37)</f>
        <v>40398.156678240739</v>
      </c>
      <c r="C304">
        <v>80</v>
      </c>
      <c r="D304">
        <v>79.903228760000005</v>
      </c>
      <c r="E304">
        <v>50</v>
      </c>
      <c r="F304">
        <v>14.950635910000001</v>
      </c>
      <c r="G304">
        <v>1846.3009033000001</v>
      </c>
      <c r="H304">
        <v>1719.4876709</v>
      </c>
      <c r="I304">
        <v>548.77893066000001</v>
      </c>
      <c r="J304">
        <v>153.78552246000001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99.640120999999994</v>
      </c>
      <c r="B305" s="1">
        <f>DATE(2010,8,8) + TIME(15,21,46)</f>
        <v>40398.640115740738</v>
      </c>
      <c r="C305">
        <v>80</v>
      </c>
      <c r="D305">
        <v>79.903327942000004</v>
      </c>
      <c r="E305">
        <v>50</v>
      </c>
      <c r="F305">
        <v>14.950896263000001</v>
      </c>
      <c r="G305">
        <v>1845.9656981999999</v>
      </c>
      <c r="H305">
        <v>1719.1544189000001</v>
      </c>
      <c r="I305">
        <v>548.89282227000001</v>
      </c>
      <c r="J305">
        <v>153.90203857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100.123554</v>
      </c>
      <c r="B306" s="1">
        <f>DATE(2010,8,9) + TIME(2,57,55)</f>
        <v>40399.123553240737</v>
      </c>
      <c r="C306">
        <v>80</v>
      </c>
      <c r="D306">
        <v>79.903427124000004</v>
      </c>
      <c r="E306">
        <v>50</v>
      </c>
      <c r="F306">
        <v>14.951153755</v>
      </c>
      <c r="G306">
        <v>1845.6347656</v>
      </c>
      <c r="H306">
        <v>1718.8253173999999</v>
      </c>
      <c r="I306">
        <v>549.00769043000003</v>
      </c>
      <c r="J306">
        <v>154.01948547000001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100.606987</v>
      </c>
      <c r="B307" s="1">
        <f>DATE(2010,8,9) + TIME(14,34,3)</f>
        <v>40399.606979166667</v>
      </c>
      <c r="C307">
        <v>80</v>
      </c>
      <c r="D307">
        <v>79.903526306000003</v>
      </c>
      <c r="E307">
        <v>50</v>
      </c>
      <c r="F307">
        <v>14.95140934</v>
      </c>
      <c r="G307">
        <v>1845.3070068</v>
      </c>
      <c r="H307">
        <v>1718.4995117000001</v>
      </c>
      <c r="I307">
        <v>549.12341308999999</v>
      </c>
      <c r="J307">
        <v>154.13777160999999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101.09042100000001</v>
      </c>
      <c r="B308" s="1">
        <f>DATE(2010,8,10) + TIME(2,10,12)</f>
        <v>40400.090416666666</v>
      </c>
      <c r="C308">
        <v>80</v>
      </c>
      <c r="D308">
        <v>79.903617858999993</v>
      </c>
      <c r="E308">
        <v>50</v>
      </c>
      <c r="F308">
        <v>14.951663017</v>
      </c>
      <c r="G308">
        <v>1844.9820557</v>
      </c>
      <c r="H308">
        <v>1718.1765137</v>
      </c>
      <c r="I308">
        <v>549.23986816000001</v>
      </c>
      <c r="J308">
        <v>154.25675964000001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101.573854</v>
      </c>
      <c r="B309" s="1">
        <f>DATE(2010,8,10) + TIME(13,46,20)</f>
        <v>40400.573842592596</v>
      </c>
      <c r="C309">
        <v>80</v>
      </c>
      <c r="D309">
        <v>79.903709411999998</v>
      </c>
      <c r="E309">
        <v>50</v>
      </c>
      <c r="F309">
        <v>14.951916695</v>
      </c>
      <c r="G309">
        <v>1844.6594238</v>
      </c>
      <c r="H309">
        <v>1717.8557129000001</v>
      </c>
      <c r="I309">
        <v>549.35699463000003</v>
      </c>
      <c r="J309">
        <v>154.37638855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102.057287</v>
      </c>
      <c r="B310" s="1">
        <f>DATE(2010,8,11) + TIME(1,22,29)</f>
        <v>40401.057280092595</v>
      </c>
      <c r="C310">
        <v>80</v>
      </c>
      <c r="D310">
        <v>79.903800963999998</v>
      </c>
      <c r="E310">
        <v>50</v>
      </c>
      <c r="F310">
        <v>14.952168465</v>
      </c>
      <c r="G310">
        <v>1844.3387451000001</v>
      </c>
      <c r="H310">
        <v>1717.5368652</v>
      </c>
      <c r="I310">
        <v>549.47473145000004</v>
      </c>
      <c r="J310">
        <v>154.49659729000001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102.540721</v>
      </c>
      <c r="B311" s="1">
        <f>DATE(2010,8,11) + TIME(12,58,38)</f>
        <v>40401.540717592594</v>
      </c>
      <c r="C311">
        <v>80</v>
      </c>
      <c r="D311">
        <v>79.903892517000003</v>
      </c>
      <c r="E311">
        <v>50</v>
      </c>
      <c r="F311">
        <v>14.952420235</v>
      </c>
      <c r="G311">
        <v>1844.0198975000001</v>
      </c>
      <c r="H311">
        <v>1717.2199707</v>
      </c>
      <c r="I311">
        <v>549.59295654000005</v>
      </c>
      <c r="J311">
        <v>154.61737060999999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103.507587</v>
      </c>
      <c r="B312" s="1">
        <f>DATE(2010,8,12) + TIME(12,10,55)</f>
        <v>40402.507581018515</v>
      </c>
      <c r="C312">
        <v>80</v>
      </c>
      <c r="D312">
        <v>79.904167174999998</v>
      </c>
      <c r="E312">
        <v>50</v>
      </c>
      <c r="F312">
        <v>14.952775955</v>
      </c>
      <c r="G312">
        <v>1843.4567870999999</v>
      </c>
      <c r="H312">
        <v>1716.6593018000001</v>
      </c>
      <c r="I312">
        <v>549.82604979999996</v>
      </c>
      <c r="J312">
        <v>154.85394287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104.476904</v>
      </c>
      <c r="B313" s="1">
        <f>DATE(2010,8,13) + TIME(11,26,44)</f>
        <v>40403.476898148147</v>
      </c>
      <c r="C313">
        <v>80</v>
      </c>
      <c r="D313">
        <v>79.904365540000001</v>
      </c>
      <c r="E313">
        <v>50</v>
      </c>
      <c r="F313">
        <v>14.953215599</v>
      </c>
      <c r="G313">
        <v>1842.8850098</v>
      </c>
      <c r="H313">
        <v>1716.0908202999999</v>
      </c>
      <c r="I313">
        <v>550.06042479999996</v>
      </c>
      <c r="J313">
        <v>155.09266663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105.45607200000001</v>
      </c>
      <c r="B314" s="1">
        <f>DATE(2010,8,14) + TIME(10,56,44)</f>
        <v>40404.456064814818</v>
      </c>
      <c r="C314">
        <v>80</v>
      </c>
      <c r="D314">
        <v>79.904525757000002</v>
      </c>
      <c r="E314">
        <v>50</v>
      </c>
      <c r="F314">
        <v>14.953691483</v>
      </c>
      <c r="G314">
        <v>1842.2945557</v>
      </c>
      <c r="H314">
        <v>1715.5037841999999</v>
      </c>
      <c r="I314">
        <v>550.29718018000005</v>
      </c>
      <c r="J314">
        <v>155.3341217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106.447047</v>
      </c>
      <c r="B315" s="1">
        <f>DATE(2010,8,15) + TIME(10,43,44)</f>
        <v>40405.44703703704</v>
      </c>
      <c r="C315">
        <v>80</v>
      </c>
      <c r="D315">
        <v>79.904670714999995</v>
      </c>
      <c r="E315">
        <v>50</v>
      </c>
      <c r="F315">
        <v>14.954185486</v>
      </c>
      <c r="G315">
        <v>1841.6903076000001</v>
      </c>
      <c r="H315">
        <v>1714.9029541</v>
      </c>
      <c r="I315">
        <v>550.53784180000002</v>
      </c>
      <c r="J315">
        <v>155.57955933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107.451263</v>
      </c>
      <c r="B316" s="1">
        <f>DATE(2010,8,16) + TIME(10,49,49)</f>
        <v>40406.451261574075</v>
      </c>
      <c r="C316">
        <v>80</v>
      </c>
      <c r="D316">
        <v>79.904823303000001</v>
      </c>
      <c r="E316">
        <v>50</v>
      </c>
      <c r="F316">
        <v>14.954690933</v>
      </c>
      <c r="G316">
        <v>1841.0759277</v>
      </c>
      <c r="H316">
        <v>1714.2918701000001</v>
      </c>
      <c r="I316">
        <v>550.78350829999999</v>
      </c>
      <c r="J316">
        <v>155.83012389999999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108.46486</v>
      </c>
      <c r="B317" s="1">
        <f>DATE(2010,8,17) + TIME(11,9,23)</f>
        <v>40407.464849537035</v>
      </c>
      <c r="C317">
        <v>80</v>
      </c>
      <c r="D317">
        <v>79.904983521000005</v>
      </c>
      <c r="E317">
        <v>50</v>
      </c>
      <c r="F317">
        <v>14.955204009999999</v>
      </c>
      <c r="G317">
        <v>1840.4554443</v>
      </c>
      <c r="H317">
        <v>1713.6749268000001</v>
      </c>
      <c r="I317">
        <v>551.03393555000002</v>
      </c>
      <c r="J317">
        <v>156.08549500000001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108.97442700000001</v>
      </c>
      <c r="B318" s="1">
        <f>DATE(2010,8,17) + TIME(23,23,10)</f>
        <v>40407.974421296298</v>
      </c>
      <c r="C318">
        <v>80</v>
      </c>
      <c r="D318">
        <v>79.904998778999996</v>
      </c>
      <c r="E318">
        <v>50</v>
      </c>
      <c r="F318">
        <v>14.955574036</v>
      </c>
      <c r="G318">
        <v>1840.1091309000001</v>
      </c>
      <c r="H318">
        <v>1713.3309326000001</v>
      </c>
      <c r="I318">
        <v>551.16381836000005</v>
      </c>
      <c r="J318">
        <v>156.21887207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109.48399499999999</v>
      </c>
      <c r="B319" s="1">
        <f>DATE(2010,8,18) + TIME(11,36,57)</f>
        <v>40408.483993055554</v>
      </c>
      <c r="C319">
        <v>80</v>
      </c>
      <c r="D319">
        <v>79.905021667</v>
      </c>
      <c r="E319">
        <v>50</v>
      </c>
      <c r="F319">
        <v>14.955898285</v>
      </c>
      <c r="G319">
        <v>1839.7579346</v>
      </c>
      <c r="H319">
        <v>1712.9818115</v>
      </c>
      <c r="I319">
        <v>551.29412841999999</v>
      </c>
      <c r="J319">
        <v>156.35227965999999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109.99356299999999</v>
      </c>
      <c r="B320" s="1">
        <f>DATE(2010,8,18) + TIME(23,50,43)</f>
        <v>40408.99355324074</v>
      </c>
      <c r="C320">
        <v>80</v>
      </c>
      <c r="D320">
        <v>79.905082703000005</v>
      </c>
      <c r="E320">
        <v>50</v>
      </c>
      <c r="F320">
        <v>14.956198691999999</v>
      </c>
      <c r="G320">
        <v>1839.4134521000001</v>
      </c>
      <c r="H320">
        <v>1712.6390381000001</v>
      </c>
      <c r="I320">
        <v>551.42626953000001</v>
      </c>
      <c r="J320">
        <v>156.48724365000001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110.503131</v>
      </c>
      <c r="B321" s="1">
        <f>DATE(2010,8,19) + TIME(12,4,30)</f>
        <v>40409.503125000003</v>
      </c>
      <c r="C321">
        <v>80</v>
      </c>
      <c r="D321">
        <v>79.905166625999996</v>
      </c>
      <c r="E321">
        <v>50</v>
      </c>
      <c r="F321">
        <v>14.956483841000001</v>
      </c>
      <c r="G321">
        <v>1839.0764160000001</v>
      </c>
      <c r="H321">
        <v>1712.3038329999999</v>
      </c>
      <c r="I321">
        <v>551.56024170000001</v>
      </c>
      <c r="J321">
        <v>156.62384033000001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111.012654</v>
      </c>
      <c r="B322" s="1">
        <f>DATE(2010,8,20) + TIME(0,18,13)</f>
        <v>40410.012650462966</v>
      </c>
      <c r="C322">
        <v>80</v>
      </c>
      <c r="D322">
        <v>79.905258179</v>
      </c>
      <c r="E322">
        <v>50</v>
      </c>
      <c r="F322">
        <v>14.956762314000001</v>
      </c>
      <c r="G322">
        <v>1838.7458495999999</v>
      </c>
      <c r="H322">
        <v>1711.9747314000001</v>
      </c>
      <c r="I322">
        <v>551.69573975000003</v>
      </c>
      <c r="J322">
        <v>156.7618866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111.521734</v>
      </c>
      <c r="B323" s="1">
        <f>DATE(2010,8,20) + TIME(12,31,17)</f>
        <v>40410.521724537037</v>
      </c>
      <c r="C323">
        <v>80</v>
      </c>
      <c r="D323">
        <v>79.905357361</v>
      </c>
      <c r="E323">
        <v>50</v>
      </c>
      <c r="F323">
        <v>14.957036971999999</v>
      </c>
      <c r="G323">
        <v>1838.4201660000001</v>
      </c>
      <c r="H323">
        <v>1711.6507568</v>
      </c>
      <c r="I323">
        <v>551.83233643000005</v>
      </c>
      <c r="J323">
        <v>156.90104675000001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112.03046999999999</v>
      </c>
      <c r="B324" s="1">
        <f>DATE(2010,8,21) + TIME(0,43,52)</f>
        <v>40411.030462962961</v>
      </c>
      <c r="C324">
        <v>80</v>
      </c>
      <c r="D324">
        <v>79.905456543</v>
      </c>
      <c r="E324">
        <v>50</v>
      </c>
      <c r="F324">
        <v>14.957308769000001</v>
      </c>
      <c r="G324">
        <v>1838.0983887</v>
      </c>
      <c r="H324">
        <v>1711.3306885</v>
      </c>
      <c r="I324">
        <v>551.96990966999999</v>
      </c>
      <c r="J324">
        <v>157.04112244000001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112.53907599999999</v>
      </c>
      <c r="B325" s="1">
        <f>DATE(2010,8,21) + TIME(12,56,16)</f>
        <v>40411.539074074077</v>
      </c>
      <c r="C325">
        <v>80</v>
      </c>
      <c r="D325">
        <v>79.905548096000004</v>
      </c>
      <c r="E325">
        <v>50</v>
      </c>
      <c r="F325">
        <v>14.95758152</v>
      </c>
      <c r="G325">
        <v>1837.7796631000001</v>
      </c>
      <c r="H325">
        <v>1711.0135498</v>
      </c>
      <c r="I325">
        <v>552.10833739999998</v>
      </c>
      <c r="J325">
        <v>157.18203735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113.04768199999999</v>
      </c>
      <c r="B326" s="1">
        <f>DATE(2010,8,22) + TIME(1,8,39)</f>
        <v>40412.047673611109</v>
      </c>
      <c r="C326">
        <v>80</v>
      </c>
      <c r="D326">
        <v>79.905639648000005</v>
      </c>
      <c r="E326">
        <v>50</v>
      </c>
      <c r="F326">
        <v>14.957853317</v>
      </c>
      <c r="G326">
        <v>1837.4633789</v>
      </c>
      <c r="H326">
        <v>1710.6988524999999</v>
      </c>
      <c r="I326">
        <v>552.24761963000003</v>
      </c>
      <c r="J326">
        <v>157.32373046999999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113.556288</v>
      </c>
      <c r="B327" s="1">
        <f>DATE(2010,8,22) + TIME(13,21,3)</f>
        <v>40412.556284722225</v>
      </c>
      <c r="C327">
        <v>80</v>
      </c>
      <c r="D327">
        <v>79.905731200999995</v>
      </c>
      <c r="E327">
        <v>50</v>
      </c>
      <c r="F327">
        <v>14.958127021999999</v>
      </c>
      <c r="G327">
        <v>1837.1492920000001</v>
      </c>
      <c r="H327">
        <v>1710.3862305</v>
      </c>
      <c r="I327">
        <v>552.38757324000005</v>
      </c>
      <c r="J327">
        <v>157.46611023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114.06489500000001</v>
      </c>
      <c r="B328" s="1">
        <f>DATE(2010,8,23) + TIME(1,33,26)</f>
        <v>40413.064884259256</v>
      </c>
      <c r="C328">
        <v>80</v>
      </c>
      <c r="D328">
        <v>79.905822753999999</v>
      </c>
      <c r="E328">
        <v>50</v>
      </c>
      <c r="F328">
        <v>14.95840168</v>
      </c>
      <c r="G328">
        <v>1836.8369141000001</v>
      </c>
      <c r="H328">
        <v>1710.0754394999999</v>
      </c>
      <c r="I328">
        <v>552.52813720999995</v>
      </c>
      <c r="J328">
        <v>157.60917663999999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114.57350099999999</v>
      </c>
      <c r="B329" s="1">
        <f>DATE(2010,8,23) + TIME(13,45,50)</f>
        <v>40413.573495370372</v>
      </c>
      <c r="C329">
        <v>80</v>
      </c>
      <c r="D329">
        <v>79.905914307000003</v>
      </c>
      <c r="E329">
        <v>50</v>
      </c>
      <c r="F329">
        <v>14.958677292000001</v>
      </c>
      <c r="G329">
        <v>1836.5262451000001</v>
      </c>
      <c r="H329">
        <v>1709.7662353999999</v>
      </c>
      <c r="I329">
        <v>552.66943359000004</v>
      </c>
      <c r="J329">
        <v>157.75288391000001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115.59071299999999</v>
      </c>
      <c r="B330" s="1">
        <f>DATE(2010,8,24) + TIME(14,10,37)</f>
        <v>40414.59070601852</v>
      </c>
      <c r="C330">
        <v>80</v>
      </c>
      <c r="D330">
        <v>79.906166076999995</v>
      </c>
      <c r="E330">
        <v>50</v>
      </c>
      <c r="F330">
        <v>14.959067344999999</v>
      </c>
      <c r="G330">
        <v>1835.9718018000001</v>
      </c>
      <c r="H330">
        <v>1709.2139893000001</v>
      </c>
      <c r="I330">
        <v>552.94592284999999</v>
      </c>
      <c r="J330">
        <v>158.03279114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116.607957</v>
      </c>
      <c r="B331" s="1">
        <f>DATE(2010,8,25) + TIME(14,35,27)</f>
        <v>40415.607951388891</v>
      </c>
      <c r="C331">
        <v>80</v>
      </c>
      <c r="D331">
        <v>79.906364440999994</v>
      </c>
      <c r="E331">
        <v>50</v>
      </c>
      <c r="F331">
        <v>14.959560394</v>
      </c>
      <c r="G331">
        <v>1835.4128418</v>
      </c>
      <c r="H331">
        <v>1708.6575928</v>
      </c>
      <c r="I331">
        <v>553.22265625</v>
      </c>
      <c r="J331">
        <v>158.31375122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117.63665899999999</v>
      </c>
      <c r="B332" s="1">
        <f>DATE(2010,8,26) + TIME(15,16,47)</f>
        <v>40416.636655092596</v>
      </c>
      <c r="C332">
        <v>80</v>
      </c>
      <c r="D332">
        <v>79.906524657999995</v>
      </c>
      <c r="E332">
        <v>50</v>
      </c>
      <c r="F332">
        <v>14.960102081</v>
      </c>
      <c r="G332">
        <v>1834.8365478999999</v>
      </c>
      <c r="H332">
        <v>1708.0841064000001</v>
      </c>
      <c r="I332">
        <v>553.50305175999995</v>
      </c>
      <c r="J332">
        <v>158.59870910999999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118.67561499999999</v>
      </c>
      <c r="B333" s="1">
        <f>DATE(2010,8,27) + TIME(16,12,53)</f>
        <v>40417.675613425927</v>
      </c>
      <c r="C333">
        <v>80</v>
      </c>
      <c r="D333">
        <v>79.906677246000001</v>
      </c>
      <c r="E333">
        <v>50</v>
      </c>
      <c r="F333">
        <v>14.96067524</v>
      </c>
      <c r="G333">
        <v>1834.2482910000001</v>
      </c>
      <c r="H333">
        <v>1707.4987793</v>
      </c>
      <c r="I333">
        <v>553.78839111000002</v>
      </c>
      <c r="J333">
        <v>158.88882446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119.724035</v>
      </c>
      <c r="B334" s="1">
        <f>DATE(2010,8,28) + TIME(17,22,36)</f>
        <v>40418.724027777775</v>
      </c>
      <c r="C334">
        <v>80</v>
      </c>
      <c r="D334">
        <v>79.906829834000007</v>
      </c>
      <c r="E334">
        <v>50</v>
      </c>
      <c r="F334">
        <v>14.96127224</v>
      </c>
      <c r="G334">
        <v>1833.6523437999999</v>
      </c>
      <c r="H334">
        <v>1706.9055175999999</v>
      </c>
      <c r="I334">
        <v>554.07971191000001</v>
      </c>
      <c r="J334">
        <v>159.18492126000001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120.25157799999999</v>
      </c>
      <c r="B335" s="1">
        <f>DATE(2010,8,29) + TIME(6,2,16)</f>
        <v>40419.251574074071</v>
      </c>
      <c r="C335">
        <v>80</v>
      </c>
      <c r="D335">
        <v>79.906852721999996</v>
      </c>
      <c r="E335">
        <v>50</v>
      </c>
      <c r="F335">
        <v>14.961716652</v>
      </c>
      <c r="G335">
        <v>1833.3221435999999</v>
      </c>
      <c r="H335">
        <v>1706.5773925999999</v>
      </c>
      <c r="I335">
        <v>554.23211670000001</v>
      </c>
      <c r="J335">
        <v>159.34083557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120.775164</v>
      </c>
      <c r="B336" s="1">
        <f>DATE(2010,8,29) + TIME(18,36,14)</f>
        <v>40419.77516203704</v>
      </c>
      <c r="C336">
        <v>80</v>
      </c>
      <c r="D336">
        <v>79.906883239999999</v>
      </c>
      <c r="E336">
        <v>50</v>
      </c>
      <c r="F336">
        <v>14.962110518999999</v>
      </c>
      <c r="G336">
        <v>1832.9886475000001</v>
      </c>
      <c r="H336">
        <v>1706.2456055</v>
      </c>
      <c r="I336">
        <v>554.38482666000004</v>
      </c>
      <c r="J336">
        <v>159.49656676999999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121.298652</v>
      </c>
      <c r="B337" s="1">
        <f>DATE(2010,8,30) + TIME(7,10,3)</f>
        <v>40420.298645833333</v>
      </c>
      <c r="C337">
        <v>80</v>
      </c>
      <c r="D337">
        <v>79.906944275000001</v>
      </c>
      <c r="E337">
        <v>50</v>
      </c>
      <c r="F337">
        <v>14.962478638</v>
      </c>
      <c r="G337">
        <v>1832.6599120999999</v>
      </c>
      <c r="H337">
        <v>1705.9183350000001</v>
      </c>
      <c r="I337">
        <v>554.54003906000003</v>
      </c>
      <c r="J337">
        <v>159.65455627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121.822141</v>
      </c>
      <c r="B338" s="1">
        <f>DATE(2010,8,30) + TIME(19,43,52)</f>
        <v>40420.822129629632</v>
      </c>
      <c r="C338">
        <v>80</v>
      </c>
      <c r="D338">
        <v>79.907020568999997</v>
      </c>
      <c r="E338">
        <v>50</v>
      </c>
      <c r="F338">
        <v>14.962835311999999</v>
      </c>
      <c r="G338">
        <v>1832.3375243999999</v>
      </c>
      <c r="H338">
        <v>1705.5972899999999</v>
      </c>
      <c r="I338">
        <v>554.69750977000001</v>
      </c>
      <c r="J338">
        <v>159.81465148999999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122.345629</v>
      </c>
      <c r="B339" s="1">
        <f>DATE(2010,8,31) + TIME(8,17,42)</f>
        <v>40421.345625000002</v>
      </c>
      <c r="C339">
        <v>80</v>
      </c>
      <c r="D339">
        <v>79.907112122000001</v>
      </c>
      <c r="E339">
        <v>50</v>
      </c>
      <c r="F339">
        <v>14.963189125</v>
      </c>
      <c r="G339">
        <v>1832.0206298999999</v>
      </c>
      <c r="H339">
        <v>1705.2817382999999</v>
      </c>
      <c r="I339">
        <v>554.85675048999997</v>
      </c>
      <c r="J339">
        <v>159.97650146000001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123</v>
      </c>
      <c r="B340" s="1">
        <f>DATE(2010,9,1) + TIME(0,0,0)</f>
        <v>40422</v>
      </c>
      <c r="C340">
        <v>80</v>
      </c>
      <c r="D340">
        <v>79.907241821</v>
      </c>
      <c r="E340">
        <v>50</v>
      </c>
      <c r="F340">
        <v>14.963589667999999</v>
      </c>
      <c r="G340">
        <v>1831.6397704999999</v>
      </c>
      <c r="H340">
        <v>1704.9023437999999</v>
      </c>
      <c r="I340">
        <v>555.05615234000004</v>
      </c>
      <c r="J340">
        <v>160.17884827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123.523488</v>
      </c>
      <c r="B341" s="1">
        <f>DATE(2010,9,1) + TIME(12,33,49)</f>
        <v>40422.5234837963</v>
      </c>
      <c r="C341">
        <v>80</v>
      </c>
      <c r="D341">
        <v>79.907333374000004</v>
      </c>
      <c r="E341">
        <v>50</v>
      </c>
      <c r="F341">
        <v>14.963968276999999</v>
      </c>
      <c r="G341">
        <v>1831.3322754000001</v>
      </c>
      <c r="H341">
        <v>1704.5963135</v>
      </c>
      <c r="I341">
        <v>555.21820068</v>
      </c>
      <c r="J341">
        <v>160.34353637999999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124.046977</v>
      </c>
      <c r="B342" s="1">
        <f>DATE(2010,9,2) + TIME(1,7,38)</f>
        <v>40423.046967592592</v>
      </c>
      <c r="C342">
        <v>80</v>
      </c>
      <c r="D342">
        <v>79.907417296999995</v>
      </c>
      <c r="E342">
        <v>50</v>
      </c>
      <c r="F342">
        <v>14.964345932000001</v>
      </c>
      <c r="G342">
        <v>1831.0247803</v>
      </c>
      <c r="H342">
        <v>1704.2901611</v>
      </c>
      <c r="I342">
        <v>555.38098145000004</v>
      </c>
      <c r="J342">
        <v>160.50898742999999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124.570465</v>
      </c>
      <c r="B343" s="1">
        <f>DATE(2010,9,2) + TIME(13,41,28)</f>
        <v>40423.570462962962</v>
      </c>
      <c r="C343">
        <v>80</v>
      </c>
      <c r="D343">
        <v>79.907501221000004</v>
      </c>
      <c r="E343">
        <v>50</v>
      </c>
      <c r="F343">
        <v>14.964726448</v>
      </c>
      <c r="G343">
        <v>1830.7191161999999</v>
      </c>
      <c r="H343">
        <v>1703.9858397999999</v>
      </c>
      <c r="I343">
        <v>555.54492187999995</v>
      </c>
      <c r="J343">
        <v>160.67550659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125.093954</v>
      </c>
      <c r="B344" s="1">
        <f>DATE(2010,9,3) + TIME(2,15,17)</f>
        <v>40424.093946759262</v>
      </c>
      <c r="C344">
        <v>80</v>
      </c>
      <c r="D344">
        <v>79.907585143999995</v>
      </c>
      <c r="E344">
        <v>50</v>
      </c>
      <c r="F344">
        <v>14.965112685999999</v>
      </c>
      <c r="G344">
        <v>1830.4156493999999</v>
      </c>
      <c r="H344">
        <v>1703.6837158000001</v>
      </c>
      <c r="I344">
        <v>555.70989989999998</v>
      </c>
      <c r="J344">
        <v>160.84310912999999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125.617442</v>
      </c>
      <c r="B345" s="1">
        <f>DATE(2010,9,3) + TIME(14,49,6)</f>
        <v>40424.617430555554</v>
      </c>
      <c r="C345">
        <v>80</v>
      </c>
      <c r="D345">
        <v>79.907676696999999</v>
      </c>
      <c r="E345">
        <v>50</v>
      </c>
      <c r="F345">
        <v>14.965507507</v>
      </c>
      <c r="G345">
        <v>1830.1141356999999</v>
      </c>
      <c r="H345">
        <v>1703.3834228999999</v>
      </c>
      <c r="I345">
        <v>555.87597656000003</v>
      </c>
      <c r="J345">
        <v>161.01176452999999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126.14093</v>
      </c>
      <c r="B346" s="1">
        <f>DATE(2010,9,4) + TIME(3,22,56)</f>
        <v>40425.140925925924</v>
      </c>
      <c r="C346">
        <v>80</v>
      </c>
      <c r="D346">
        <v>79.907760620000005</v>
      </c>
      <c r="E346">
        <v>50</v>
      </c>
      <c r="F346">
        <v>14.965910912</v>
      </c>
      <c r="G346">
        <v>1829.8143310999999</v>
      </c>
      <c r="H346">
        <v>1703.0848389</v>
      </c>
      <c r="I346">
        <v>556.04302978999999</v>
      </c>
      <c r="J346">
        <v>161.18145752000001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126.664419</v>
      </c>
      <c r="B347" s="1">
        <f>DATE(2010,9,4) + TIME(15,56,45)</f>
        <v>40425.664409722223</v>
      </c>
      <c r="C347">
        <v>80</v>
      </c>
      <c r="D347">
        <v>79.907844542999996</v>
      </c>
      <c r="E347">
        <v>50</v>
      </c>
      <c r="F347">
        <v>14.96632576</v>
      </c>
      <c r="G347">
        <v>1829.5161132999999</v>
      </c>
      <c r="H347">
        <v>1702.7878418</v>
      </c>
      <c r="I347">
        <v>556.21112060999997</v>
      </c>
      <c r="J347">
        <v>161.35217284999999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127.187907</v>
      </c>
      <c r="B348" s="1">
        <f>DATE(2010,9,5) + TIME(4,30,35)</f>
        <v>40426.187905092593</v>
      </c>
      <c r="C348">
        <v>80</v>
      </c>
      <c r="D348">
        <v>79.907928467000005</v>
      </c>
      <c r="E348">
        <v>50</v>
      </c>
      <c r="F348">
        <v>14.966752052</v>
      </c>
      <c r="G348">
        <v>1829.2192382999999</v>
      </c>
      <c r="H348">
        <v>1702.4921875</v>
      </c>
      <c r="I348">
        <v>556.38018798999997</v>
      </c>
      <c r="J348">
        <v>161.52394104000001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127.711395</v>
      </c>
      <c r="B349" s="1">
        <f>DATE(2010,9,5) + TIME(17,4,24)</f>
        <v>40426.711388888885</v>
      </c>
      <c r="C349">
        <v>80</v>
      </c>
      <c r="D349">
        <v>79.908012389999996</v>
      </c>
      <c r="E349">
        <v>50</v>
      </c>
      <c r="F349">
        <v>14.967190742</v>
      </c>
      <c r="G349">
        <v>1828.9237060999999</v>
      </c>
      <c r="H349">
        <v>1702.197876</v>
      </c>
      <c r="I349">
        <v>556.55035399999997</v>
      </c>
      <c r="J349">
        <v>161.69679260000001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128.23488399999999</v>
      </c>
      <c r="B350" s="1">
        <f>DATE(2010,9,6) + TIME(5,38,13)</f>
        <v>40427.234872685185</v>
      </c>
      <c r="C350">
        <v>80</v>
      </c>
      <c r="D350">
        <v>79.908096313000001</v>
      </c>
      <c r="E350">
        <v>50</v>
      </c>
      <c r="F350">
        <v>14.967643738</v>
      </c>
      <c r="G350">
        <v>1828.6292725000001</v>
      </c>
      <c r="H350">
        <v>1701.9046631000001</v>
      </c>
      <c r="I350">
        <v>556.72155762</v>
      </c>
      <c r="J350">
        <v>161.87074279999999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128.75837200000001</v>
      </c>
      <c r="B351" s="1">
        <f>DATE(2010,9,6) + TIME(18,12,3)</f>
        <v>40427.758368055554</v>
      </c>
      <c r="C351">
        <v>80</v>
      </c>
      <c r="D351">
        <v>79.908180236999996</v>
      </c>
      <c r="E351">
        <v>50</v>
      </c>
      <c r="F351">
        <v>14.968110084999999</v>
      </c>
      <c r="G351">
        <v>1828.3360596</v>
      </c>
      <c r="H351">
        <v>1701.6126709</v>
      </c>
      <c r="I351">
        <v>556.89385986000002</v>
      </c>
      <c r="J351">
        <v>162.04585266000001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129.80534900000001</v>
      </c>
      <c r="B352" s="1">
        <f>DATE(2010,9,7) + TIME(19,19,42)</f>
        <v>40428.805347222224</v>
      </c>
      <c r="C352">
        <v>80</v>
      </c>
      <c r="D352">
        <v>79.908416747999993</v>
      </c>
      <c r="E352">
        <v>50</v>
      </c>
      <c r="F352">
        <v>14.968783379</v>
      </c>
      <c r="G352">
        <v>1827.8055420000001</v>
      </c>
      <c r="H352">
        <v>1701.0838623</v>
      </c>
      <c r="I352">
        <v>557.22637939000003</v>
      </c>
      <c r="J352">
        <v>162.38253784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130.85240099999999</v>
      </c>
      <c r="B353" s="1">
        <f>DATE(2010,9,8) + TIME(20,27,27)</f>
        <v>40429.852395833332</v>
      </c>
      <c r="C353">
        <v>80</v>
      </c>
      <c r="D353">
        <v>79.908599854000002</v>
      </c>
      <c r="E353">
        <v>50</v>
      </c>
      <c r="F353">
        <v>14.96967411</v>
      </c>
      <c r="G353">
        <v>1827.2730713000001</v>
      </c>
      <c r="H353">
        <v>1700.5534668</v>
      </c>
      <c r="I353">
        <v>557.56140137</v>
      </c>
      <c r="J353">
        <v>162.72261047000001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131.90754699999999</v>
      </c>
      <c r="B354" s="1">
        <f>DATE(2010,9,9) + TIME(21,46,52)</f>
        <v>40430.907546296294</v>
      </c>
      <c r="C354">
        <v>80</v>
      </c>
      <c r="D354">
        <v>79.908760071000003</v>
      </c>
      <c r="E354">
        <v>50</v>
      </c>
      <c r="F354">
        <v>14.970699310000001</v>
      </c>
      <c r="G354">
        <v>1826.7272949000001</v>
      </c>
      <c r="H354">
        <v>1700.0098877</v>
      </c>
      <c r="I354">
        <v>557.90264893000005</v>
      </c>
      <c r="J354">
        <v>163.06953429999999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132.96280300000001</v>
      </c>
      <c r="B355" s="1">
        <f>DATE(2010,9,10) + TIME(23,6,26)</f>
        <v>40431.962800925925</v>
      </c>
      <c r="C355">
        <v>80</v>
      </c>
      <c r="D355">
        <v>79.908905028999996</v>
      </c>
      <c r="E355">
        <v>50</v>
      </c>
      <c r="F355">
        <v>14.971832275000001</v>
      </c>
      <c r="G355">
        <v>1826.1746826000001</v>
      </c>
      <c r="H355">
        <v>1699.4595947</v>
      </c>
      <c r="I355">
        <v>558.24993896000001</v>
      </c>
      <c r="J355">
        <v>163.42291259999999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134.02024499999999</v>
      </c>
      <c r="B356" s="1">
        <f>DATE(2010,9,12) + TIME(0,29,9)</f>
        <v>40433.020243055558</v>
      </c>
      <c r="C356">
        <v>80</v>
      </c>
      <c r="D356">
        <v>79.909049988000007</v>
      </c>
      <c r="E356">
        <v>50</v>
      </c>
      <c r="F356">
        <v>14.973067284000001</v>
      </c>
      <c r="G356">
        <v>1825.6180420000001</v>
      </c>
      <c r="H356">
        <v>1698.9050293</v>
      </c>
      <c r="I356">
        <v>558.60498046999999</v>
      </c>
      <c r="J356">
        <v>163.78442383000001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135.08191199999999</v>
      </c>
      <c r="B357" s="1">
        <f>DATE(2010,9,13) + TIME(1,57,57)</f>
        <v>40434.081909722219</v>
      </c>
      <c r="C357">
        <v>80</v>
      </c>
      <c r="D357">
        <v>79.909194946</v>
      </c>
      <c r="E357">
        <v>50</v>
      </c>
      <c r="F357">
        <v>14.974412918000001</v>
      </c>
      <c r="G357">
        <v>1825.0583495999999</v>
      </c>
      <c r="H357">
        <v>1698.3475341999999</v>
      </c>
      <c r="I357">
        <v>558.96893310999997</v>
      </c>
      <c r="J357">
        <v>164.15524292000001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136.149777</v>
      </c>
      <c r="B358" s="1">
        <f>DATE(2010,9,14) + TIME(3,35,40)</f>
        <v>40435.149768518517</v>
      </c>
      <c r="C358">
        <v>80</v>
      </c>
      <c r="D358">
        <v>79.909347534000005</v>
      </c>
      <c r="E358">
        <v>50</v>
      </c>
      <c r="F358">
        <v>14.97588253</v>
      </c>
      <c r="G358">
        <v>1824.4962158000001</v>
      </c>
      <c r="H358">
        <v>1697.7874756000001</v>
      </c>
      <c r="I358">
        <v>559.34271239999998</v>
      </c>
      <c r="J358">
        <v>164.53639221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136.68630200000001</v>
      </c>
      <c r="B359" s="1">
        <f>DATE(2010,9,14) + TIME(16,28,16)</f>
        <v>40435.686296296299</v>
      </c>
      <c r="C359">
        <v>80</v>
      </c>
      <c r="D359">
        <v>79.909385681000003</v>
      </c>
      <c r="E359">
        <v>50</v>
      </c>
      <c r="F359">
        <v>14.977039337000001</v>
      </c>
      <c r="G359">
        <v>1824.1907959</v>
      </c>
      <c r="H359">
        <v>1697.4836425999999</v>
      </c>
      <c r="I359">
        <v>559.54565430000002</v>
      </c>
      <c r="J359">
        <v>164.74435424999999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137.22191100000001</v>
      </c>
      <c r="B360" s="1">
        <f>DATE(2010,9,15) + TIME(5,19,33)</f>
        <v>40436.221909722219</v>
      </c>
      <c r="C360">
        <v>80</v>
      </c>
      <c r="D360">
        <v>79.909423828000001</v>
      </c>
      <c r="E360">
        <v>50</v>
      </c>
      <c r="F360">
        <v>14.978097915999999</v>
      </c>
      <c r="G360">
        <v>1823.8803711</v>
      </c>
      <c r="H360">
        <v>1697.1744385</v>
      </c>
      <c r="I360">
        <v>559.74951171999999</v>
      </c>
      <c r="J360">
        <v>164.95341492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137.757521</v>
      </c>
      <c r="B361" s="1">
        <f>DATE(2010,9,15) + TIME(18,10,49)</f>
        <v>40436.757511574076</v>
      </c>
      <c r="C361">
        <v>80</v>
      </c>
      <c r="D361">
        <v>79.909484863000003</v>
      </c>
      <c r="E361">
        <v>50</v>
      </c>
      <c r="F361">
        <v>14.979122161999999</v>
      </c>
      <c r="G361">
        <v>1823.5731201000001</v>
      </c>
      <c r="H361">
        <v>1696.8682861</v>
      </c>
      <c r="I361">
        <v>559.95666503999996</v>
      </c>
      <c r="J361">
        <v>165.16566467000001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138.29312999999999</v>
      </c>
      <c r="B362" s="1">
        <f>DATE(2010,9,16) + TIME(7,2,6)</f>
        <v>40437.293124999997</v>
      </c>
      <c r="C362">
        <v>80</v>
      </c>
      <c r="D362">
        <v>79.909561156999999</v>
      </c>
      <c r="E362">
        <v>50</v>
      </c>
      <c r="F362">
        <v>14.980147362</v>
      </c>
      <c r="G362">
        <v>1823.2706298999999</v>
      </c>
      <c r="H362">
        <v>1696.5668945</v>
      </c>
      <c r="I362">
        <v>560.16668701000003</v>
      </c>
      <c r="J362">
        <v>165.38064575000001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138.82873900000001</v>
      </c>
      <c r="B363" s="1">
        <f>DATE(2010,9,16) + TIME(19,53,23)</f>
        <v>40437.828738425924</v>
      </c>
      <c r="C363">
        <v>80</v>
      </c>
      <c r="D363">
        <v>79.909645080999994</v>
      </c>
      <c r="E363">
        <v>50</v>
      </c>
      <c r="F363">
        <v>14.98119545</v>
      </c>
      <c r="G363">
        <v>1822.9727783000001</v>
      </c>
      <c r="H363">
        <v>1696.2701416</v>
      </c>
      <c r="I363">
        <v>560.37884521000001</v>
      </c>
      <c r="J363">
        <v>165.59790039000001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139.36434800000001</v>
      </c>
      <c r="B364" s="1">
        <f>DATE(2010,9,17) + TIME(8,44,39)</f>
        <v>40438.364340277774</v>
      </c>
      <c r="C364">
        <v>80</v>
      </c>
      <c r="D364">
        <v>79.909729003999999</v>
      </c>
      <c r="E364">
        <v>50</v>
      </c>
      <c r="F364">
        <v>14.982279778000001</v>
      </c>
      <c r="G364">
        <v>1822.6785889</v>
      </c>
      <c r="H364">
        <v>1695.9769286999999</v>
      </c>
      <c r="I364">
        <v>560.59295654000005</v>
      </c>
      <c r="J364">
        <v>165.81716918999999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139.899957</v>
      </c>
      <c r="B365" s="1">
        <f>DATE(2010,9,17) + TIME(21,35,56)</f>
        <v>40438.899953703702</v>
      </c>
      <c r="C365">
        <v>80</v>
      </c>
      <c r="D365">
        <v>79.909820557000003</v>
      </c>
      <c r="E365">
        <v>50</v>
      </c>
      <c r="F365">
        <v>14.983407974</v>
      </c>
      <c r="G365">
        <v>1822.3874512</v>
      </c>
      <c r="H365">
        <v>1695.6867675999999</v>
      </c>
      <c r="I365">
        <v>560.80883788999995</v>
      </c>
      <c r="J365">
        <v>166.03839110999999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140.43556699999999</v>
      </c>
      <c r="B366" s="1">
        <f>DATE(2010,9,18) + TIME(10,27,12)</f>
        <v>40439.435555555552</v>
      </c>
      <c r="C366">
        <v>80</v>
      </c>
      <c r="D366">
        <v>79.909904479999994</v>
      </c>
      <c r="E366">
        <v>50</v>
      </c>
      <c r="F366">
        <v>14.984586716000001</v>
      </c>
      <c r="G366">
        <v>1822.0986327999999</v>
      </c>
      <c r="H366">
        <v>1695.3989257999999</v>
      </c>
      <c r="I366">
        <v>561.02642821999996</v>
      </c>
      <c r="J366">
        <v>166.26153564000001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140.97117600000001</v>
      </c>
      <c r="B367" s="1">
        <f>DATE(2010,9,18) + TIME(23,18,29)</f>
        <v>40439.971168981479</v>
      </c>
      <c r="C367">
        <v>80</v>
      </c>
      <c r="D367">
        <v>79.909996032999999</v>
      </c>
      <c r="E367">
        <v>50</v>
      </c>
      <c r="F367">
        <v>14.985821723999999</v>
      </c>
      <c r="G367">
        <v>1821.8117675999999</v>
      </c>
      <c r="H367">
        <v>1695.1131591999999</v>
      </c>
      <c r="I367">
        <v>561.24578856999995</v>
      </c>
      <c r="J367">
        <v>166.48670959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141.50678500000001</v>
      </c>
      <c r="B368" s="1">
        <f>DATE(2010,9,19) + TIME(12,9,46)</f>
        <v>40440.506782407407</v>
      </c>
      <c r="C368">
        <v>80</v>
      </c>
      <c r="D368">
        <v>79.910079956000004</v>
      </c>
      <c r="E368">
        <v>50</v>
      </c>
      <c r="F368">
        <v>14.987116814</v>
      </c>
      <c r="G368">
        <v>1821.5267334</v>
      </c>
      <c r="H368">
        <v>1694.8289795000001</v>
      </c>
      <c r="I368">
        <v>561.46697998000002</v>
      </c>
      <c r="J368">
        <v>166.71398926000001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142.042002</v>
      </c>
      <c r="B369" s="1">
        <f>DATE(2010,9,20) + TIME(1,0,28)</f>
        <v>40441.041990740741</v>
      </c>
      <c r="C369">
        <v>80</v>
      </c>
      <c r="D369">
        <v>79.910163878999995</v>
      </c>
      <c r="E369">
        <v>50</v>
      </c>
      <c r="F369">
        <v>14.9884758</v>
      </c>
      <c r="G369">
        <v>1821.2432861</v>
      </c>
      <c r="H369">
        <v>1694.5465088000001</v>
      </c>
      <c r="I369">
        <v>561.69000243999994</v>
      </c>
      <c r="J369">
        <v>166.94334412000001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142.576291</v>
      </c>
      <c r="B370" s="1">
        <f>DATE(2010,9,20) + TIME(13,49,51)</f>
        <v>40441.576284722221</v>
      </c>
      <c r="C370">
        <v>80</v>
      </c>
      <c r="D370">
        <v>79.910247803000004</v>
      </c>
      <c r="E370">
        <v>50</v>
      </c>
      <c r="F370">
        <v>14.989900588999999</v>
      </c>
      <c r="G370">
        <v>1820.9616699000001</v>
      </c>
      <c r="H370">
        <v>1694.2658690999999</v>
      </c>
      <c r="I370">
        <v>561.91467284999999</v>
      </c>
      <c r="J370">
        <v>167.17468262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143.10984500000001</v>
      </c>
      <c r="B371" s="1">
        <f>DATE(2010,9,21) + TIME(2,38,10)</f>
        <v>40442.109837962962</v>
      </c>
      <c r="C371">
        <v>80</v>
      </c>
      <c r="D371">
        <v>79.910324097</v>
      </c>
      <c r="E371">
        <v>50</v>
      </c>
      <c r="F371">
        <v>14.991396904</v>
      </c>
      <c r="G371">
        <v>1820.6816406</v>
      </c>
      <c r="H371">
        <v>1693.9868164</v>
      </c>
      <c r="I371">
        <v>562.14117432</v>
      </c>
      <c r="J371">
        <v>167.40818787000001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143.64297999999999</v>
      </c>
      <c r="B372" s="1">
        <f>DATE(2010,9,21) + TIME(15,25,53)</f>
        <v>40442.642974537041</v>
      </c>
      <c r="C372">
        <v>80</v>
      </c>
      <c r="D372">
        <v>79.910408020000006</v>
      </c>
      <c r="E372">
        <v>50</v>
      </c>
      <c r="F372">
        <v>14.992966652</v>
      </c>
      <c r="G372">
        <v>1820.402832</v>
      </c>
      <c r="H372">
        <v>1693.7089844</v>
      </c>
      <c r="I372">
        <v>562.36975098000005</v>
      </c>
      <c r="J372">
        <v>167.644104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144.176017</v>
      </c>
      <c r="B373" s="1">
        <f>DATE(2010,9,22) + TIME(4,13,27)</f>
        <v>40443.176006944443</v>
      </c>
      <c r="C373">
        <v>80</v>
      </c>
      <c r="D373">
        <v>79.910484314000001</v>
      </c>
      <c r="E373">
        <v>50</v>
      </c>
      <c r="F373">
        <v>14.994616508</v>
      </c>
      <c r="G373">
        <v>1820.1251221</v>
      </c>
      <c r="H373">
        <v>1693.4321289</v>
      </c>
      <c r="I373">
        <v>562.60058593999997</v>
      </c>
      <c r="J373">
        <v>167.88270568999999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144.70905400000001</v>
      </c>
      <c r="B374" s="1">
        <f>DATE(2010,9,22) + TIME(17,1,2)</f>
        <v>40443.709050925929</v>
      </c>
      <c r="C374">
        <v>80</v>
      </c>
      <c r="D374">
        <v>79.910568237000007</v>
      </c>
      <c r="E374">
        <v>50</v>
      </c>
      <c r="F374">
        <v>14.996350288</v>
      </c>
      <c r="G374">
        <v>1819.8483887</v>
      </c>
      <c r="H374">
        <v>1693.1563721</v>
      </c>
      <c r="I374">
        <v>562.83392333999996</v>
      </c>
      <c r="J374">
        <v>168.12413025000001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145.24209099999999</v>
      </c>
      <c r="B375" s="1">
        <f>DATE(2010,9,23) + TIME(5,48,36)</f>
        <v>40444.242083333331</v>
      </c>
      <c r="C375">
        <v>80</v>
      </c>
      <c r="D375">
        <v>79.910644531000003</v>
      </c>
      <c r="E375">
        <v>50</v>
      </c>
      <c r="F375">
        <v>14.998172759999999</v>
      </c>
      <c r="G375">
        <v>1819.5726318</v>
      </c>
      <c r="H375">
        <v>1692.8814697</v>
      </c>
      <c r="I375">
        <v>563.06976318</v>
      </c>
      <c r="J375">
        <v>168.36853027000001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145.775128</v>
      </c>
      <c r="B376" s="1">
        <f>DATE(2010,9,23) + TIME(18,36,11)</f>
        <v>40444.775127314817</v>
      </c>
      <c r="C376">
        <v>80</v>
      </c>
      <c r="D376">
        <v>79.910720824999999</v>
      </c>
      <c r="E376">
        <v>50</v>
      </c>
      <c r="F376">
        <v>15.000088692</v>
      </c>
      <c r="G376">
        <v>1819.2977295000001</v>
      </c>
      <c r="H376">
        <v>1692.6074219</v>
      </c>
      <c r="I376">
        <v>563.30816649999997</v>
      </c>
      <c r="J376">
        <v>168.61602783000001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146.308165</v>
      </c>
      <c r="B377" s="1">
        <f>DATE(2010,9,24) + TIME(7,23,45)</f>
        <v>40445.308159722219</v>
      </c>
      <c r="C377">
        <v>80</v>
      </c>
      <c r="D377">
        <v>79.910804748999993</v>
      </c>
      <c r="E377">
        <v>50</v>
      </c>
      <c r="F377">
        <v>15.002103805999999</v>
      </c>
      <c r="G377">
        <v>1819.0235596</v>
      </c>
      <c r="H377">
        <v>1692.3342285000001</v>
      </c>
      <c r="I377">
        <v>563.54937743999994</v>
      </c>
      <c r="J377">
        <v>168.86677551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146.84068600000001</v>
      </c>
      <c r="B378" s="1">
        <f>DATE(2010,9,24) + TIME(20,10,35)</f>
        <v>40445.840682870374</v>
      </c>
      <c r="C378">
        <v>80</v>
      </c>
      <c r="D378">
        <v>79.910881042</v>
      </c>
      <c r="E378">
        <v>50</v>
      </c>
      <c r="F378">
        <v>15.00422287</v>
      </c>
      <c r="G378">
        <v>1818.7504882999999</v>
      </c>
      <c r="H378">
        <v>1692.0620117000001</v>
      </c>
      <c r="I378">
        <v>563.79321288999995</v>
      </c>
      <c r="J378">
        <v>169.12065125000001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147.90417099999999</v>
      </c>
      <c r="B379" s="1">
        <f>DATE(2010,9,25) + TIME(21,42,0)</f>
        <v>40446.904166666667</v>
      </c>
      <c r="C379">
        <v>80</v>
      </c>
      <c r="D379">
        <v>79.911087035999998</v>
      </c>
      <c r="E379">
        <v>50</v>
      </c>
      <c r="F379">
        <v>15.007325172</v>
      </c>
      <c r="G379">
        <v>1818.2496338000001</v>
      </c>
      <c r="H379">
        <v>1691.5623779</v>
      </c>
      <c r="I379">
        <v>564.24139404000005</v>
      </c>
      <c r="J379">
        <v>169.58590698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148.96770799999999</v>
      </c>
      <c r="B380" s="1">
        <f>DATE(2010,9,26) + TIME(23,13,30)</f>
        <v>40447.96770833333</v>
      </c>
      <c r="C380">
        <v>80</v>
      </c>
      <c r="D380">
        <v>79.911262511999993</v>
      </c>
      <c r="E380">
        <v>50</v>
      </c>
      <c r="F380">
        <v>15.011554717999999</v>
      </c>
      <c r="G380">
        <v>1817.7495117000001</v>
      </c>
      <c r="H380">
        <v>1691.0638428</v>
      </c>
      <c r="I380">
        <v>564.71209716999999</v>
      </c>
      <c r="J380">
        <v>170.07618712999999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149.50689499999999</v>
      </c>
      <c r="B381" s="1">
        <f>DATE(2010,9,27) + TIME(12,9,55)</f>
        <v>40448.506886574076</v>
      </c>
      <c r="C381">
        <v>80</v>
      </c>
      <c r="D381">
        <v>79.911308289000004</v>
      </c>
      <c r="E381">
        <v>50</v>
      </c>
      <c r="F381">
        <v>15.015158653</v>
      </c>
      <c r="G381">
        <v>1817.4754639</v>
      </c>
      <c r="H381">
        <v>1690.7910156</v>
      </c>
      <c r="I381">
        <v>564.98956298999997</v>
      </c>
      <c r="J381">
        <v>170.36766051999999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150.04608099999999</v>
      </c>
      <c r="B382" s="1">
        <f>DATE(2010,9,28) + TIME(1,6,21)</f>
        <v>40449.046076388891</v>
      </c>
      <c r="C382">
        <v>80</v>
      </c>
      <c r="D382">
        <v>79.911354064999998</v>
      </c>
      <c r="E382">
        <v>50</v>
      </c>
      <c r="F382">
        <v>15.018528937999999</v>
      </c>
      <c r="G382">
        <v>1817.1936035000001</v>
      </c>
      <c r="H382">
        <v>1690.5101318</v>
      </c>
      <c r="I382">
        <v>565.26092529000005</v>
      </c>
      <c r="J382">
        <v>170.65580750000001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150.58526800000001</v>
      </c>
      <c r="B383" s="1">
        <f>DATE(2010,9,28) + TIME(14,2,47)</f>
        <v>40449.585266203707</v>
      </c>
      <c r="C383">
        <v>80</v>
      </c>
      <c r="D383">
        <v>79.911407471000004</v>
      </c>
      <c r="E383">
        <v>50</v>
      </c>
      <c r="F383">
        <v>15.021840096</v>
      </c>
      <c r="G383">
        <v>1816.9116211</v>
      </c>
      <c r="H383">
        <v>1690.2290039</v>
      </c>
      <c r="I383">
        <v>565.53546143000005</v>
      </c>
      <c r="J383">
        <v>170.94723511000001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151.12445399999999</v>
      </c>
      <c r="B384" s="1">
        <f>DATE(2010,9,29) + TIME(2,59,12)</f>
        <v>40450.124444444446</v>
      </c>
      <c r="C384">
        <v>80</v>
      </c>
      <c r="D384">
        <v>79.911468506000006</v>
      </c>
      <c r="E384">
        <v>50</v>
      </c>
      <c r="F384">
        <v>15.025191307</v>
      </c>
      <c r="G384">
        <v>1816.6317139</v>
      </c>
      <c r="H384">
        <v>1689.9499512</v>
      </c>
      <c r="I384">
        <v>565.81372069999998</v>
      </c>
      <c r="J384">
        <v>171.24256897000001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151.66364100000001</v>
      </c>
      <c r="B385" s="1">
        <f>DATE(2010,9,29) + TIME(15,55,38)</f>
        <v>40450.663634259261</v>
      </c>
      <c r="C385">
        <v>80</v>
      </c>
      <c r="D385">
        <v>79.911544800000001</v>
      </c>
      <c r="E385">
        <v>50</v>
      </c>
      <c r="F385">
        <v>15.028643607999999</v>
      </c>
      <c r="G385">
        <v>1816.3542480000001</v>
      </c>
      <c r="H385">
        <v>1689.6733397999999</v>
      </c>
      <c r="I385">
        <v>566.09558104999996</v>
      </c>
      <c r="J385">
        <v>171.54199219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152.20282700000001</v>
      </c>
      <c r="B386" s="1">
        <f>DATE(2010,9,30) + TIME(4,52,4)</f>
        <v>40451.202824074076</v>
      </c>
      <c r="C386">
        <v>80</v>
      </c>
      <c r="D386">
        <v>79.911621093999997</v>
      </c>
      <c r="E386">
        <v>50</v>
      </c>
      <c r="F386">
        <v>15.032233238</v>
      </c>
      <c r="G386">
        <v>1816.0789795000001</v>
      </c>
      <c r="H386">
        <v>1689.3988036999999</v>
      </c>
      <c r="I386">
        <v>566.38104248000002</v>
      </c>
      <c r="J386">
        <v>171.84571837999999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153</v>
      </c>
      <c r="B387" s="1">
        <f>DATE(2010,10,1) + TIME(0,0,0)</f>
        <v>40452</v>
      </c>
      <c r="C387">
        <v>80</v>
      </c>
      <c r="D387">
        <v>79.911758422999995</v>
      </c>
      <c r="E387">
        <v>50</v>
      </c>
      <c r="F387">
        <v>15.036821365</v>
      </c>
      <c r="G387">
        <v>1815.6893310999999</v>
      </c>
      <c r="H387">
        <v>1689.0102539</v>
      </c>
      <c r="I387">
        <v>566.78155518000005</v>
      </c>
      <c r="J387">
        <v>172.27185059000001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153.539186</v>
      </c>
      <c r="B388" s="1">
        <f>DATE(2010,10,1) + TIME(12,56,25)</f>
        <v>40452.539178240739</v>
      </c>
      <c r="C388">
        <v>80</v>
      </c>
      <c r="D388">
        <v>79.911834717000005</v>
      </c>
      <c r="E388">
        <v>50</v>
      </c>
      <c r="F388">
        <v>15.041259766</v>
      </c>
      <c r="G388">
        <v>1815.4202881000001</v>
      </c>
      <c r="H388">
        <v>1688.7420654</v>
      </c>
      <c r="I388">
        <v>567.08642578000001</v>
      </c>
      <c r="J388">
        <v>172.59669495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154.078373</v>
      </c>
      <c r="B389" s="1">
        <f>DATE(2010,10,2) + TIME(1,52,51)</f>
        <v>40453.078368055554</v>
      </c>
      <c r="C389">
        <v>80</v>
      </c>
      <c r="D389">
        <v>79.911903381000002</v>
      </c>
      <c r="E389">
        <v>50</v>
      </c>
      <c r="F389">
        <v>15.045718193000001</v>
      </c>
      <c r="G389">
        <v>1815.1486815999999</v>
      </c>
      <c r="H389">
        <v>1688.4713135</v>
      </c>
      <c r="I389">
        <v>567.38751220999995</v>
      </c>
      <c r="J389">
        <v>172.92095947000001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154.61676900000001</v>
      </c>
      <c r="B390" s="1">
        <f>DATE(2010,10,2) + TIME(14,48,8)</f>
        <v>40453.616759259261</v>
      </c>
      <c r="C390">
        <v>80</v>
      </c>
      <c r="D390">
        <v>79.911972046000002</v>
      </c>
      <c r="E390">
        <v>50</v>
      </c>
      <c r="F390">
        <v>15.050286292999999</v>
      </c>
      <c r="G390">
        <v>1814.8775635</v>
      </c>
      <c r="H390">
        <v>1688.2009277</v>
      </c>
      <c r="I390">
        <v>567.69165038999995</v>
      </c>
      <c r="J390">
        <v>173.24928284000001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155.15401499999999</v>
      </c>
      <c r="B391" s="1">
        <f>DATE(2010,10,3) + TIME(3,41,46)</f>
        <v>40454.154004629629</v>
      </c>
      <c r="C391">
        <v>80</v>
      </c>
      <c r="D391">
        <v>79.912048339999998</v>
      </c>
      <c r="E391">
        <v>50</v>
      </c>
      <c r="F391">
        <v>15.055015564</v>
      </c>
      <c r="G391">
        <v>1814.6080322</v>
      </c>
      <c r="H391">
        <v>1687.932251</v>
      </c>
      <c r="I391">
        <v>567.99951171999999</v>
      </c>
      <c r="J391">
        <v>173.58227539000001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155.69026199999999</v>
      </c>
      <c r="B392" s="1">
        <f>DATE(2010,10,3) + TIME(16,33,58)</f>
        <v>40454.690254629626</v>
      </c>
      <c r="C392">
        <v>80</v>
      </c>
      <c r="D392">
        <v>79.912117003999995</v>
      </c>
      <c r="E392">
        <v>50</v>
      </c>
      <c r="F392">
        <v>15.059942245</v>
      </c>
      <c r="G392">
        <v>1814.3400879000001</v>
      </c>
      <c r="H392">
        <v>1687.6650391000001</v>
      </c>
      <c r="I392">
        <v>568.31121826000003</v>
      </c>
      <c r="J392">
        <v>173.92036438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156.22565499999999</v>
      </c>
      <c r="B393" s="1">
        <f>DATE(2010,10,4) + TIME(5,24,56)</f>
        <v>40455.225648148145</v>
      </c>
      <c r="C393">
        <v>80</v>
      </c>
      <c r="D393">
        <v>79.912193298000005</v>
      </c>
      <c r="E393">
        <v>50</v>
      </c>
      <c r="F393">
        <v>15.065091132999999</v>
      </c>
      <c r="G393">
        <v>1814.0737305</v>
      </c>
      <c r="H393">
        <v>1687.3994141000001</v>
      </c>
      <c r="I393">
        <v>568.62695312000005</v>
      </c>
      <c r="J393">
        <v>174.26393127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156.76035100000001</v>
      </c>
      <c r="B394" s="1">
        <f>DATE(2010,10,4) + TIME(18,14,54)</f>
        <v>40455.760347222225</v>
      </c>
      <c r="C394">
        <v>80</v>
      </c>
      <c r="D394">
        <v>79.912269592000001</v>
      </c>
      <c r="E394">
        <v>50</v>
      </c>
      <c r="F394">
        <v>15.070481300000001</v>
      </c>
      <c r="G394">
        <v>1813.8085937999999</v>
      </c>
      <c r="H394">
        <v>1687.1351318</v>
      </c>
      <c r="I394">
        <v>568.94708251999998</v>
      </c>
      <c r="J394">
        <v>174.61335754000001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157.29451700000001</v>
      </c>
      <c r="B395" s="1">
        <f>DATE(2010,10,5) + TIME(7,4,6)</f>
        <v>40456.29451388889</v>
      </c>
      <c r="C395">
        <v>80</v>
      </c>
      <c r="D395">
        <v>79.912345885999997</v>
      </c>
      <c r="E395">
        <v>50</v>
      </c>
      <c r="F395">
        <v>15.076129913000001</v>
      </c>
      <c r="G395">
        <v>1813.5445557</v>
      </c>
      <c r="H395">
        <v>1686.8718262</v>
      </c>
      <c r="I395">
        <v>569.27178954999999</v>
      </c>
      <c r="J395">
        <v>174.96902466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157.82832500000001</v>
      </c>
      <c r="B396" s="1">
        <f>DATE(2010,10,5) + TIME(19,52,47)</f>
        <v>40456.828321759262</v>
      </c>
      <c r="C396">
        <v>80</v>
      </c>
      <c r="D396">
        <v>79.912422179999993</v>
      </c>
      <c r="E396">
        <v>50</v>
      </c>
      <c r="F396">
        <v>15.082052231</v>
      </c>
      <c r="G396">
        <v>1813.2816161999999</v>
      </c>
      <c r="H396">
        <v>1686.6096190999999</v>
      </c>
      <c r="I396">
        <v>569.60131836000005</v>
      </c>
      <c r="J396">
        <v>175.33132935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158.89558500000001</v>
      </c>
      <c r="B397" s="1">
        <f>DATE(2010,10,6) + TIME(21,29,38)</f>
        <v>40457.895578703705</v>
      </c>
      <c r="C397">
        <v>80</v>
      </c>
      <c r="D397">
        <v>79.912620544000006</v>
      </c>
      <c r="E397">
        <v>50</v>
      </c>
      <c r="F397">
        <v>15.090712547000001</v>
      </c>
      <c r="G397">
        <v>1812.7946777</v>
      </c>
      <c r="H397">
        <v>1686.1236572</v>
      </c>
      <c r="I397">
        <v>570.17364501999998</v>
      </c>
      <c r="J397">
        <v>175.95880127000001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159.963975</v>
      </c>
      <c r="B398" s="1">
        <f>DATE(2010,10,7) + TIME(23,8,7)</f>
        <v>40458.963969907411</v>
      </c>
      <c r="C398">
        <v>80</v>
      </c>
      <c r="D398">
        <v>79.912788391000007</v>
      </c>
      <c r="E398">
        <v>50</v>
      </c>
      <c r="F398">
        <v>15.102499008000001</v>
      </c>
      <c r="G398">
        <v>1812.3094481999999</v>
      </c>
      <c r="H398">
        <v>1685.6397704999999</v>
      </c>
      <c r="I398">
        <v>570.81097411999997</v>
      </c>
      <c r="J398">
        <v>176.66043091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161.03948</v>
      </c>
      <c r="B399" s="1">
        <f>DATE(2010,10,9) + TIME(0,56,51)</f>
        <v>40460.039479166669</v>
      </c>
      <c r="C399">
        <v>80</v>
      </c>
      <c r="D399">
        <v>79.912933350000003</v>
      </c>
      <c r="E399">
        <v>50</v>
      </c>
      <c r="F399">
        <v>15.116389275</v>
      </c>
      <c r="G399">
        <v>1811.8154297000001</v>
      </c>
      <c r="H399">
        <v>1685.1470947</v>
      </c>
      <c r="I399">
        <v>571.48486328000001</v>
      </c>
      <c r="J399">
        <v>177.41297913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161.579758</v>
      </c>
      <c r="B400" s="1">
        <f>DATE(2010,10,9) + TIME(13,54,51)</f>
        <v>40460.579756944448</v>
      </c>
      <c r="C400">
        <v>80</v>
      </c>
      <c r="D400">
        <v>79.912971497000001</v>
      </c>
      <c r="E400">
        <v>50</v>
      </c>
      <c r="F400">
        <v>15.127671242</v>
      </c>
      <c r="G400">
        <v>1811.5500488</v>
      </c>
      <c r="H400">
        <v>1684.8826904</v>
      </c>
      <c r="I400">
        <v>571.92504883000004</v>
      </c>
      <c r="J400">
        <v>177.90782166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162.120035</v>
      </c>
      <c r="B401" s="1">
        <f>DATE(2010,10,10) + TIME(2,52,51)</f>
        <v>40461.120034722226</v>
      </c>
      <c r="C401">
        <v>80</v>
      </c>
      <c r="D401">
        <v>79.913017272999994</v>
      </c>
      <c r="E401">
        <v>50</v>
      </c>
      <c r="F401">
        <v>15.138074874999999</v>
      </c>
      <c r="G401">
        <v>1811.277832</v>
      </c>
      <c r="H401">
        <v>1684.6113281</v>
      </c>
      <c r="I401">
        <v>572.32843018000005</v>
      </c>
      <c r="J401">
        <v>178.37484741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162.660313</v>
      </c>
      <c r="B402" s="1">
        <f>DATE(2010,10,10) + TIME(15,50,51)</f>
        <v>40461.660312499997</v>
      </c>
      <c r="C402">
        <v>80</v>
      </c>
      <c r="D402">
        <v>79.913063049000002</v>
      </c>
      <c r="E402">
        <v>50</v>
      </c>
      <c r="F402">
        <v>15.148187636999999</v>
      </c>
      <c r="G402">
        <v>1811.0053711</v>
      </c>
      <c r="H402">
        <v>1684.3395995999999</v>
      </c>
      <c r="I402">
        <v>572.73101807</v>
      </c>
      <c r="J402">
        <v>178.84054565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163.20059000000001</v>
      </c>
      <c r="B403" s="1">
        <f>DATE(2010,10,11) + TIME(4,48,51)</f>
        <v>40462.200590277775</v>
      </c>
      <c r="C403">
        <v>80</v>
      </c>
      <c r="D403">
        <v>79.913124084000003</v>
      </c>
      <c r="E403">
        <v>50</v>
      </c>
      <c r="F403">
        <v>15.158342361000001</v>
      </c>
      <c r="G403">
        <v>1810.7348632999999</v>
      </c>
      <c r="H403">
        <v>1684.0698242000001</v>
      </c>
      <c r="I403">
        <v>573.13757324000005</v>
      </c>
      <c r="J403">
        <v>179.31050110000001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163.74086800000001</v>
      </c>
      <c r="B404" s="1">
        <f>DATE(2010,10,11) + TIME(17,46,50)</f>
        <v>40462.740856481483</v>
      </c>
      <c r="C404">
        <v>80</v>
      </c>
      <c r="D404">
        <v>79.913200377999999</v>
      </c>
      <c r="E404">
        <v>50</v>
      </c>
      <c r="F404">
        <v>15.168736458</v>
      </c>
      <c r="G404">
        <v>1810.4665527</v>
      </c>
      <c r="H404">
        <v>1683.802124</v>
      </c>
      <c r="I404">
        <v>573.54931640999996</v>
      </c>
      <c r="J404">
        <v>179.78726196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164.28114600000001</v>
      </c>
      <c r="B405" s="1">
        <f>DATE(2010,10,12) + TIME(6,44,50)</f>
        <v>40463.281134259261</v>
      </c>
      <c r="C405">
        <v>80</v>
      </c>
      <c r="D405">
        <v>79.913269043</v>
      </c>
      <c r="E405">
        <v>50</v>
      </c>
      <c r="F405">
        <v>15.179488182</v>
      </c>
      <c r="G405">
        <v>1810.2001952999999</v>
      </c>
      <c r="H405">
        <v>1683.536499</v>
      </c>
      <c r="I405">
        <v>573.96697998000002</v>
      </c>
      <c r="J405">
        <v>180.27243042000001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164.82142300000001</v>
      </c>
      <c r="B406" s="1">
        <f>DATE(2010,10,12) + TIME(19,42,50)</f>
        <v>40463.821412037039</v>
      </c>
      <c r="C406">
        <v>80</v>
      </c>
      <c r="D406">
        <v>79.913345336999996</v>
      </c>
      <c r="E406">
        <v>50</v>
      </c>
      <c r="F406">
        <v>15.190675734999999</v>
      </c>
      <c r="G406">
        <v>1809.9355469</v>
      </c>
      <c r="H406">
        <v>1683.2725829999999</v>
      </c>
      <c r="I406">
        <v>574.39093018000005</v>
      </c>
      <c r="J406">
        <v>180.76722717000001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165.36170100000001</v>
      </c>
      <c r="B407" s="1">
        <f>DATE(2010,10,13) + TIME(8,40,50)</f>
        <v>40464.361689814818</v>
      </c>
      <c r="C407">
        <v>80</v>
      </c>
      <c r="D407">
        <v>79.913421631000006</v>
      </c>
      <c r="E407">
        <v>50</v>
      </c>
      <c r="F407">
        <v>15.202352524</v>
      </c>
      <c r="G407">
        <v>1809.6723632999999</v>
      </c>
      <c r="H407">
        <v>1683.0100098</v>
      </c>
      <c r="I407">
        <v>574.82177734000004</v>
      </c>
      <c r="J407">
        <v>181.27256775000001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165.90197800000001</v>
      </c>
      <c r="B408" s="1">
        <f>DATE(2010,10,13) + TIME(21,38,50)</f>
        <v>40464.901967592596</v>
      </c>
      <c r="C408">
        <v>80</v>
      </c>
      <c r="D408">
        <v>79.913497925000001</v>
      </c>
      <c r="E408">
        <v>50</v>
      </c>
      <c r="F408">
        <v>15.21455574</v>
      </c>
      <c r="G408">
        <v>1809.4102783000001</v>
      </c>
      <c r="H408">
        <v>1682.7485352000001</v>
      </c>
      <c r="I408">
        <v>575.25982666000004</v>
      </c>
      <c r="J408">
        <v>181.78926086000001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166.44225599999999</v>
      </c>
      <c r="B409" s="1">
        <f>DATE(2010,10,14) + TIME(10,36,50)</f>
        <v>40465.442245370374</v>
      </c>
      <c r="C409">
        <v>80</v>
      </c>
      <c r="D409">
        <v>79.913574218999997</v>
      </c>
      <c r="E409">
        <v>50</v>
      </c>
      <c r="F409">
        <v>15.227321625</v>
      </c>
      <c r="G409">
        <v>1809.1491699000001</v>
      </c>
      <c r="H409">
        <v>1682.4880370999999</v>
      </c>
      <c r="I409">
        <v>575.70538329999999</v>
      </c>
      <c r="J409">
        <v>182.31797791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166.98253299999999</v>
      </c>
      <c r="B410" s="1">
        <f>DATE(2010,10,14) + TIME(23,34,50)</f>
        <v>40465.982523148145</v>
      </c>
      <c r="C410">
        <v>80</v>
      </c>
      <c r="D410">
        <v>79.913642882999994</v>
      </c>
      <c r="E410">
        <v>50</v>
      </c>
      <c r="F410">
        <v>15.240676880000001</v>
      </c>
      <c r="G410">
        <v>1808.8887939000001</v>
      </c>
      <c r="H410">
        <v>1682.2283935999999</v>
      </c>
      <c r="I410">
        <v>576.15893555000002</v>
      </c>
      <c r="J410">
        <v>182.85935974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167.52222599999999</v>
      </c>
      <c r="B411" s="1">
        <f>DATE(2010,10,15) + TIME(12,32,0)</f>
        <v>40466.522222222222</v>
      </c>
      <c r="C411">
        <v>80</v>
      </c>
      <c r="D411">
        <v>79.913719177000004</v>
      </c>
      <c r="E411">
        <v>50</v>
      </c>
      <c r="F411">
        <v>15.254641532999999</v>
      </c>
      <c r="G411">
        <v>1808.6295166</v>
      </c>
      <c r="H411">
        <v>1681.9698486</v>
      </c>
      <c r="I411">
        <v>576.62030029000005</v>
      </c>
      <c r="J411">
        <v>183.41357421999999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168.06111000000001</v>
      </c>
      <c r="B412" s="1">
        <f>DATE(2010,10,16) + TIME(1,27,59)</f>
        <v>40467.061099537037</v>
      </c>
      <c r="C412">
        <v>80</v>
      </c>
      <c r="D412">
        <v>79.913795471</v>
      </c>
      <c r="E412">
        <v>50</v>
      </c>
      <c r="F412">
        <v>15.269234657</v>
      </c>
      <c r="G412">
        <v>1808.3713379000001</v>
      </c>
      <c r="H412">
        <v>1681.7121582</v>
      </c>
      <c r="I412">
        <v>577.08953856999995</v>
      </c>
      <c r="J412">
        <v>183.98091124999999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168.598828</v>
      </c>
      <c r="B413" s="1">
        <f>DATE(2010,10,16) + TIME(14,22,18)</f>
        <v>40467.598819444444</v>
      </c>
      <c r="C413">
        <v>80</v>
      </c>
      <c r="D413">
        <v>79.913864136000001</v>
      </c>
      <c r="E413">
        <v>50</v>
      </c>
      <c r="F413">
        <v>15.284471512</v>
      </c>
      <c r="G413">
        <v>1808.1142577999999</v>
      </c>
      <c r="H413">
        <v>1681.4556885</v>
      </c>
      <c r="I413">
        <v>577.56665038999995</v>
      </c>
      <c r="J413">
        <v>184.56156920999999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169.13561200000001</v>
      </c>
      <c r="B414" s="1">
        <f>DATE(2010,10,17) + TIME(3,15,16)</f>
        <v>40468.135601851849</v>
      </c>
      <c r="C414">
        <v>80</v>
      </c>
      <c r="D414">
        <v>79.913940429999997</v>
      </c>
      <c r="E414">
        <v>50</v>
      </c>
      <c r="F414">
        <v>15.300374984999999</v>
      </c>
      <c r="G414">
        <v>1807.8580322</v>
      </c>
      <c r="H414">
        <v>1681.2001952999999</v>
      </c>
      <c r="I414">
        <v>578.05187988</v>
      </c>
      <c r="J414">
        <v>185.15606689000001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169.67165600000001</v>
      </c>
      <c r="B415" s="1">
        <f>DATE(2010,10,17) + TIME(16,7,11)</f>
        <v>40468.671655092592</v>
      </c>
      <c r="C415">
        <v>80</v>
      </c>
      <c r="D415">
        <v>79.914009093999994</v>
      </c>
      <c r="E415">
        <v>50</v>
      </c>
      <c r="F415">
        <v>15.316970825</v>
      </c>
      <c r="G415">
        <v>1807.6026611</v>
      </c>
      <c r="H415">
        <v>1680.9454346</v>
      </c>
      <c r="I415">
        <v>578.54559326000003</v>
      </c>
      <c r="J415">
        <v>185.76506042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170.20716999999999</v>
      </c>
      <c r="B416" s="1">
        <f>DATE(2010,10,18) + TIME(4,58,19)</f>
        <v>40469.20716435185</v>
      </c>
      <c r="C416">
        <v>80</v>
      </c>
      <c r="D416">
        <v>79.914077758999994</v>
      </c>
      <c r="E416">
        <v>50</v>
      </c>
      <c r="F416">
        <v>15.334287643</v>
      </c>
      <c r="G416">
        <v>1807.3480225000001</v>
      </c>
      <c r="H416">
        <v>1680.6914062000001</v>
      </c>
      <c r="I416">
        <v>579.04803466999999</v>
      </c>
      <c r="J416">
        <v>186.38919067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170.74237099999999</v>
      </c>
      <c r="B417" s="1">
        <f>DATE(2010,10,18) + TIME(17,49,0)</f>
        <v>40469.742361111108</v>
      </c>
      <c r="C417">
        <v>80</v>
      </c>
      <c r="D417">
        <v>79.914146423000005</v>
      </c>
      <c r="E417">
        <v>50</v>
      </c>
      <c r="F417">
        <v>15.352355003</v>
      </c>
      <c r="G417">
        <v>1807.0939940999999</v>
      </c>
      <c r="H417">
        <v>1680.4378661999999</v>
      </c>
      <c r="I417">
        <v>579.55969238</v>
      </c>
      <c r="J417">
        <v>187.02917479999999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171.27749399999999</v>
      </c>
      <c r="B418" s="1">
        <f>DATE(2010,10,19) + TIME(6,39,35)</f>
        <v>40470.277488425927</v>
      </c>
      <c r="C418">
        <v>80</v>
      </c>
      <c r="D418">
        <v>79.914222717000001</v>
      </c>
      <c r="E418">
        <v>50</v>
      </c>
      <c r="F418">
        <v>15.371204376</v>
      </c>
      <c r="G418">
        <v>1806.840332</v>
      </c>
      <c r="H418">
        <v>1680.1848144999999</v>
      </c>
      <c r="I418">
        <v>580.08087158000001</v>
      </c>
      <c r="J418">
        <v>187.68576049999999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171.81261699999999</v>
      </c>
      <c r="B419" s="1">
        <f>DATE(2010,10,19) + TIME(19,30,10)</f>
        <v>40470.812615740739</v>
      </c>
      <c r="C419">
        <v>80</v>
      </c>
      <c r="D419">
        <v>79.914291382000002</v>
      </c>
      <c r="E419">
        <v>50</v>
      </c>
      <c r="F419">
        <v>15.390868187000001</v>
      </c>
      <c r="G419">
        <v>1806.5870361</v>
      </c>
      <c r="H419">
        <v>1679.932251</v>
      </c>
      <c r="I419">
        <v>580.61193848000005</v>
      </c>
      <c r="J419">
        <v>188.35958862000001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172.34773999999999</v>
      </c>
      <c r="B420" s="1">
        <f>DATE(2010,10,20) + TIME(8,20,44)</f>
        <v>40471.347731481481</v>
      </c>
      <c r="C420">
        <v>80</v>
      </c>
      <c r="D420">
        <v>79.914360045999999</v>
      </c>
      <c r="E420">
        <v>50</v>
      </c>
      <c r="F420">
        <v>15.411375046</v>
      </c>
      <c r="G420">
        <v>1806.3342285000001</v>
      </c>
      <c r="H420">
        <v>1679.6799315999999</v>
      </c>
      <c r="I420">
        <v>581.15301513999998</v>
      </c>
      <c r="J420">
        <v>189.05125426999999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172.88286299999999</v>
      </c>
      <c r="B421" s="1">
        <f>DATE(2010,10,20) + TIME(21,11,19)</f>
        <v>40471.8828587963</v>
      </c>
      <c r="C421">
        <v>80</v>
      </c>
      <c r="D421">
        <v>79.914428710999999</v>
      </c>
      <c r="E421">
        <v>50</v>
      </c>
      <c r="F421">
        <v>15.432753563</v>
      </c>
      <c r="G421">
        <v>1806.0816649999999</v>
      </c>
      <c r="H421">
        <v>1679.4279785000001</v>
      </c>
      <c r="I421">
        <v>581.70434569999998</v>
      </c>
      <c r="J421">
        <v>189.76132201999999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173.41798700000001</v>
      </c>
      <c r="B422" s="1">
        <f>DATE(2010,10,21) + TIME(10,1,54)</f>
        <v>40472.417986111112</v>
      </c>
      <c r="C422">
        <v>80</v>
      </c>
      <c r="D422">
        <v>79.914497374999996</v>
      </c>
      <c r="E422">
        <v>50</v>
      </c>
      <c r="F422">
        <v>15.455032349</v>
      </c>
      <c r="G422">
        <v>1805.8294678</v>
      </c>
      <c r="H422">
        <v>1679.1763916</v>
      </c>
      <c r="I422">
        <v>582.26611328000001</v>
      </c>
      <c r="J422">
        <v>190.49031067000001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174.48823300000001</v>
      </c>
      <c r="B423" s="1">
        <f>DATE(2010,10,22) + TIME(11,43,3)</f>
        <v>40473.488229166665</v>
      </c>
      <c r="C423">
        <v>80</v>
      </c>
      <c r="D423">
        <v>79.914672851999995</v>
      </c>
      <c r="E423">
        <v>50</v>
      </c>
      <c r="F423">
        <v>15.487363815</v>
      </c>
      <c r="G423">
        <v>1805.3563231999999</v>
      </c>
      <c r="H423">
        <v>1678.7039795000001</v>
      </c>
      <c r="I423">
        <v>583.13409423999997</v>
      </c>
      <c r="J423">
        <v>191.62721252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175.02600799999999</v>
      </c>
      <c r="B424" s="1">
        <f>DATE(2010,10,23) + TIME(0,37,27)</f>
        <v>40474.026006944441</v>
      </c>
      <c r="C424">
        <v>80</v>
      </c>
      <c r="D424">
        <v>79.914741516000007</v>
      </c>
      <c r="E424">
        <v>50</v>
      </c>
      <c r="F424">
        <v>15.518717766</v>
      </c>
      <c r="G424">
        <v>1805.1082764</v>
      </c>
      <c r="H424">
        <v>1678.4566649999999</v>
      </c>
      <c r="I424">
        <v>583.90509033000001</v>
      </c>
      <c r="J424">
        <v>192.60235596000001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176.068105</v>
      </c>
      <c r="B425" s="1">
        <f>DATE(2010,10,24) + TIME(1,38,4)</f>
        <v>40475.068101851852</v>
      </c>
      <c r="C425">
        <v>80</v>
      </c>
      <c r="D425">
        <v>79.914886475000003</v>
      </c>
      <c r="E425">
        <v>50</v>
      </c>
      <c r="F425">
        <v>15.559547424</v>
      </c>
      <c r="G425">
        <v>1804.6419678</v>
      </c>
      <c r="H425">
        <v>1677.9913329999999</v>
      </c>
      <c r="I425">
        <v>584.84472656000003</v>
      </c>
      <c r="J425">
        <v>193.89059448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177.13412600000001</v>
      </c>
      <c r="B426" s="1">
        <f>DATE(2010,10,25) + TIME(3,13,8)</f>
        <v>40476.134120370371</v>
      </c>
      <c r="C426">
        <v>80</v>
      </c>
      <c r="D426">
        <v>79.915023804</v>
      </c>
      <c r="E426">
        <v>50</v>
      </c>
      <c r="F426">
        <v>15.609701157</v>
      </c>
      <c r="G426">
        <v>1804.1679687999999</v>
      </c>
      <c r="H426">
        <v>1677.5183105000001</v>
      </c>
      <c r="I426">
        <v>586.00030518000005</v>
      </c>
      <c r="J426">
        <v>195.44007873999999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178.20229499999999</v>
      </c>
      <c r="B427" s="1">
        <f>DATE(2010,10,26) + TIME(4,51,18)</f>
        <v>40477.202291666668</v>
      </c>
      <c r="C427">
        <v>80</v>
      </c>
      <c r="D427">
        <v>79.915161132999998</v>
      </c>
      <c r="E427">
        <v>50</v>
      </c>
      <c r="F427">
        <v>15.666605948999999</v>
      </c>
      <c r="G427">
        <v>1803.6899414</v>
      </c>
      <c r="H427">
        <v>1677.0413818</v>
      </c>
      <c r="I427">
        <v>587.23474121000004</v>
      </c>
      <c r="J427">
        <v>197.1309967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179.27481299999999</v>
      </c>
      <c r="B428" s="1">
        <f>DATE(2010,10,27) + TIME(6,35,43)</f>
        <v>40478.27480324074</v>
      </c>
      <c r="C428">
        <v>80</v>
      </c>
      <c r="D428">
        <v>79.915290833</v>
      </c>
      <c r="E428">
        <v>50</v>
      </c>
      <c r="F428">
        <v>15.729124068999999</v>
      </c>
      <c r="G428">
        <v>1803.2067870999999</v>
      </c>
      <c r="H428">
        <v>1676.5592041</v>
      </c>
      <c r="I428">
        <v>588.52893066000001</v>
      </c>
      <c r="J428">
        <v>198.93913269000001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180.35438600000001</v>
      </c>
      <c r="B429" s="1">
        <f>DATE(2010,10,28) + TIME(8,30,18)</f>
        <v>40479.354375000003</v>
      </c>
      <c r="C429">
        <v>80</v>
      </c>
      <c r="D429">
        <v>79.915420531999999</v>
      </c>
      <c r="E429">
        <v>50</v>
      </c>
      <c r="F429">
        <v>15.79705143</v>
      </c>
      <c r="G429">
        <v>1802.7182617000001</v>
      </c>
      <c r="H429">
        <v>1676.0717772999999</v>
      </c>
      <c r="I429">
        <v>589.88183593999997</v>
      </c>
      <c r="J429">
        <v>200.86270142000001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180.895444</v>
      </c>
      <c r="B430" s="1">
        <f>DATE(2010,10,28) + TIME(21,29,26)</f>
        <v>40479.895439814813</v>
      </c>
      <c r="C430">
        <v>80</v>
      </c>
      <c r="D430">
        <v>79.915458678999997</v>
      </c>
      <c r="E430">
        <v>50</v>
      </c>
      <c r="F430">
        <v>15.849841118000001</v>
      </c>
      <c r="G430">
        <v>1802.4610596</v>
      </c>
      <c r="H430">
        <v>1675.8153076000001</v>
      </c>
      <c r="I430">
        <v>590.92132568</v>
      </c>
      <c r="J430">
        <v>202.31065369000001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181.94485399999999</v>
      </c>
      <c r="B431" s="1">
        <f>DATE(2010,10,29) + TIME(22,40,35)</f>
        <v>40480.944849537038</v>
      </c>
      <c r="C431">
        <v>80</v>
      </c>
      <c r="D431">
        <v>79.915588378999999</v>
      </c>
      <c r="E431">
        <v>50</v>
      </c>
      <c r="F431">
        <v>15.915267944</v>
      </c>
      <c r="G431">
        <v>1801.9775391000001</v>
      </c>
      <c r="H431">
        <v>1675.3326416</v>
      </c>
      <c r="I431">
        <v>592.06744385000002</v>
      </c>
      <c r="J431">
        <v>204.07495116999999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183.013004</v>
      </c>
      <c r="B432" s="1">
        <f>DATE(2010,10,31) + TIME(0,18,43)</f>
        <v>40482.012997685182</v>
      </c>
      <c r="C432">
        <v>80</v>
      </c>
      <c r="D432">
        <v>79.915725707999997</v>
      </c>
      <c r="E432">
        <v>50</v>
      </c>
      <c r="F432">
        <v>15.991420745999999</v>
      </c>
      <c r="G432">
        <v>1801.4920654</v>
      </c>
      <c r="H432">
        <v>1674.8481445</v>
      </c>
      <c r="I432">
        <v>593.49334716999999</v>
      </c>
      <c r="J432">
        <v>206.16978455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184</v>
      </c>
      <c r="B433" s="1">
        <f>DATE(2010,11,1) + TIME(0,0,0)</f>
        <v>40483</v>
      </c>
      <c r="C433">
        <v>80</v>
      </c>
      <c r="D433">
        <v>79.915847778</v>
      </c>
      <c r="E433">
        <v>50</v>
      </c>
      <c r="F433">
        <v>16.072811127000001</v>
      </c>
      <c r="G433">
        <v>1801.0401611</v>
      </c>
      <c r="H433">
        <v>1674.3970947</v>
      </c>
      <c r="I433">
        <v>594.94970703000001</v>
      </c>
      <c r="J433">
        <v>208.34532166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184.000001</v>
      </c>
      <c r="B434" s="1">
        <f>DATE(2010,11,1) + TIME(0,0,0)</f>
        <v>40483</v>
      </c>
      <c r="C434">
        <v>80</v>
      </c>
      <c r="D434">
        <v>79.915817261000001</v>
      </c>
      <c r="E434">
        <v>50</v>
      </c>
      <c r="F434">
        <v>16.072864532000001</v>
      </c>
      <c r="G434">
        <v>1674.3870850000001</v>
      </c>
      <c r="H434">
        <v>1547.8601074000001</v>
      </c>
      <c r="I434">
        <v>980.53381348000005</v>
      </c>
      <c r="J434">
        <v>594.95947265999996</v>
      </c>
      <c r="K434">
        <v>0</v>
      </c>
      <c r="L434">
        <v>2400</v>
      </c>
      <c r="M434">
        <v>2400</v>
      </c>
      <c r="N434">
        <v>0</v>
      </c>
    </row>
    <row r="435" spans="1:14" x14ac:dyDescent="0.25">
      <c r="A435">
        <v>184.00000399999999</v>
      </c>
      <c r="B435" s="1">
        <f>DATE(2010,11,1) + TIME(0,0,0)</f>
        <v>40483</v>
      </c>
      <c r="C435">
        <v>80</v>
      </c>
      <c r="D435">
        <v>79.915725707999997</v>
      </c>
      <c r="E435">
        <v>50</v>
      </c>
      <c r="F435">
        <v>16.073020934999999</v>
      </c>
      <c r="G435">
        <v>1674.3570557</v>
      </c>
      <c r="H435">
        <v>1547.8299560999999</v>
      </c>
      <c r="I435">
        <v>980.56158446999996</v>
      </c>
      <c r="J435">
        <v>594.98889159999999</v>
      </c>
      <c r="K435">
        <v>0</v>
      </c>
      <c r="L435">
        <v>2400</v>
      </c>
      <c r="M435">
        <v>2400</v>
      </c>
      <c r="N435">
        <v>0</v>
      </c>
    </row>
    <row r="436" spans="1:14" x14ac:dyDescent="0.25">
      <c r="A436">
        <v>184.000013</v>
      </c>
      <c r="B436" s="1">
        <f>DATE(2010,11,1) + TIME(0,0,1)</f>
        <v>40483.000011574077</v>
      </c>
      <c r="C436">
        <v>80</v>
      </c>
      <c r="D436">
        <v>79.915451050000001</v>
      </c>
      <c r="E436">
        <v>50</v>
      </c>
      <c r="F436">
        <v>16.073492049999999</v>
      </c>
      <c r="G436">
        <v>1674.2669678</v>
      </c>
      <c r="H436">
        <v>1547.7393798999999</v>
      </c>
      <c r="I436">
        <v>980.64465331999997</v>
      </c>
      <c r="J436">
        <v>595.07714843999997</v>
      </c>
      <c r="K436">
        <v>0</v>
      </c>
      <c r="L436">
        <v>2400</v>
      </c>
      <c r="M436">
        <v>2400</v>
      </c>
      <c r="N436">
        <v>0</v>
      </c>
    </row>
    <row r="437" spans="1:14" x14ac:dyDescent="0.25">
      <c r="A437">
        <v>184.00004000000001</v>
      </c>
      <c r="B437" s="1">
        <f>DATE(2010,11,1) + TIME(0,0,3)</f>
        <v>40483.000034722223</v>
      </c>
      <c r="C437">
        <v>80</v>
      </c>
      <c r="D437">
        <v>79.914627074999999</v>
      </c>
      <c r="E437">
        <v>50</v>
      </c>
      <c r="F437">
        <v>16.074903488</v>
      </c>
      <c r="G437">
        <v>1673.9974365</v>
      </c>
      <c r="H437">
        <v>1547.4683838000001</v>
      </c>
      <c r="I437">
        <v>980.89392090000001</v>
      </c>
      <c r="J437">
        <v>595.34161376999998</v>
      </c>
      <c r="K437">
        <v>0</v>
      </c>
      <c r="L437">
        <v>2400</v>
      </c>
      <c r="M437">
        <v>2400</v>
      </c>
      <c r="N437">
        <v>0</v>
      </c>
    </row>
    <row r="438" spans="1:14" x14ac:dyDescent="0.25">
      <c r="A438">
        <v>184.00012100000001</v>
      </c>
      <c r="B438" s="1">
        <f>DATE(2010,11,1) + TIME(0,0,10)</f>
        <v>40483.000115740739</v>
      </c>
      <c r="C438">
        <v>80</v>
      </c>
      <c r="D438">
        <v>79.912162781000006</v>
      </c>
      <c r="E438">
        <v>50</v>
      </c>
      <c r="F438">
        <v>16.079139709</v>
      </c>
      <c r="G438">
        <v>1673.1934814000001</v>
      </c>
      <c r="H438">
        <v>1546.6600341999999</v>
      </c>
      <c r="I438">
        <v>981.64013671999999</v>
      </c>
      <c r="J438">
        <v>596.13366699000005</v>
      </c>
      <c r="K438">
        <v>0</v>
      </c>
      <c r="L438">
        <v>2400</v>
      </c>
      <c r="M438">
        <v>2400</v>
      </c>
      <c r="N438">
        <v>0</v>
      </c>
    </row>
    <row r="439" spans="1:14" x14ac:dyDescent="0.25">
      <c r="A439">
        <v>184.00036399999999</v>
      </c>
      <c r="B439" s="1">
        <f>DATE(2010,11,1) + TIME(0,0,31)</f>
        <v>40483.000358796293</v>
      </c>
      <c r="C439">
        <v>80</v>
      </c>
      <c r="D439">
        <v>79.904914856000005</v>
      </c>
      <c r="E439">
        <v>50</v>
      </c>
      <c r="F439">
        <v>16.091829300000001</v>
      </c>
      <c r="G439">
        <v>1670.8232422000001</v>
      </c>
      <c r="H439">
        <v>1544.2768555</v>
      </c>
      <c r="I439">
        <v>983.86572265999996</v>
      </c>
      <c r="J439">
        <v>598.49670409999999</v>
      </c>
      <c r="K439">
        <v>0</v>
      </c>
      <c r="L439">
        <v>2400</v>
      </c>
      <c r="M439">
        <v>2400</v>
      </c>
      <c r="N439">
        <v>0</v>
      </c>
    </row>
    <row r="440" spans="1:14" x14ac:dyDescent="0.25">
      <c r="A440">
        <v>184.001093</v>
      </c>
      <c r="B440" s="1">
        <f>DATE(2010,11,1) + TIME(0,1,34)</f>
        <v>40483.001087962963</v>
      </c>
      <c r="C440">
        <v>80</v>
      </c>
      <c r="D440">
        <v>79.884223938000005</v>
      </c>
      <c r="E440">
        <v>50</v>
      </c>
      <c r="F440">
        <v>16.129758835000001</v>
      </c>
      <c r="G440">
        <v>1664.0629882999999</v>
      </c>
      <c r="H440">
        <v>1537.4807129000001</v>
      </c>
      <c r="I440">
        <v>990.42779541000004</v>
      </c>
      <c r="J440">
        <v>605.46990966999999</v>
      </c>
      <c r="K440">
        <v>0</v>
      </c>
      <c r="L440">
        <v>2400</v>
      </c>
      <c r="M440">
        <v>2400</v>
      </c>
      <c r="N440">
        <v>0</v>
      </c>
    </row>
    <row r="441" spans="1:14" x14ac:dyDescent="0.25">
      <c r="A441">
        <v>184.00327999999999</v>
      </c>
      <c r="B441" s="1">
        <f>DATE(2010,11,1) + TIME(0,4,43)</f>
        <v>40483.003275462965</v>
      </c>
      <c r="C441">
        <v>80</v>
      </c>
      <c r="D441">
        <v>79.830154418999996</v>
      </c>
      <c r="E441">
        <v>50</v>
      </c>
      <c r="F441">
        <v>16.242370605000001</v>
      </c>
      <c r="G441">
        <v>1646.401001</v>
      </c>
      <c r="H441">
        <v>1519.7285156</v>
      </c>
      <c r="I441">
        <v>1009.1461182</v>
      </c>
      <c r="J441">
        <v>625.40960693</v>
      </c>
      <c r="K441">
        <v>0</v>
      </c>
      <c r="L441">
        <v>2400</v>
      </c>
      <c r="M441">
        <v>2400</v>
      </c>
      <c r="N441">
        <v>0</v>
      </c>
    </row>
    <row r="442" spans="1:14" x14ac:dyDescent="0.25">
      <c r="A442">
        <v>184.00984099999999</v>
      </c>
      <c r="B442" s="1">
        <f>DATE(2010,11,1) + TIME(0,14,10)</f>
        <v>40483.009837962964</v>
      </c>
      <c r="C442">
        <v>80</v>
      </c>
      <c r="D442">
        <v>79.713546753000003</v>
      </c>
      <c r="E442">
        <v>50</v>
      </c>
      <c r="F442">
        <v>16.571306229000001</v>
      </c>
      <c r="G442">
        <v>1608.3740233999999</v>
      </c>
      <c r="H442">
        <v>1481.5187988</v>
      </c>
      <c r="I442">
        <v>1058.0194091999999</v>
      </c>
      <c r="J442">
        <v>677.80224609000004</v>
      </c>
      <c r="K442">
        <v>0</v>
      </c>
      <c r="L442">
        <v>2400</v>
      </c>
      <c r="M442">
        <v>2400</v>
      </c>
      <c r="N442">
        <v>0</v>
      </c>
    </row>
    <row r="443" spans="1:14" x14ac:dyDescent="0.25">
      <c r="A443">
        <v>184.02952400000001</v>
      </c>
      <c r="B443" s="1">
        <f>DATE(2010,11,1) + TIME(0,42,30)</f>
        <v>40483.029513888891</v>
      </c>
      <c r="C443">
        <v>80</v>
      </c>
      <c r="D443">
        <v>79.528533936000002</v>
      </c>
      <c r="E443">
        <v>50</v>
      </c>
      <c r="F443">
        <v>17.506111144999998</v>
      </c>
      <c r="G443">
        <v>1548.1413574000001</v>
      </c>
      <c r="H443">
        <v>1421.036499</v>
      </c>
      <c r="I443">
        <v>1162.4624022999999</v>
      </c>
      <c r="J443">
        <v>791.64819336000005</v>
      </c>
      <c r="K443">
        <v>0</v>
      </c>
      <c r="L443">
        <v>2400</v>
      </c>
      <c r="M443">
        <v>2400</v>
      </c>
      <c r="N443">
        <v>0</v>
      </c>
    </row>
    <row r="444" spans="1:14" x14ac:dyDescent="0.25">
      <c r="A444">
        <v>184.05058</v>
      </c>
      <c r="B444" s="1">
        <f>DATE(2010,11,1) + TIME(1,12,50)</f>
        <v>40483.050578703704</v>
      </c>
      <c r="C444">
        <v>80</v>
      </c>
      <c r="D444">
        <v>79.411544800000001</v>
      </c>
      <c r="E444">
        <v>50</v>
      </c>
      <c r="F444">
        <v>18.447149277000001</v>
      </c>
      <c r="G444">
        <v>1510.0019531</v>
      </c>
      <c r="H444">
        <v>1382.7470702999999</v>
      </c>
      <c r="I444">
        <v>1242.8734131000001</v>
      </c>
      <c r="J444">
        <v>880.84259033000001</v>
      </c>
      <c r="K444">
        <v>0</v>
      </c>
      <c r="L444">
        <v>2400</v>
      </c>
      <c r="M444">
        <v>2400</v>
      </c>
      <c r="N444">
        <v>0</v>
      </c>
    </row>
    <row r="445" spans="1:14" x14ac:dyDescent="0.25">
      <c r="A445">
        <v>184.07295500000001</v>
      </c>
      <c r="B445" s="1">
        <f>DATE(2010,11,1) + TIME(1,45,3)</f>
        <v>40483.072951388887</v>
      </c>
      <c r="C445">
        <v>80</v>
      </c>
      <c r="D445">
        <v>79.330238342000001</v>
      </c>
      <c r="E445">
        <v>50</v>
      </c>
      <c r="F445">
        <v>19.390226364</v>
      </c>
      <c r="G445">
        <v>1483.2977295000001</v>
      </c>
      <c r="H445">
        <v>1355.9468993999999</v>
      </c>
      <c r="I445">
        <v>1304.7412108999999</v>
      </c>
      <c r="J445">
        <v>950.98028564000003</v>
      </c>
      <c r="K445">
        <v>0</v>
      </c>
      <c r="L445">
        <v>2400</v>
      </c>
      <c r="M445">
        <v>2400</v>
      </c>
      <c r="N445">
        <v>0</v>
      </c>
    </row>
    <row r="446" spans="1:14" x14ac:dyDescent="0.25">
      <c r="A446">
        <v>184.09667999999999</v>
      </c>
      <c r="B446" s="1">
        <f>DATE(2010,11,1) + TIME(2,19,13)</f>
        <v>40483.096678240741</v>
      </c>
      <c r="C446">
        <v>80</v>
      </c>
      <c r="D446">
        <v>79.268959045000003</v>
      </c>
      <c r="E446">
        <v>50</v>
      </c>
      <c r="F446">
        <v>20.339281081999999</v>
      </c>
      <c r="G446">
        <v>1462.9757079999999</v>
      </c>
      <c r="H446">
        <v>1335.5570068</v>
      </c>
      <c r="I446">
        <v>1352.9698486</v>
      </c>
      <c r="J446">
        <v>1007.1147461</v>
      </c>
      <c r="K446">
        <v>0</v>
      </c>
      <c r="L446">
        <v>2400</v>
      </c>
      <c r="M446">
        <v>2400</v>
      </c>
      <c r="N446">
        <v>0</v>
      </c>
    </row>
    <row r="447" spans="1:14" x14ac:dyDescent="0.25">
      <c r="A447">
        <v>184.121679</v>
      </c>
      <c r="B447" s="1">
        <f>DATE(2010,11,1) + TIME(2,55,13)</f>
        <v>40483.121678240743</v>
      </c>
      <c r="C447">
        <v>80</v>
      </c>
      <c r="D447">
        <v>79.220046996999997</v>
      </c>
      <c r="E447">
        <v>50</v>
      </c>
      <c r="F447">
        <v>21.292457581000001</v>
      </c>
      <c r="G447">
        <v>1446.6026611</v>
      </c>
      <c r="H447">
        <v>1319.1326904</v>
      </c>
      <c r="I447">
        <v>1391.0771483999999</v>
      </c>
      <c r="J447">
        <v>1052.8233643000001</v>
      </c>
      <c r="K447">
        <v>0</v>
      </c>
      <c r="L447">
        <v>2400</v>
      </c>
      <c r="M447">
        <v>2400</v>
      </c>
      <c r="N447">
        <v>0</v>
      </c>
    </row>
    <row r="448" spans="1:14" x14ac:dyDescent="0.25">
      <c r="A448">
        <v>184.14790600000001</v>
      </c>
      <c r="B448" s="1">
        <f>DATE(2010,11,1) + TIME(3,32,59)</f>
        <v>40483.147905092592</v>
      </c>
      <c r="C448">
        <v>80</v>
      </c>
      <c r="D448">
        <v>79.179344177000004</v>
      </c>
      <c r="E448">
        <v>50</v>
      </c>
      <c r="F448">
        <v>22.247713089000001</v>
      </c>
      <c r="G448">
        <v>1432.8608397999999</v>
      </c>
      <c r="H448">
        <v>1305.3503418</v>
      </c>
      <c r="I448">
        <v>1421.7274170000001</v>
      </c>
      <c r="J448">
        <v>1090.8023682</v>
      </c>
      <c r="K448">
        <v>0</v>
      </c>
      <c r="L448">
        <v>2400</v>
      </c>
      <c r="M448">
        <v>2400</v>
      </c>
      <c r="N448">
        <v>0</v>
      </c>
    </row>
    <row r="449" spans="1:14" x14ac:dyDescent="0.25">
      <c r="A449">
        <v>184.17536200000001</v>
      </c>
      <c r="B449" s="1">
        <f>DATE(2010,11,1) + TIME(4,12,31)</f>
        <v>40483.175358796296</v>
      </c>
      <c r="C449">
        <v>80</v>
      </c>
      <c r="D449">
        <v>79.144363403</v>
      </c>
      <c r="E449">
        <v>50</v>
      </c>
      <c r="F449">
        <v>23.204414367999998</v>
      </c>
      <c r="G449">
        <v>1420.973999</v>
      </c>
      <c r="H449">
        <v>1293.4304199000001</v>
      </c>
      <c r="I449">
        <v>1446.8961182</v>
      </c>
      <c r="J449">
        <v>1123.0482178</v>
      </c>
      <c r="K449">
        <v>0</v>
      </c>
      <c r="L449">
        <v>2400</v>
      </c>
      <c r="M449">
        <v>2400</v>
      </c>
      <c r="N449">
        <v>0</v>
      </c>
    </row>
    <row r="450" spans="1:14" x14ac:dyDescent="0.25">
      <c r="A450">
        <v>184.20406</v>
      </c>
      <c r="B450" s="1">
        <f>DATE(2010,11,1) + TIME(4,53,50)</f>
        <v>40483.204050925924</v>
      </c>
      <c r="C450">
        <v>80</v>
      </c>
      <c r="D450">
        <v>79.113578795999999</v>
      </c>
      <c r="E450">
        <v>50</v>
      </c>
      <c r="F450">
        <v>24.161764144999999</v>
      </c>
      <c r="G450">
        <v>1410.4605713000001</v>
      </c>
      <c r="H450">
        <v>1282.8892822</v>
      </c>
      <c r="I450">
        <v>1468.0002440999999</v>
      </c>
      <c r="J450">
        <v>1150.9937743999999</v>
      </c>
      <c r="K450">
        <v>0</v>
      </c>
      <c r="L450">
        <v>2400</v>
      </c>
      <c r="M450">
        <v>2400</v>
      </c>
      <c r="N450">
        <v>0</v>
      </c>
    </row>
    <row r="451" spans="1:14" x14ac:dyDescent="0.25">
      <c r="A451">
        <v>184.234037</v>
      </c>
      <c r="B451" s="1">
        <f>DATE(2010,11,1) + TIME(5,37,0)</f>
        <v>40483.234027777777</v>
      </c>
      <c r="C451">
        <v>80</v>
      </c>
      <c r="D451">
        <v>79.085952758999994</v>
      </c>
      <c r="E451">
        <v>50</v>
      </c>
      <c r="F451">
        <v>25.119237900000002</v>
      </c>
      <c r="G451">
        <v>1400.9992675999999</v>
      </c>
      <c r="H451">
        <v>1273.4044189000001</v>
      </c>
      <c r="I451">
        <v>1486.0500488</v>
      </c>
      <c r="J451">
        <v>1175.6593018000001</v>
      </c>
      <c r="K451">
        <v>0</v>
      </c>
      <c r="L451">
        <v>2400</v>
      </c>
      <c r="M451">
        <v>2400</v>
      </c>
      <c r="N451">
        <v>0</v>
      </c>
    </row>
    <row r="452" spans="1:14" x14ac:dyDescent="0.25">
      <c r="A452">
        <v>184.265345</v>
      </c>
      <c r="B452" s="1">
        <f>DATE(2010,11,1) + TIME(6,22,5)</f>
        <v>40483.265335648146</v>
      </c>
      <c r="C452">
        <v>80</v>
      </c>
      <c r="D452">
        <v>79.060745238999999</v>
      </c>
      <c r="E452">
        <v>50</v>
      </c>
      <c r="F452">
        <v>26.076768874999999</v>
      </c>
      <c r="G452">
        <v>1392.3658447</v>
      </c>
      <c r="H452">
        <v>1264.7506103999999</v>
      </c>
      <c r="I452">
        <v>1501.7687988</v>
      </c>
      <c r="J452">
        <v>1197.7747803</v>
      </c>
      <c r="K452">
        <v>0</v>
      </c>
      <c r="L452">
        <v>2400</v>
      </c>
      <c r="M452">
        <v>2400</v>
      </c>
      <c r="N452">
        <v>0</v>
      </c>
    </row>
    <row r="453" spans="1:14" x14ac:dyDescent="0.25">
      <c r="A453">
        <v>184.29804200000001</v>
      </c>
      <c r="B453" s="1">
        <f>DATE(2010,11,1) + TIME(7,9,10)</f>
        <v>40483.298032407409</v>
      </c>
      <c r="C453">
        <v>80</v>
      </c>
      <c r="D453">
        <v>79.037445067999997</v>
      </c>
      <c r="E453">
        <v>50</v>
      </c>
      <c r="F453">
        <v>27.033084869</v>
      </c>
      <c r="G453">
        <v>1384.3992920000001</v>
      </c>
      <c r="H453">
        <v>1256.7662353999999</v>
      </c>
      <c r="I453">
        <v>1515.6776123</v>
      </c>
      <c r="J453">
        <v>1217.8649902</v>
      </c>
      <c r="K453">
        <v>0</v>
      </c>
      <c r="L453">
        <v>2400</v>
      </c>
      <c r="M453">
        <v>2400</v>
      </c>
      <c r="N453">
        <v>0</v>
      </c>
    </row>
    <row r="454" spans="1:14" x14ac:dyDescent="0.25">
      <c r="A454">
        <v>184.332232</v>
      </c>
      <c r="B454" s="1">
        <f>DATE(2010,11,1) + TIME(7,58,24)</f>
        <v>40483.33222222222</v>
      </c>
      <c r="C454">
        <v>80</v>
      </c>
      <c r="D454">
        <v>79.015602111999996</v>
      </c>
      <c r="E454">
        <v>50</v>
      </c>
      <c r="F454">
        <v>27.988357543999999</v>
      </c>
      <c r="G454">
        <v>1376.972168</v>
      </c>
      <c r="H454">
        <v>1249.3232422000001</v>
      </c>
      <c r="I454">
        <v>1528.1749268000001</v>
      </c>
      <c r="J454">
        <v>1236.3375243999999</v>
      </c>
      <c r="K454">
        <v>0</v>
      </c>
      <c r="L454">
        <v>2400</v>
      </c>
      <c r="M454">
        <v>2400</v>
      </c>
      <c r="N454">
        <v>0</v>
      </c>
    </row>
    <row r="455" spans="1:14" x14ac:dyDescent="0.25">
      <c r="A455">
        <v>184.36802399999999</v>
      </c>
      <c r="B455" s="1">
        <f>DATE(2010,11,1) + TIME(8,49,57)</f>
        <v>40483.368020833332</v>
      </c>
      <c r="C455">
        <v>80</v>
      </c>
      <c r="D455">
        <v>78.994911193999997</v>
      </c>
      <c r="E455">
        <v>50</v>
      </c>
      <c r="F455">
        <v>28.942329406999999</v>
      </c>
      <c r="G455">
        <v>1369.9885254000001</v>
      </c>
      <c r="H455">
        <v>1242.3253173999999</v>
      </c>
      <c r="I455">
        <v>1539.5562743999999</v>
      </c>
      <c r="J455">
        <v>1253.4941406</v>
      </c>
      <c r="K455">
        <v>0</v>
      </c>
      <c r="L455">
        <v>2400</v>
      </c>
      <c r="M455">
        <v>2400</v>
      </c>
      <c r="N455">
        <v>0</v>
      </c>
    </row>
    <row r="456" spans="1:14" x14ac:dyDescent="0.25">
      <c r="A456">
        <v>184.405542</v>
      </c>
      <c r="B456" s="1">
        <f>DATE(2010,11,1) + TIME(9,43,58)</f>
        <v>40483.405532407407</v>
      </c>
      <c r="C456">
        <v>80</v>
      </c>
      <c r="D456">
        <v>78.975090026999993</v>
      </c>
      <c r="E456">
        <v>50</v>
      </c>
      <c r="F456">
        <v>29.894758224</v>
      </c>
      <c r="G456">
        <v>1363.3719481999999</v>
      </c>
      <c r="H456">
        <v>1235.6959228999999</v>
      </c>
      <c r="I456">
        <v>1550.0488281</v>
      </c>
      <c r="J456">
        <v>1269.5692139</v>
      </c>
      <c r="K456">
        <v>0</v>
      </c>
      <c r="L456">
        <v>2400</v>
      </c>
      <c r="M456">
        <v>2400</v>
      </c>
      <c r="N456">
        <v>0</v>
      </c>
    </row>
    <row r="457" spans="1:14" x14ac:dyDescent="0.25">
      <c r="A457">
        <v>184.44493399999999</v>
      </c>
      <c r="B457" s="1">
        <f>DATE(2010,11,1) + TIME(10,40,42)</f>
        <v>40483.444930555554</v>
      </c>
      <c r="C457">
        <v>80</v>
      </c>
      <c r="D457">
        <v>78.955917357999994</v>
      </c>
      <c r="E457">
        <v>50</v>
      </c>
      <c r="F457">
        <v>30.845590591000001</v>
      </c>
      <c r="G457">
        <v>1357.0603027</v>
      </c>
      <c r="H457">
        <v>1229.3725586</v>
      </c>
      <c r="I457">
        <v>1559.8321533000001</v>
      </c>
      <c r="J457">
        <v>1284.7497559000001</v>
      </c>
      <c r="K457">
        <v>0</v>
      </c>
      <c r="L457">
        <v>2400</v>
      </c>
      <c r="M457">
        <v>2400</v>
      </c>
      <c r="N457">
        <v>0</v>
      </c>
    </row>
    <row r="458" spans="1:14" x14ac:dyDescent="0.25">
      <c r="A458">
        <v>184.48636300000001</v>
      </c>
      <c r="B458" s="1">
        <f>DATE(2010,11,1) + TIME(11,40,21)</f>
        <v>40483.486354166664</v>
      </c>
      <c r="C458">
        <v>80</v>
      </c>
      <c r="D458">
        <v>78.937202454000001</v>
      </c>
      <c r="E458">
        <v>50</v>
      </c>
      <c r="F458">
        <v>31.794252396000001</v>
      </c>
      <c r="G458">
        <v>1351.0029297000001</v>
      </c>
      <c r="H458">
        <v>1223.3041992000001</v>
      </c>
      <c r="I458">
        <v>1569.0506591999999</v>
      </c>
      <c r="J458">
        <v>1299.1864014</v>
      </c>
      <c r="K458">
        <v>0</v>
      </c>
      <c r="L458">
        <v>2400</v>
      </c>
      <c r="M458">
        <v>2400</v>
      </c>
      <c r="N458">
        <v>0</v>
      </c>
    </row>
    <row r="459" spans="1:14" x14ac:dyDescent="0.25">
      <c r="A459">
        <v>184.530034</v>
      </c>
      <c r="B459" s="1">
        <f>DATE(2010,11,1) + TIME(12,43,14)</f>
        <v>40483.530023148145</v>
      </c>
      <c r="C459">
        <v>80</v>
      </c>
      <c r="D459">
        <v>78.918746948000006</v>
      </c>
      <c r="E459">
        <v>50</v>
      </c>
      <c r="F459">
        <v>32.740604400999999</v>
      </c>
      <c r="G459">
        <v>1345.1545410000001</v>
      </c>
      <c r="H459">
        <v>1217.4455565999999</v>
      </c>
      <c r="I459">
        <v>1577.8260498</v>
      </c>
      <c r="J459">
        <v>1313.0086670000001</v>
      </c>
      <c r="K459">
        <v>0</v>
      </c>
      <c r="L459">
        <v>2400</v>
      </c>
      <c r="M459">
        <v>2400</v>
      </c>
      <c r="N459">
        <v>0</v>
      </c>
    </row>
    <row r="460" spans="1:14" x14ac:dyDescent="0.25">
      <c r="A460">
        <v>184.57617999999999</v>
      </c>
      <c r="B460" s="1">
        <f>DATE(2010,11,1) + TIME(13,49,41)</f>
        <v>40483.576168981483</v>
      </c>
      <c r="C460">
        <v>80</v>
      </c>
      <c r="D460">
        <v>78.900405883999994</v>
      </c>
      <c r="E460">
        <v>50</v>
      </c>
      <c r="F460">
        <v>33.684383392000001</v>
      </c>
      <c r="G460">
        <v>1339.4761963000001</v>
      </c>
      <c r="H460">
        <v>1211.7573242000001</v>
      </c>
      <c r="I460">
        <v>1586.2598877</v>
      </c>
      <c r="J460">
        <v>1326.3242187999999</v>
      </c>
      <c r="K460">
        <v>0</v>
      </c>
      <c r="L460">
        <v>2400</v>
      </c>
      <c r="M460">
        <v>2400</v>
      </c>
      <c r="N460">
        <v>0</v>
      </c>
    </row>
    <row r="461" spans="1:14" x14ac:dyDescent="0.25">
      <c r="A461">
        <v>184.62507600000001</v>
      </c>
      <c r="B461" s="1">
        <f>DATE(2010,11,1) + TIME(15,0,6)</f>
        <v>40483.625069444446</v>
      </c>
      <c r="C461">
        <v>80</v>
      </c>
      <c r="D461">
        <v>78.881996154999996</v>
      </c>
      <c r="E461">
        <v>50</v>
      </c>
      <c r="F461">
        <v>34.625267029</v>
      </c>
      <c r="G461">
        <v>1333.9331055</v>
      </c>
      <c r="H461">
        <v>1206.2047118999999</v>
      </c>
      <c r="I461">
        <v>1594.4394531</v>
      </c>
      <c r="J461">
        <v>1339.2264404</v>
      </c>
      <c r="K461">
        <v>0</v>
      </c>
      <c r="L461">
        <v>2400</v>
      </c>
      <c r="M461">
        <v>2400</v>
      </c>
      <c r="N461">
        <v>0</v>
      </c>
    </row>
    <row r="462" spans="1:14" x14ac:dyDescent="0.25">
      <c r="A462">
        <v>184.67703</v>
      </c>
      <c r="B462" s="1">
        <f>DATE(2010,11,1) + TIME(16,14,55)</f>
        <v>40483.677025462966</v>
      </c>
      <c r="C462">
        <v>80</v>
      </c>
      <c r="D462">
        <v>78.863380432</v>
      </c>
      <c r="E462">
        <v>50</v>
      </c>
      <c r="F462">
        <v>35.562679291000002</v>
      </c>
      <c r="G462">
        <v>1328.4943848</v>
      </c>
      <c r="H462">
        <v>1200.7567139</v>
      </c>
      <c r="I462">
        <v>1602.4401855000001</v>
      </c>
      <c r="J462">
        <v>1351.7951660000001</v>
      </c>
      <c r="K462">
        <v>0</v>
      </c>
      <c r="L462">
        <v>2400</v>
      </c>
      <c r="M462">
        <v>2400</v>
      </c>
      <c r="N462">
        <v>0</v>
      </c>
    </row>
    <row r="463" spans="1:14" x14ac:dyDescent="0.25">
      <c r="A463">
        <v>184.73214100000001</v>
      </c>
      <c r="B463" s="1">
        <f>DATE(2010,11,1) + TIME(17,34,17)</f>
        <v>40483.732141203705</v>
      </c>
      <c r="C463">
        <v>80</v>
      </c>
      <c r="D463">
        <v>78.844467163000004</v>
      </c>
      <c r="E463">
        <v>50</v>
      </c>
      <c r="F463">
        <v>36.491722107000001</v>
      </c>
      <c r="G463">
        <v>1323.1547852000001</v>
      </c>
      <c r="H463">
        <v>1195.4079589999999</v>
      </c>
      <c r="I463">
        <v>1610.2949219</v>
      </c>
      <c r="J463">
        <v>1364.0471190999999</v>
      </c>
      <c r="K463">
        <v>0</v>
      </c>
      <c r="L463">
        <v>2400</v>
      </c>
      <c r="M463">
        <v>2400</v>
      </c>
      <c r="N463">
        <v>0</v>
      </c>
    </row>
    <row r="464" spans="1:14" x14ac:dyDescent="0.25">
      <c r="A464">
        <v>184.79074700000001</v>
      </c>
      <c r="B464" s="1">
        <f>DATE(2010,11,1) + TIME(18,58,40)</f>
        <v>40483.79074074074</v>
      </c>
      <c r="C464">
        <v>80</v>
      </c>
      <c r="D464">
        <v>78.825111389</v>
      </c>
      <c r="E464">
        <v>50</v>
      </c>
      <c r="F464">
        <v>37.411121368000003</v>
      </c>
      <c r="G464">
        <v>1317.8891602000001</v>
      </c>
      <c r="H464">
        <v>1190.1331786999999</v>
      </c>
      <c r="I464">
        <v>1618.0615233999999</v>
      </c>
      <c r="J464">
        <v>1376.043457</v>
      </c>
      <c r="K464">
        <v>0</v>
      </c>
      <c r="L464">
        <v>2400</v>
      </c>
      <c r="M464">
        <v>2400</v>
      </c>
      <c r="N464">
        <v>0</v>
      </c>
    </row>
    <row r="465" spans="1:14" x14ac:dyDescent="0.25">
      <c r="A465">
        <v>184.85325599999999</v>
      </c>
      <c r="B465" s="1">
        <f>DATE(2010,11,1) + TIME(20,28,41)</f>
        <v>40483.853252314817</v>
      </c>
      <c r="C465">
        <v>80</v>
      </c>
      <c r="D465">
        <v>78.805152892999999</v>
      </c>
      <c r="E465">
        <v>50</v>
      </c>
      <c r="F465">
        <v>38.319702147999998</v>
      </c>
      <c r="G465">
        <v>1312.6717529</v>
      </c>
      <c r="H465">
        <v>1184.9063721</v>
      </c>
      <c r="I465">
        <v>1625.7960204999999</v>
      </c>
      <c r="J465">
        <v>1387.84375</v>
      </c>
      <c r="K465">
        <v>0</v>
      </c>
      <c r="L465">
        <v>2400</v>
      </c>
      <c r="M465">
        <v>2400</v>
      </c>
      <c r="N465">
        <v>0</v>
      </c>
    </row>
    <row r="466" spans="1:14" x14ac:dyDescent="0.25">
      <c r="A466">
        <v>184.92019500000001</v>
      </c>
      <c r="B466" s="1">
        <f>DATE(2010,11,1) + TIME(22,5,4)</f>
        <v>40483.920185185183</v>
      </c>
      <c r="C466">
        <v>80</v>
      </c>
      <c r="D466">
        <v>78.784393311000002</v>
      </c>
      <c r="E466">
        <v>50</v>
      </c>
      <c r="F466">
        <v>39.216651917</v>
      </c>
      <c r="G466">
        <v>1307.4741211</v>
      </c>
      <c r="H466">
        <v>1179.6989745999999</v>
      </c>
      <c r="I466">
        <v>1633.5565185999999</v>
      </c>
      <c r="J466">
        <v>1399.5112305</v>
      </c>
      <c r="K466">
        <v>0</v>
      </c>
      <c r="L466">
        <v>2400</v>
      </c>
      <c r="M466">
        <v>2400</v>
      </c>
      <c r="N466">
        <v>0</v>
      </c>
    </row>
    <row r="467" spans="1:14" x14ac:dyDescent="0.25">
      <c r="A467">
        <v>184.99214699999999</v>
      </c>
      <c r="B467" s="1">
        <f>DATE(2010,11,1) + TIME(23,48,41)</f>
        <v>40483.9921412037</v>
      </c>
      <c r="C467">
        <v>80</v>
      </c>
      <c r="D467">
        <v>78.762649535999998</v>
      </c>
      <c r="E467">
        <v>50</v>
      </c>
      <c r="F467">
        <v>40.100467682000001</v>
      </c>
      <c r="G467">
        <v>1302.2700195</v>
      </c>
      <c r="H467">
        <v>1174.4848632999999</v>
      </c>
      <c r="I467">
        <v>1641.3957519999999</v>
      </c>
      <c r="J467">
        <v>1411.1010742000001</v>
      </c>
      <c r="K467">
        <v>0</v>
      </c>
      <c r="L467">
        <v>2400</v>
      </c>
      <c r="M467">
        <v>2400</v>
      </c>
      <c r="N467">
        <v>0</v>
      </c>
    </row>
    <row r="468" spans="1:14" x14ac:dyDescent="0.25">
      <c r="A468">
        <v>185.06986699999999</v>
      </c>
      <c r="B468" s="1">
        <f>DATE(2010,11,2) + TIME(1,40,36)</f>
        <v>40484.069861111115</v>
      </c>
      <c r="C468">
        <v>80</v>
      </c>
      <c r="D468">
        <v>78.739692688000005</v>
      </c>
      <c r="E468">
        <v>50</v>
      </c>
      <c r="F468">
        <v>40.970100403000004</v>
      </c>
      <c r="G468">
        <v>1297.0291748</v>
      </c>
      <c r="H468">
        <v>1169.2332764</v>
      </c>
      <c r="I468">
        <v>1649.3721923999999</v>
      </c>
      <c r="J468">
        <v>1422.6757812000001</v>
      </c>
      <c r="K468">
        <v>0</v>
      </c>
      <c r="L468">
        <v>2400</v>
      </c>
      <c r="M468">
        <v>2400</v>
      </c>
      <c r="N468">
        <v>0</v>
      </c>
    </row>
    <row r="469" spans="1:14" x14ac:dyDescent="0.25">
      <c r="A469">
        <v>185.154302</v>
      </c>
      <c r="B469" s="1">
        <f>DATE(2010,11,2) + TIME(3,42,11)</f>
        <v>40484.154293981483</v>
      </c>
      <c r="C469">
        <v>80</v>
      </c>
      <c r="D469">
        <v>78.715248107999997</v>
      </c>
      <c r="E469">
        <v>50</v>
      </c>
      <c r="F469">
        <v>41.824138640999998</v>
      </c>
      <c r="G469">
        <v>1291.7167969</v>
      </c>
      <c r="H469">
        <v>1163.909668</v>
      </c>
      <c r="I469">
        <v>1657.5494385</v>
      </c>
      <c r="J469">
        <v>1434.3024902</v>
      </c>
      <c r="K469">
        <v>0</v>
      </c>
      <c r="L469">
        <v>2400</v>
      </c>
      <c r="M469">
        <v>2400</v>
      </c>
      <c r="N469">
        <v>0</v>
      </c>
    </row>
    <row r="470" spans="1:14" x14ac:dyDescent="0.25">
      <c r="A470">
        <v>185.246646</v>
      </c>
      <c r="B470" s="1">
        <f>DATE(2010,11,2) + TIME(5,55,10)</f>
        <v>40484.24664351852</v>
      </c>
      <c r="C470">
        <v>80</v>
      </c>
      <c r="D470">
        <v>78.688980103000006</v>
      </c>
      <c r="E470">
        <v>50</v>
      </c>
      <c r="F470">
        <v>42.661090850999997</v>
      </c>
      <c r="G470">
        <v>1286.2939452999999</v>
      </c>
      <c r="H470">
        <v>1158.4744873</v>
      </c>
      <c r="I470">
        <v>1665.9986572</v>
      </c>
      <c r="J470">
        <v>1446.0548096</v>
      </c>
      <c r="K470">
        <v>0</v>
      </c>
      <c r="L470">
        <v>2400</v>
      </c>
      <c r="M470">
        <v>2400</v>
      </c>
      <c r="N470">
        <v>0</v>
      </c>
    </row>
    <row r="471" spans="1:14" x14ac:dyDescent="0.25">
      <c r="A471">
        <v>185.34841599999999</v>
      </c>
      <c r="B471" s="1">
        <f>DATE(2010,11,2) + TIME(8,21,43)</f>
        <v>40484.348414351851</v>
      </c>
      <c r="C471">
        <v>80</v>
      </c>
      <c r="D471">
        <v>78.660499572999996</v>
      </c>
      <c r="E471">
        <v>50</v>
      </c>
      <c r="F471">
        <v>43.479087829999997</v>
      </c>
      <c r="G471">
        <v>1280.7154541</v>
      </c>
      <c r="H471">
        <v>1152.8826904</v>
      </c>
      <c r="I471">
        <v>1674.7998047000001</v>
      </c>
      <c r="J471">
        <v>1458.0136719</v>
      </c>
      <c r="K471">
        <v>0</v>
      </c>
      <c r="L471">
        <v>2400</v>
      </c>
      <c r="M471">
        <v>2400</v>
      </c>
      <c r="N471">
        <v>0</v>
      </c>
    </row>
    <row r="472" spans="1:14" x14ac:dyDescent="0.25">
      <c r="A472">
        <v>185.46049199999999</v>
      </c>
      <c r="B472" s="1">
        <f>DATE(2010,11,2) + TIME(11,3,6)</f>
        <v>40484.460486111115</v>
      </c>
      <c r="C472">
        <v>80</v>
      </c>
      <c r="D472">
        <v>78.629562378000003</v>
      </c>
      <c r="E472">
        <v>50</v>
      </c>
      <c r="F472">
        <v>44.269084929999998</v>
      </c>
      <c r="G472">
        <v>1274.9792480000001</v>
      </c>
      <c r="H472">
        <v>1147.1320800999999</v>
      </c>
      <c r="I472">
        <v>1683.9581298999999</v>
      </c>
      <c r="J472">
        <v>1470.1583252</v>
      </c>
      <c r="K472">
        <v>0</v>
      </c>
      <c r="L472">
        <v>2400</v>
      </c>
      <c r="M472">
        <v>2400</v>
      </c>
      <c r="N472">
        <v>0</v>
      </c>
    </row>
    <row r="473" spans="1:14" x14ac:dyDescent="0.25">
      <c r="A473">
        <v>185.57310899999999</v>
      </c>
      <c r="B473" s="1">
        <f>DATE(2010,11,2) + TIME(13,45,16)</f>
        <v>40484.573101851849</v>
      </c>
      <c r="C473">
        <v>80</v>
      </c>
      <c r="D473">
        <v>78.598381042</v>
      </c>
      <c r="E473">
        <v>50</v>
      </c>
      <c r="F473">
        <v>44.964813231999997</v>
      </c>
      <c r="G473">
        <v>1269.5644531</v>
      </c>
      <c r="H473">
        <v>1141.7032471</v>
      </c>
      <c r="I473">
        <v>1692.6403809000001</v>
      </c>
      <c r="J473">
        <v>1481.4169922000001</v>
      </c>
      <c r="K473">
        <v>0</v>
      </c>
      <c r="L473">
        <v>2400</v>
      </c>
      <c r="M473">
        <v>2400</v>
      </c>
      <c r="N473">
        <v>0</v>
      </c>
    </row>
    <row r="474" spans="1:14" x14ac:dyDescent="0.25">
      <c r="A474">
        <v>185.68726799999999</v>
      </c>
      <c r="B474" s="1">
        <f>DATE(2010,11,2) + TIME(16,29,39)</f>
        <v>40484.687256944446</v>
      </c>
      <c r="C474">
        <v>80</v>
      </c>
      <c r="D474">
        <v>78.566741942999997</v>
      </c>
      <c r="E474">
        <v>50</v>
      </c>
      <c r="F474">
        <v>45.582061768000003</v>
      </c>
      <c r="G474">
        <v>1264.3869629000001</v>
      </c>
      <c r="H474">
        <v>1136.5114745999999</v>
      </c>
      <c r="I474">
        <v>1700.9874268000001</v>
      </c>
      <c r="J474">
        <v>1492.0147704999999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185.80351999999999</v>
      </c>
      <c r="B475" s="1">
        <f>DATE(2010,11,2) + TIME(19,17,4)</f>
        <v>40484.803518518522</v>
      </c>
      <c r="C475">
        <v>80</v>
      </c>
      <c r="D475">
        <v>78.534500121999997</v>
      </c>
      <c r="E475">
        <v>50</v>
      </c>
      <c r="F475">
        <v>46.131088257000002</v>
      </c>
      <c r="G475">
        <v>1259.395874</v>
      </c>
      <c r="H475">
        <v>1131.5056152</v>
      </c>
      <c r="I475">
        <v>1709.0800781</v>
      </c>
      <c r="J475">
        <v>1502.0836182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185.92237499999999</v>
      </c>
      <c r="B476" s="1">
        <f>DATE(2010,11,2) + TIME(22,8,13)</f>
        <v>40484.922372685185</v>
      </c>
      <c r="C476">
        <v>80</v>
      </c>
      <c r="D476">
        <v>78.501564025999997</v>
      </c>
      <c r="E476">
        <v>50</v>
      </c>
      <c r="F476">
        <v>46.620113373000002</v>
      </c>
      <c r="G476">
        <v>1254.5510254000001</v>
      </c>
      <c r="H476">
        <v>1126.6453856999999</v>
      </c>
      <c r="I476">
        <v>1716.9757079999999</v>
      </c>
      <c r="J476">
        <v>1511.7209473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186.04435000000001</v>
      </c>
      <c r="B477" s="1">
        <f>DATE(2010,11,3) + TIME(1,3,51)</f>
        <v>40485.044340277775</v>
      </c>
      <c r="C477">
        <v>80</v>
      </c>
      <c r="D477">
        <v>78.467811584000003</v>
      </c>
      <c r="E477">
        <v>50</v>
      </c>
      <c r="F477">
        <v>47.055965424</v>
      </c>
      <c r="G477">
        <v>1249.8187256000001</v>
      </c>
      <c r="H477">
        <v>1121.8973389</v>
      </c>
      <c r="I477">
        <v>1724.7194824000001</v>
      </c>
      <c r="J477">
        <v>1521.0035399999999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186.169984</v>
      </c>
      <c r="B478" s="1">
        <f>DATE(2010,11,3) + TIME(4,4,46)</f>
        <v>40485.169976851852</v>
      </c>
      <c r="C478">
        <v>80</v>
      </c>
      <c r="D478">
        <v>78.433135985999996</v>
      </c>
      <c r="E478">
        <v>50</v>
      </c>
      <c r="F478">
        <v>47.444408416999998</v>
      </c>
      <c r="G478">
        <v>1245.1704102000001</v>
      </c>
      <c r="H478">
        <v>1117.2329102000001</v>
      </c>
      <c r="I478">
        <v>1732.3481445</v>
      </c>
      <c r="J478">
        <v>1529.9945068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186.29983100000001</v>
      </c>
      <c r="B479" s="1">
        <f>DATE(2010,11,3) + TIME(7,11,45)</f>
        <v>40485.299826388888</v>
      </c>
      <c r="C479">
        <v>80</v>
      </c>
      <c r="D479">
        <v>78.397415160999998</v>
      </c>
      <c r="E479">
        <v>50</v>
      </c>
      <c r="F479">
        <v>47.790309905999997</v>
      </c>
      <c r="G479">
        <v>1240.5817870999999</v>
      </c>
      <c r="H479">
        <v>1112.6274414</v>
      </c>
      <c r="I479">
        <v>1739.8920897999999</v>
      </c>
      <c r="J479">
        <v>1538.7452393000001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186.43454800000001</v>
      </c>
      <c r="B480" s="1">
        <f>DATE(2010,11,3) + TIME(10,25,44)</f>
        <v>40485.434537037036</v>
      </c>
      <c r="C480">
        <v>80</v>
      </c>
      <c r="D480">
        <v>78.360519409000005</v>
      </c>
      <c r="E480">
        <v>50</v>
      </c>
      <c r="F480">
        <v>48.097984314000001</v>
      </c>
      <c r="G480">
        <v>1236.0294189000001</v>
      </c>
      <c r="H480">
        <v>1108.0574951000001</v>
      </c>
      <c r="I480">
        <v>1747.3809814000001</v>
      </c>
      <c r="J480">
        <v>1547.3038329999999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186.57483500000001</v>
      </c>
      <c r="B481" s="1">
        <f>DATE(2010,11,3) + TIME(13,47,45)</f>
        <v>40485.574826388889</v>
      </c>
      <c r="C481">
        <v>80</v>
      </c>
      <c r="D481">
        <v>78.322303771999998</v>
      </c>
      <c r="E481">
        <v>50</v>
      </c>
      <c r="F481">
        <v>48.371124268000003</v>
      </c>
      <c r="G481">
        <v>1231.4921875</v>
      </c>
      <c r="H481">
        <v>1103.5023193</v>
      </c>
      <c r="I481">
        <v>1754.8404541</v>
      </c>
      <c r="J481">
        <v>1555.7113036999999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186.721486</v>
      </c>
      <c r="B482" s="1">
        <f>DATE(2010,11,3) + TIME(17,18,56)</f>
        <v>40485.72148148148</v>
      </c>
      <c r="C482">
        <v>80</v>
      </c>
      <c r="D482">
        <v>78.282608031999999</v>
      </c>
      <c r="E482">
        <v>50</v>
      </c>
      <c r="F482">
        <v>48.612991332999997</v>
      </c>
      <c r="G482">
        <v>1226.9501952999999</v>
      </c>
      <c r="H482">
        <v>1098.9415283000001</v>
      </c>
      <c r="I482">
        <v>1762.2945557</v>
      </c>
      <c r="J482">
        <v>1564.0045166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186.874628</v>
      </c>
      <c r="B483" s="1">
        <f>DATE(2010,11,3) + TIME(20,59,27)</f>
        <v>40485.874618055554</v>
      </c>
      <c r="C483">
        <v>80</v>
      </c>
      <c r="D483">
        <v>78.241416931000003</v>
      </c>
      <c r="E483">
        <v>50</v>
      </c>
      <c r="F483">
        <v>48.82554245</v>
      </c>
      <c r="G483">
        <v>1222.40625</v>
      </c>
      <c r="H483">
        <v>1094.3781738</v>
      </c>
      <c r="I483">
        <v>1769.7263184000001</v>
      </c>
      <c r="J483">
        <v>1572.1749268000001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187.03492600000001</v>
      </c>
      <c r="B484" s="1">
        <f>DATE(2010,11,4) + TIME(0,50,17)</f>
        <v>40486.034918981481</v>
      </c>
      <c r="C484">
        <v>80</v>
      </c>
      <c r="D484">
        <v>78.198608398000005</v>
      </c>
      <c r="E484">
        <v>50</v>
      </c>
      <c r="F484">
        <v>49.011444091999998</v>
      </c>
      <c r="G484">
        <v>1217.8483887</v>
      </c>
      <c r="H484">
        <v>1089.8001709</v>
      </c>
      <c r="I484">
        <v>1777.1470947</v>
      </c>
      <c r="J484">
        <v>1580.2435303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187.20306199999999</v>
      </c>
      <c r="B485" s="1">
        <f>DATE(2010,11,4) + TIME(4,52,24)</f>
        <v>40486.203055555554</v>
      </c>
      <c r="C485">
        <v>80</v>
      </c>
      <c r="D485">
        <v>78.154052734000004</v>
      </c>
      <c r="E485">
        <v>50</v>
      </c>
      <c r="F485">
        <v>49.173110962000003</v>
      </c>
      <c r="G485">
        <v>1213.2672118999999</v>
      </c>
      <c r="H485">
        <v>1085.1979980000001</v>
      </c>
      <c r="I485">
        <v>1784.5637207</v>
      </c>
      <c r="J485">
        <v>1588.2263184000001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187.380065</v>
      </c>
      <c r="B486" s="1">
        <f>DATE(2010,11,4) + TIME(9,7,17)</f>
        <v>40486.380057870374</v>
      </c>
      <c r="C486">
        <v>80</v>
      </c>
      <c r="D486">
        <v>78.107559203999998</v>
      </c>
      <c r="E486">
        <v>50</v>
      </c>
      <c r="F486">
        <v>49.312992096000002</v>
      </c>
      <c r="G486">
        <v>1208.6466064000001</v>
      </c>
      <c r="H486">
        <v>1080.5556641000001</v>
      </c>
      <c r="I486">
        <v>1791.9942627</v>
      </c>
      <c r="J486">
        <v>1596.1501464999999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187.56725900000001</v>
      </c>
      <c r="B487" s="1">
        <f>DATE(2010,11,4) + TIME(13,36,51)</f>
        <v>40486.567256944443</v>
      </c>
      <c r="C487">
        <v>80</v>
      </c>
      <c r="D487">
        <v>78.058860779</v>
      </c>
      <c r="E487">
        <v>50</v>
      </c>
      <c r="F487">
        <v>49.433368682999998</v>
      </c>
      <c r="G487">
        <v>1203.9672852000001</v>
      </c>
      <c r="H487">
        <v>1075.8536377</v>
      </c>
      <c r="I487">
        <v>1799.4614257999999</v>
      </c>
      <c r="J487">
        <v>1604.0458983999999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187.76621900000001</v>
      </c>
      <c r="B488" s="1">
        <f>DATE(2010,11,4) + TIME(18,23,21)</f>
        <v>40486.766215277778</v>
      </c>
      <c r="C488">
        <v>80</v>
      </c>
      <c r="D488">
        <v>78.007667541999993</v>
      </c>
      <c r="E488">
        <v>50</v>
      </c>
      <c r="F488">
        <v>49.536293030000003</v>
      </c>
      <c r="G488">
        <v>1199.2084961</v>
      </c>
      <c r="H488">
        <v>1071.0710449000001</v>
      </c>
      <c r="I488">
        <v>1806.9887695</v>
      </c>
      <c r="J488">
        <v>1611.9438477000001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187.978848</v>
      </c>
      <c r="B489" s="1">
        <f>DATE(2010,11,4) + TIME(23,29,32)</f>
        <v>40486.978842592594</v>
      </c>
      <c r="C489">
        <v>80</v>
      </c>
      <c r="D489">
        <v>77.953613281000003</v>
      </c>
      <c r="E489">
        <v>50</v>
      </c>
      <c r="F489">
        <v>49.623619079999997</v>
      </c>
      <c r="G489">
        <v>1194.3477783000001</v>
      </c>
      <c r="H489">
        <v>1066.1854248</v>
      </c>
      <c r="I489">
        <v>1814.6009521000001</v>
      </c>
      <c r="J489">
        <v>1619.8754882999999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188.207483</v>
      </c>
      <c r="B490" s="1">
        <f>DATE(2010,11,5) + TIME(4,58,46)</f>
        <v>40487.207476851851</v>
      </c>
      <c r="C490">
        <v>80</v>
      </c>
      <c r="D490">
        <v>77.896255492999998</v>
      </c>
      <c r="E490">
        <v>50</v>
      </c>
      <c r="F490">
        <v>49.697032927999999</v>
      </c>
      <c r="G490">
        <v>1189.359375</v>
      </c>
      <c r="H490">
        <v>1061.1707764</v>
      </c>
      <c r="I490">
        <v>1822.3259277</v>
      </c>
      <c r="J490">
        <v>1627.8742675999999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188.45162099999999</v>
      </c>
      <c r="B491" s="1">
        <f>DATE(2010,11,5) + TIME(10,50,20)</f>
        <v>40487.451620370368</v>
      </c>
      <c r="C491">
        <v>80</v>
      </c>
      <c r="D491">
        <v>77.835693359000004</v>
      </c>
      <c r="E491">
        <v>50</v>
      </c>
      <c r="F491">
        <v>49.757404327000003</v>
      </c>
      <c r="G491">
        <v>1184.2811279</v>
      </c>
      <c r="H491">
        <v>1056.0649414</v>
      </c>
      <c r="I491">
        <v>1830.0792236</v>
      </c>
      <c r="J491">
        <v>1635.8586425999999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188.69941600000001</v>
      </c>
      <c r="B492" s="1">
        <f>DATE(2010,11,5) + TIME(16,47,9)</f>
        <v>40487.69940972222</v>
      </c>
      <c r="C492">
        <v>80</v>
      </c>
      <c r="D492">
        <v>77.774093628000003</v>
      </c>
      <c r="E492">
        <v>50</v>
      </c>
      <c r="F492">
        <v>49.804367065000001</v>
      </c>
      <c r="G492">
        <v>1179.3596190999999</v>
      </c>
      <c r="H492">
        <v>1051.1164550999999</v>
      </c>
      <c r="I492">
        <v>1837.4324951000001</v>
      </c>
      <c r="J492">
        <v>1643.3984375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188.94995399999999</v>
      </c>
      <c r="B493" s="1">
        <f>DATE(2010,11,5) + TIME(22,47,56)</f>
        <v>40487.949953703705</v>
      </c>
      <c r="C493">
        <v>80</v>
      </c>
      <c r="D493">
        <v>77.711799622000001</v>
      </c>
      <c r="E493">
        <v>50</v>
      </c>
      <c r="F493">
        <v>49.840663910000004</v>
      </c>
      <c r="G493">
        <v>1174.6046143000001</v>
      </c>
      <c r="H493">
        <v>1046.3342285000001</v>
      </c>
      <c r="I493">
        <v>1844.4113769999999</v>
      </c>
      <c r="J493">
        <v>1650.5279541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189.20448099999999</v>
      </c>
      <c r="B494" s="1">
        <f>DATE(2010,11,6) + TIME(4,54,27)</f>
        <v>40488.204479166663</v>
      </c>
      <c r="C494">
        <v>80</v>
      </c>
      <c r="D494">
        <v>77.648712157999995</v>
      </c>
      <c r="E494">
        <v>50</v>
      </c>
      <c r="F494">
        <v>49.868747710999997</v>
      </c>
      <c r="G494">
        <v>1169.9848632999999</v>
      </c>
      <c r="H494">
        <v>1041.6868896000001</v>
      </c>
      <c r="I494">
        <v>1851.0878906</v>
      </c>
      <c r="J494">
        <v>1657.3267822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189.464089</v>
      </c>
      <c r="B495" s="1">
        <f>DATE(2010,11,6) + TIME(11,8,17)</f>
        <v>40488.464085648149</v>
      </c>
      <c r="C495">
        <v>80</v>
      </c>
      <c r="D495">
        <v>77.584716796999999</v>
      </c>
      <c r="E495">
        <v>50</v>
      </c>
      <c r="F495">
        <v>49.890441895000002</v>
      </c>
      <c r="G495">
        <v>1165.4758300999999</v>
      </c>
      <c r="H495">
        <v>1037.1499022999999</v>
      </c>
      <c r="I495">
        <v>1857.5078125</v>
      </c>
      <c r="J495">
        <v>1663.8472899999999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189.729963</v>
      </c>
      <c r="B496" s="1">
        <f>DATE(2010,11,6) + TIME(17,31,8)</f>
        <v>40488.729953703703</v>
      </c>
      <c r="C496">
        <v>80</v>
      </c>
      <c r="D496">
        <v>77.519653320000003</v>
      </c>
      <c r="E496">
        <v>50</v>
      </c>
      <c r="F496">
        <v>49.907142639</v>
      </c>
      <c r="G496">
        <v>1161.0546875</v>
      </c>
      <c r="H496">
        <v>1032.7005615</v>
      </c>
      <c r="I496">
        <v>1863.7089844</v>
      </c>
      <c r="J496">
        <v>1670.1318358999999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190.00342000000001</v>
      </c>
      <c r="B497" s="1">
        <f>DATE(2010,11,7) + TIME(0,4,55)</f>
        <v>40489.00341435185</v>
      </c>
      <c r="C497">
        <v>80</v>
      </c>
      <c r="D497">
        <v>77.453315735000004</v>
      </c>
      <c r="E497">
        <v>50</v>
      </c>
      <c r="F497">
        <v>49.919933319000002</v>
      </c>
      <c r="G497">
        <v>1156.7001952999999</v>
      </c>
      <c r="H497">
        <v>1028.3172606999999</v>
      </c>
      <c r="I497">
        <v>1869.7247314000001</v>
      </c>
      <c r="J497">
        <v>1676.2174072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190.28582399999999</v>
      </c>
      <c r="B498" s="1">
        <f>DATE(2010,11,7) + TIME(6,51,35)</f>
        <v>40489.285821759258</v>
      </c>
      <c r="C498">
        <v>80</v>
      </c>
      <c r="D498">
        <v>77.385475158999995</v>
      </c>
      <c r="E498">
        <v>50</v>
      </c>
      <c r="F498">
        <v>49.929660796999997</v>
      </c>
      <c r="G498">
        <v>1152.3934326000001</v>
      </c>
      <c r="H498">
        <v>1023.9812621999999</v>
      </c>
      <c r="I498">
        <v>1875.5823975000001</v>
      </c>
      <c r="J498">
        <v>1682.1343993999999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190.57849400000001</v>
      </c>
      <c r="B499" s="1">
        <f>DATE(2010,11,7) + TIME(13,53,1)</f>
        <v>40489.578483796293</v>
      </c>
      <c r="C499">
        <v>80</v>
      </c>
      <c r="D499">
        <v>77.315910338999998</v>
      </c>
      <c r="E499">
        <v>50</v>
      </c>
      <c r="F499">
        <v>49.936973571999999</v>
      </c>
      <c r="G499">
        <v>1148.1195068</v>
      </c>
      <c r="H499">
        <v>1019.6774292</v>
      </c>
      <c r="I499">
        <v>1881.3026123</v>
      </c>
      <c r="J499">
        <v>1687.9058838000001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190.88216600000001</v>
      </c>
      <c r="B500" s="1">
        <f>DATE(2010,11,7) + TIME(21,10,19)</f>
        <v>40489.882164351853</v>
      </c>
      <c r="C500">
        <v>80</v>
      </c>
      <c r="D500">
        <v>77.244476317999997</v>
      </c>
      <c r="E500">
        <v>50</v>
      </c>
      <c r="F500">
        <v>49.942378998000002</v>
      </c>
      <c r="G500">
        <v>1143.8737793</v>
      </c>
      <c r="H500">
        <v>1015.4013062</v>
      </c>
      <c r="I500">
        <v>1886.8896483999999</v>
      </c>
      <c r="J500">
        <v>1693.5377197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191.19806600000001</v>
      </c>
      <c r="B501" s="1">
        <f>DATE(2010,11,8) + TIME(4,45,12)</f>
        <v>40490.198055555556</v>
      </c>
      <c r="C501">
        <v>80</v>
      </c>
      <c r="D501">
        <v>77.170967102000006</v>
      </c>
      <c r="E501">
        <v>50</v>
      </c>
      <c r="F501">
        <v>49.946296691999997</v>
      </c>
      <c r="G501">
        <v>1139.6467285000001</v>
      </c>
      <c r="H501">
        <v>1011.1432495</v>
      </c>
      <c r="I501">
        <v>1892.3568115</v>
      </c>
      <c r="J501">
        <v>1699.0445557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191.527332</v>
      </c>
      <c r="B502" s="1">
        <f>DATE(2010,11,8) + TIME(12,39,21)</f>
        <v>40490.527326388888</v>
      </c>
      <c r="C502">
        <v>80</v>
      </c>
      <c r="D502">
        <v>77.095184325999995</v>
      </c>
      <c r="E502">
        <v>50</v>
      </c>
      <c r="F502">
        <v>49.949054717999999</v>
      </c>
      <c r="G502">
        <v>1135.4320068</v>
      </c>
      <c r="H502">
        <v>1006.8967285</v>
      </c>
      <c r="I502">
        <v>1897.7116699000001</v>
      </c>
      <c r="J502">
        <v>1704.4356689000001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191.86787000000001</v>
      </c>
      <c r="B503" s="1">
        <f>DATE(2010,11,8) + TIME(20,49,44)</f>
        <v>40490.86787037037</v>
      </c>
      <c r="C503">
        <v>80</v>
      </c>
      <c r="D503">
        <v>77.017417907999999</v>
      </c>
      <c r="E503">
        <v>50</v>
      </c>
      <c r="F503">
        <v>49.950897216999998</v>
      </c>
      <c r="G503">
        <v>1131.2623291</v>
      </c>
      <c r="H503">
        <v>1002.6946411</v>
      </c>
      <c r="I503">
        <v>1902.9055175999999</v>
      </c>
      <c r="J503">
        <v>1709.6627197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192.22106500000001</v>
      </c>
      <c r="B504" s="1">
        <f>DATE(2010,11,9) + TIME(5,18,19)</f>
        <v>40491.221053240741</v>
      </c>
      <c r="C504">
        <v>80</v>
      </c>
      <c r="D504">
        <v>76.9375</v>
      </c>
      <c r="E504">
        <v>50</v>
      </c>
      <c r="F504">
        <v>49.952056884999998</v>
      </c>
      <c r="G504">
        <v>1127.1270752</v>
      </c>
      <c r="H504">
        <v>998.52630614999998</v>
      </c>
      <c r="I504">
        <v>1907.9595947</v>
      </c>
      <c r="J504">
        <v>1714.7479248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192.589032</v>
      </c>
      <c r="B505" s="1">
        <f>DATE(2010,11,9) + TIME(14,8,12)</f>
        <v>40491.58902777778</v>
      </c>
      <c r="C505">
        <v>80</v>
      </c>
      <c r="D505">
        <v>76.855110167999996</v>
      </c>
      <c r="E505">
        <v>50</v>
      </c>
      <c r="F505">
        <v>49.952709198000001</v>
      </c>
      <c r="G505">
        <v>1123.0098877</v>
      </c>
      <c r="H505">
        <v>994.37506103999999</v>
      </c>
      <c r="I505">
        <v>1912.8990478999999</v>
      </c>
      <c r="J505">
        <v>1719.7170410000001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192.97420700000001</v>
      </c>
      <c r="B506" s="1">
        <f>DATE(2010,11,9) + TIME(23,22,51)</f>
        <v>40491.97420138889</v>
      </c>
      <c r="C506">
        <v>80</v>
      </c>
      <c r="D506">
        <v>76.769874572999996</v>
      </c>
      <c r="E506">
        <v>50</v>
      </c>
      <c r="F506">
        <v>49.952987671000002</v>
      </c>
      <c r="G506">
        <v>1118.8941649999999</v>
      </c>
      <c r="H506">
        <v>990.22442626999998</v>
      </c>
      <c r="I506">
        <v>1917.744751</v>
      </c>
      <c r="J506">
        <v>1724.5913086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193.37946199999999</v>
      </c>
      <c r="B507" s="1">
        <f>DATE(2010,11,10) + TIME(9,6,25)</f>
        <v>40492.37945601852</v>
      </c>
      <c r="C507">
        <v>80</v>
      </c>
      <c r="D507">
        <v>76.681343079000001</v>
      </c>
      <c r="E507">
        <v>50</v>
      </c>
      <c r="F507">
        <v>49.952991486000002</v>
      </c>
      <c r="G507">
        <v>1114.7630615</v>
      </c>
      <c r="H507">
        <v>986.05694579999999</v>
      </c>
      <c r="I507">
        <v>1922.5164795000001</v>
      </c>
      <c r="J507">
        <v>1729.3911132999999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193.79912999999999</v>
      </c>
      <c r="B508" s="1">
        <f>DATE(2010,11,10) + TIME(19,10,44)</f>
        <v>40492.799120370371</v>
      </c>
      <c r="C508">
        <v>80</v>
      </c>
      <c r="D508">
        <v>76.590209960999999</v>
      </c>
      <c r="E508">
        <v>50</v>
      </c>
      <c r="F508">
        <v>49.952774048000002</v>
      </c>
      <c r="G508">
        <v>1110.6811522999999</v>
      </c>
      <c r="H508">
        <v>981.93823241999996</v>
      </c>
      <c r="I508">
        <v>1927.1210937999999</v>
      </c>
      <c r="J508">
        <v>1734.0236815999999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194.22434200000001</v>
      </c>
      <c r="B509" s="1">
        <f>DATE(2010,11,11) + TIME(5,23,3)</f>
        <v>40493.224340277775</v>
      </c>
      <c r="C509">
        <v>80</v>
      </c>
      <c r="D509">
        <v>76.497802734000004</v>
      </c>
      <c r="E509">
        <v>50</v>
      </c>
      <c r="F509">
        <v>49.952407837000003</v>
      </c>
      <c r="G509">
        <v>1106.7310791</v>
      </c>
      <c r="H509">
        <v>977.95141602000001</v>
      </c>
      <c r="I509">
        <v>1931.4606934000001</v>
      </c>
      <c r="J509">
        <v>1738.3907471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194.65717100000001</v>
      </c>
      <c r="B510" s="1">
        <f>DATE(2010,11,11) + TIME(15,46,19)</f>
        <v>40493.657164351855</v>
      </c>
      <c r="C510">
        <v>80</v>
      </c>
      <c r="D510">
        <v>76.404151916999993</v>
      </c>
      <c r="E510">
        <v>50</v>
      </c>
      <c r="F510">
        <v>49.951961517000001</v>
      </c>
      <c r="G510">
        <v>1102.8907471</v>
      </c>
      <c r="H510">
        <v>974.07348633000004</v>
      </c>
      <c r="I510">
        <v>1935.5877685999999</v>
      </c>
      <c r="J510">
        <v>1742.5447998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195.099817</v>
      </c>
      <c r="B511" s="1">
        <f>DATE(2010,11,12) + TIME(2,23,44)</f>
        <v>40494.099814814814</v>
      </c>
      <c r="C511">
        <v>80</v>
      </c>
      <c r="D511">
        <v>76.309097289999997</v>
      </c>
      <c r="E511">
        <v>50</v>
      </c>
      <c r="F511">
        <v>49.951480865000001</v>
      </c>
      <c r="G511">
        <v>1099.1384277</v>
      </c>
      <c r="H511">
        <v>970.28308104999996</v>
      </c>
      <c r="I511">
        <v>1939.5380858999999</v>
      </c>
      <c r="J511">
        <v>1746.5214844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195.55451400000001</v>
      </c>
      <c r="B512" s="1">
        <f>DATE(2010,11,12) + TIME(13,18,29)</f>
        <v>40494.554502314815</v>
      </c>
      <c r="C512">
        <v>80</v>
      </c>
      <c r="D512">
        <v>76.212409973000007</v>
      </c>
      <c r="E512">
        <v>50</v>
      </c>
      <c r="F512">
        <v>49.950973511000001</v>
      </c>
      <c r="G512">
        <v>1095.4556885</v>
      </c>
      <c r="H512">
        <v>966.56152343999997</v>
      </c>
      <c r="I512">
        <v>1943.3370361</v>
      </c>
      <c r="J512">
        <v>1750.3465576000001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196.02079800000001</v>
      </c>
      <c r="B513" s="1">
        <f>DATE(2010,11,13) + TIME(0,29,56)</f>
        <v>40495.020787037036</v>
      </c>
      <c r="C513">
        <v>80</v>
      </c>
      <c r="D513">
        <v>76.114120482999994</v>
      </c>
      <c r="E513">
        <v>50</v>
      </c>
      <c r="F513">
        <v>49.950462340999998</v>
      </c>
      <c r="G513">
        <v>1091.8464355000001</v>
      </c>
      <c r="H513">
        <v>962.91296387</v>
      </c>
      <c r="I513">
        <v>1946.9799805</v>
      </c>
      <c r="J513">
        <v>1754.0153809000001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196.496838</v>
      </c>
      <c r="B514" s="1">
        <f>DATE(2010,11,13) + TIME(11,55,26)</f>
        <v>40495.496828703705</v>
      </c>
      <c r="C514">
        <v>80</v>
      </c>
      <c r="D514">
        <v>76.014495850000003</v>
      </c>
      <c r="E514">
        <v>50</v>
      </c>
      <c r="F514">
        <v>49.949947356999999</v>
      </c>
      <c r="G514">
        <v>1088.3233643000001</v>
      </c>
      <c r="H514">
        <v>959.35015868999994</v>
      </c>
      <c r="I514">
        <v>1950.4545897999999</v>
      </c>
      <c r="J514">
        <v>1757.515625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196.98337000000001</v>
      </c>
      <c r="B515" s="1">
        <f>DATE(2010,11,13) + TIME(23,36,3)</f>
        <v>40495.983368055553</v>
      </c>
      <c r="C515">
        <v>80</v>
      </c>
      <c r="D515">
        <v>75.913497925000001</v>
      </c>
      <c r="E515">
        <v>50</v>
      </c>
      <c r="F515">
        <v>49.949443817000002</v>
      </c>
      <c r="G515">
        <v>1084.8800048999999</v>
      </c>
      <c r="H515">
        <v>955.86657715000001</v>
      </c>
      <c r="I515">
        <v>1953.7745361</v>
      </c>
      <c r="J515">
        <v>1760.8609618999999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197.47967600000001</v>
      </c>
      <c r="B516" s="1">
        <f>DATE(2010,11,14) + TIME(11,30,44)</f>
        <v>40496.479675925926</v>
      </c>
      <c r="C516">
        <v>80</v>
      </c>
      <c r="D516">
        <v>75.811248778999996</v>
      </c>
      <c r="E516">
        <v>50</v>
      </c>
      <c r="F516">
        <v>49.948955536</v>
      </c>
      <c r="G516">
        <v>1081.5196533000001</v>
      </c>
      <c r="H516">
        <v>952.46557616999996</v>
      </c>
      <c r="I516">
        <v>1956.9398193</v>
      </c>
      <c r="J516">
        <v>1764.0513916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197.98747299999999</v>
      </c>
      <c r="B517" s="1">
        <f>DATE(2010,11,14) + TIME(23,41,57)</f>
        <v>40496.98746527778</v>
      </c>
      <c r="C517">
        <v>80</v>
      </c>
      <c r="D517">
        <v>75.707603454999997</v>
      </c>
      <c r="E517">
        <v>50</v>
      </c>
      <c r="F517">
        <v>49.948486328000001</v>
      </c>
      <c r="G517">
        <v>1078.2301024999999</v>
      </c>
      <c r="H517">
        <v>949.13470458999996</v>
      </c>
      <c r="I517">
        <v>1959.96875</v>
      </c>
      <c r="J517">
        <v>1767.1052245999999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198.50943699999999</v>
      </c>
      <c r="B518" s="1">
        <f>DATE(2010,11,15) + TIME(12,13,35)</f>
        <v>40497.509432870371</v>
      </c>
      <c r="C518">
        <v>80</v>
      </c>
      <c r="D518">
        <v>75.602226256999998</v>
      </c>
      <c r="E518">
        <v>50</v>
      </c>
      <c r="F518">
        <v>49.948040009000003</v>
      </c>
      <c r="G518">
        <v>1074.9952393000001</v>
      </c>
      <c r="H518">
        <v>945.85766602000001</v>
      </c>
      <c r="I518">
        <v>1962.8812256000001</v>
      </c>
      <c r="J518">
        <v>1770.0423584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199.048486</v>
      </c>
      <c r="B519" s="1">
        <f>DATE(2010,11,16) + TIME(1,9,49)</f>
        <v>40498.048483796294</v>
      </c>
      <c r="C519">
        <v>80</v>
      </c>
      <c r="D519">
        <v>75.494697571000003</v>
      </c>
      <c r="E519">
        <v>50</v>
      </c>
      <c r="F519">
        <v>49.947612761999999</v>
      </c>
      <c r="G519">
        <v>1071.7999268000001</v>
      </c>
      <c r="H519">
        <v>942.61926270000004</v>
      </c>
      <c r="I519">
        <v>1965.6931152</v>
      </c>
      <c r="J519">
        <v>1772.8787841999999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199.607913</v>
      </c>
      <c r="B520" s="1">
        <f>DATE(2010,11,16) + TIME(14,35,23)</f>
        <v>40498.607905092591</v>
      </c>
      <c r="C520">
        <v>80</v>
      </c>
      <c r="D520">
        <v>75.384536742999998</v>
      </c>
      <c r="E520">
        <v>50</v>
      </c>
      <c r="F520">
        <v>49.947204589999998</v>
      </c>
      <c r="G520">
        <v>1068.6295166</v>
      </c>
      <c r="H520">
        <v>939.40466308999999</v>
      </c>
      <c r="I520">
        <v>1968.4180908000001</v>
      </c>
      <c r="J520">
        <v>1775.628418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200.19150999999999</v>
      </c>
      <c r="B521" s="1">
        <f>DATE(2010,11,17) + TIME(4,35,46)</f>
        <v>40499.191504629627</v>
      </c>
      <c r="C521">
        <v>80</v>
      </c>
      <c r="D521">
        <v>75.271186829000001</v>
      </c>
      <c r="E521">
        <v>50</v>
      </c>
      <c r="F521">
        <v>49.946815491000002</v>
      </c>
      <c r="G521">
        <v>1065.4697266000001</v>
      </c>
      <c r="H521">
        <v>936.19927978999999</v>
      </c>
      <c r="I521">
        <v>1971.0683594</v>
      </c>
      <c r="J521">
        <v>1778.3033447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200.79876999999999</v>
      </c>
      <c r="B522" s="1">
        <f>DATE(2010,11,17) + TIME(19,10,13)</f>
        <v>40499.798761574071</v>
      </c>
      <c r="C522">
        <v>80</v>
      </c>
      <c r="D522">
        <v>75.154495238999999</v>
      </c>
      <c r="E522">
        <v>50</v>
      </c>
      <c r="F522">
        <v>49.946437836000001</v>
      </c>
      <c r="G522">
        <v>1062.3295897999999</v>
      </c>
      <c r="H522">
        <v>933.01220703000001</v>
      </c>
      <c r="I522">
        <v>1973.6297606999999</v>
      </c>
      <c r="J522">
        <v>1780.8895264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201.41019900000001</v>
      </c>
      <c r="B523" s="1">
        <f>DATE(2010,11,18) + TIME(9,50,41)</f>
        <v>40500.410196759258</v>
      </c>
      <c r="C523">
        <v>80</v>
      </c>
      <c r="D523">
        <v>75.036476135000001</v>
      </c>
      <c r="E523">
        <v>50</v>
      </c>
      <c r="F523">
        <v>49.946071625000002</v>
      </c>
      <c r="G523">
        <v>1059.3038329999999</v>
      </c>
      <c r="H523">
        <v>929.93957520000004</v>
      </c>
      <c r="I523">
        <v>1976.003418</v>
      </c>
      <c r="J523">
        <v>1783.2882079999999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202.0258</v>
      </c>
      <c r="B524" s="1">
        <f>DATE(2010,11,19) + TIME(0,37,9)</f>
        <v>40501.02579861111</v>
      </c>
      <c r="C524">
        <v>80</v>
      </c>
      <c r="D524">
        <v>74.917732239000003</v>
      </c>
      <c r="E524">
        <v>50</v>
      </c>
      <c r="F524">
        <v>49.945732116999999</v>
      </c>
      <c r="G524">
        <v>1056.3884277</v>
      </c>
      <c r="H524">
        <v>926.97637939000003</v>
      </c>
      <c r="I524">
        <v>1978.2154541</v>
      </c>
      <c r="J524">
        <v>1785.5245361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202.648303</v>
      </c>
      <c r="B525" s="1">
        <f>DATE(2010,11,19) + TIME(15,33,33)</f>
        <v>40501.648298611108</v>
      </c>
      <c r="C525">
        <v>80</v>
      </c>
      <c r="D525">
        <v>74.798377990999995</v>
      </c>
      <c r="E525">
        <v>50</v>
      </c>
      <c r="F525">
        <v>49.945423126000001</v>
      </c>
      <c r="G525">
        <v>1053.5657959</v>
      </c>
      <c r="H525">
        <v>924.10528564000003</v>
      </c>
      <c r="I525">
        <v>1980.2929687999999</v>
      </c>
      <c r="J525">
        <v>1787.6258545000001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203.279788</v>
      </c>
      <c r="B526" s="1">
        <f>DATE(2010,11,20) + TIME(6,42,53)</f>
        <v>40502.279780092591</v>
      </c>
      <c r="C526">
        <v>80</v>
      </c>
      <c r="D526">
        <v>74.678352356000005</v>
      </c>
      <c r="E526">
        <v>50</v>
      </c>
      <c r="F526">
        <v>49.945144653</v>
      </c>
      <c r="G526">
        <v>1050.8233643000001</v>
      </c>
      <c r="H526">
        <v>921.31359863</v>
      </c>
      <c r="I526">
        <v>1982.2517089999999</v>
      </c>
      <c r="J526">
        <v>1789.6079102000001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203.92231799999999</v>
      </c>
      <c r="B527" s="1">
        <f>DATE(2010,11,20) + TIME(22,8,8)</f>
        <v>40502.922314814816</v>
      </c>
      <c r="C527">
        <v>80</v>
      </c>
      <c r="D527">
        <v>74.557449340999995</v>
      </c>
      <c r="E527">
        <v>50</v>
      </c>
      <c r="F527">
        <v>49.944889068999998</v>
      </c>
      <c r="G527">
        <v>1048.1500243999999</v>
      </c>
      <c r="H527">
        <v>918.59027100000003</v>
      </c>
      <c r="I527">
        <v>1984.1035156</v>
      </c>
      <c r="J527">
        <v>1791.4825439000001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204.578103</v>
      </c>
      <c r="B528" s="1">
        <f>DATE(2010,11,21) + TIME(13,52,28)</f>
        <v>40503.578101851854</v>
      </c>
      <c r="C528">
        <v>80</v>
      </c>
      <c r="D528">
        <v>74.435371399000005</v>
      </c>
      <c r="E528">
        <v>50</v>
      </c>
      <c r="F528">
        <v>49.944656371999997</v>
      </c>
      <c r="G528">
        <v>1045.5356445</v>
      </c>
      <c r="H528">
        <v>915.92504883000004</v>
      </c>
      <c r="I528">
        <v>1985.8581543</v>
      </c>
      <c r="J528">
        <v>1793.2596435999999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205.24902700000001</v>
      </c>
      <c r="B529" s="1">
        <f>DATE(2010,11,22) + TIME(5,58,35)</f>
        <v>40504.249016203707</v>
      </c>
      <c r="C529">
        <v>80</v>
      </c>
      <c r="D529">
        <v>74.311813353999995</v>
      </c>
      <c r="E529">
        <v>50</v>
      </c>
      <c r="F529">
        <v>49.944442748999997</v>
      </c>
      <c r="G529">
        <v>1042.9727783000001</v>
      </c>
      <c r="H529">
        <v>913.31024170000001</v>
      </c>
      <c r="I529">
        <v>1987.5219727000001</v>
      </c>
      <c r="J529">
        <v>1794.9456786999999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205.93767199999999</v>
      </c>
      <c r="B530" s="1">
        <f>DATE(2010,11,22) + TIME(22,30,14)</f>
        <v>40504.937662037039</v>
      </c>
      <c r="C530">
        <v>80</v>
      </c>
      <c r="D530">
        <v>74.186408997000001</v>
      </c>
      <c r="E530">
        <v>50</v>
      </c>
      <c r="F530">
        <v>49.944244384999998</v>
      </c>
      <c r="G530">
        <v>1040.4525146000001</v>
      </c>
      <c r="H530">
        <v>910.73681640999996</v>
      </c>
      <c r="I530">
        <v>1989.1025391000001</v>
      </c>
      <c r="J530">
        <v>1796.5480957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206.64679899999999</v>
      </c>
      <c r="B531" s="1">
        <f>DATE(2010,11,23) + TIME(15,31,23)</f>
        <v>40505.646793981483</v>
      </c>
      <c r="C531">
        <v>80</v>
      </c>
      <c r="D531">
        <v>74.058746338000006</v>
      </c>
      <c r="E531">
        <v>50</v>
      </c>
      <c r="F531">
        <v>49.944065094000003</v>
      </c>
      <c r="G531">
        <v>1037.9669189000001</v>
      </c>
      <c r="H531">
        <v>908.19653319999998</v>
      </c>
      <c r="I531">
        <v>1990.6054687999999</v>
      </c>
      <c r="J531">
        <v>1798.0727539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207.38071400000001</v>
      </c>
      <c r="B532" s="1">
        <f>DATE(2010,11,24) + TIME(9,8,13)</f>
        <v>40506.380706018521</v>
      </c>
      <c r="C532">
        <v>80</v>
      </c>
      <c r="D532">
        <v>73.928260803000001</v>
      </c>
      <c r="E532">
        <v>50</v>
      </c>
      <c r="F532">
        <v>49.943901062000002</v>
      </c>
      <c r="G532">
        <v>1035.5045166</v>
      </c>
      <c r="H532">
        <v>905.67755126999998</v>
      </c>
      <c r="I532">
        <v>1992.0386963000001</v>
      </c>
      <c r="J532">
        <v>1799.5275879000001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208.142</v>
      </c>
      <c r="B533" s="1">
        <f>DATE(2010,11,25) + TIME(3,24,28)</f>
        <v>40507.14199074074</v>
      </c>
      <c r="C533">
        <v>80</v>
      </c>
      <c r="D533">
        <v>73.794479370000005</v>
      </c>
      <c r="E533">
        <v>50</v>
      </c>
      <c r="F533">
        <v>49.943748474000003</v>
      </c>
      <c r="G533">
        <v>1033.0607910000001</v>
      </c>
      <c r="H533">
        <v>903.17504883000004</v>
      </c>
      <c r="I533">
        <v>1993.4027100000001</v>
      </c>
      <c r="J533">
        <v>1800.9132079999999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208.92728</v>
      </c>
      <c r="B534" s="1">
        <f>DATE(2010,11,25) + TIME(22,15,17)</f>
        <v>40507.92728009259</v>
      </c>
      <c r="C534">
        <v>80</v>
      </c>
      <c r="D534">
        <v>73.657508849999999</v>
      </c>
      <c r="E534">
        <v>50</v>
      </c>
      <c r="F534">
        <v>49.943607329999999</v>
      </c>
      <c r="G534">
        <v>1030.6484375</v>
      </c>
      <c r="H534">
        <v>900.70208739999998</v>
      </c>
      <c r="I534">
        <v>1994.6844481999999</v>
      </c>
      <c r="J534">
        <v>1802.2164307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209.71391399999999</v>
      </c>
      <c r="B535" s="1">
        <f>DATE(2010,11,26) + TIME(17,8,2)</f>
        <v>40508.713912037034</v>
      </c>
      <c r="C535">
        <v>80</v>
      </c>
      <c r="D535">
        <v>73.519340514999996</v>
      </c>
      <c r="E535">
        <v>50</v>
      </c>
      <c r="F535">
        <v>49.943466186999999</v>
      </c>
      <c r="G535">
        <v>1028.3298339999999</v>
      </c>
      <c r="H535">
        <v>898.32189941000001</v>
      </c>
      <c r="I535">
        <v>1995.8366699000001</v>
      </c>
      <c r="J535">
        <v>1803.3900146000001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210.50615500000001</v>
      </c>
      <c r="B536" s="1">
        <f>DATE(2010,11,27) + TIME(12,8,51)</f>
        <v>40509.506145833337</v>
      </c>
      <c r="C536">
        <v>80</v>
      </c>
      <c r="D536">
        <v>73.380653381000002</v>
      </c>
      <c r="E536">
        <v>50</v>
      </c>
      <c r="F536">
        <v>49.943344115999999</v>
      </c>
      <c r="G536">
        <v>1026.0911865</v>
      </c>
      <c r="H536">
        <v>896.01995850000003</v>
      </c>
      <c r="I536">
        <v>1996.8867187999999</v>
      </c>
      <c r="J536">
        <v>1804.4605713000001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211.306095</v>
      </c>
      <c r="B537" s="1">
        <f>DATE(2010,11,28) + TIME(7,20,46)</f>
        <v>40510.306087962963</v>
      </c>
      <c r="C537">
        <v>80</v>
      </c>
      <c r="D537">
        <v>73.241577148000005</v>
      </c>
      <c r="E537">
        <v>50</v>
      </c>
      <c r="F537">
        <v>49.943244933999999</v>
      </c>
      <c r="G537">
        <v>1023.9232178</v>
      </c>
      <c r="H537">
        <v>893.78723145000004</v>
      </c>
      <c r="I537">
        <v>1997.8466797000001</v>
      </c>
      <c r="J537">
        <v>1805.4406738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212.11685399999999</v>
      </c>
      <c r="B538" s="1">
        <f>DATE(2010,11,29) + TIME(2,48,16)</f>
        <v>40511.116851851853</v>
      </c>
      <c r="C538">
        <v>80</v>
      </c>
      <c r="D538">
        <v>73.101921082000004</v>
      </c>
      <c r="E538">
        <v>50</v>
      </c>
      <c r="F538">
        <v>49.943157196000001</v>
      </c>
      <c r="G538">
        <v>1021.8152466</v>
      </c>
      <c r="H538">
        <v>891.61297606999995</v>
      </c>
      <c r="I538">
        <v>1998.7265625</v>
      </c>
      <c r="J538">
        <v>1806.3400879000001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212.940854</v>
      </c>
      <c r="B539" s="1">
        <f>DATE(2010,11,29) + TIME(22,34,49)</f>
        <v>40511.940844907411</v>
      </c>
      <c r="C539">
        <v>80</v>
      </c>
      <c r="D539">
        <v>72.961372374999996</v>
      </c>
      <c r="E539">
        <v>50</v>
      </c>
      <c r="F539">
        <v>49.943088531000001</v>
      </c>
      <c r="G539">
        <v>1019.7593994</v>
      </c>
      <c r="H539">
        <v>889.48913574000005</v>
      </c>
      <c r="I539">
        <v>1999.5322266000001</v>
      </c>
      <c r="J539">
        <v>1807.1649170000001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213.78111200000001</v>
      </c>
      <c r="B540" s="1">
        <f>DATE(2010,11,30) + TIME(18,44,48)</f>
        <v>40512.781111111108</v>
      </c>
      <c r="C540">
        <v>80</v>
      </c>
      <c r="D540">
        <v>72.819519043</v>
      </c>
      <c r="E540">
        <v>50</v>
      </c>
      <c r="F540">
        <v>49.943027495999999</v>
      </c>
      <c r="G540">
        <v>1017.7474365</v>
      </c>
      <c r="H540">
        <v>887.40722656000003</v>
      </c>
      <c r="I540">
        <v>2000.2689209</v>
      </c>
      <c r="J540">
        <v>1807.9201660000001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214</v>
      </c>
      <c r="B541" s="1">
        <f>DATE(2010,12,1) + TIME(0,0,0)</f>
        <v>40513</v>
      </c>
      <c r="C541">
        <v>80</v>
      </c>
      <c r="D541">
        <v>72.759498596</v>
      </c>
      <c r="E541">
        <v>50</v>
      </c>
      <c r="F541">
        <v>49.942855835000003</v>
      </c>
      <c r="G541">
        <v>1017.1405029</v>
      </c>
      <c r="H541">
        <v>886.79156493999994</v>
      </c>
      <c r="I541">
        <v>2000.3172606999999</v>
      </c>
      <c r="J541">
        <v>1807.9792480000001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214.859904</v>
      </c>
      <c r="B542" s="1">
        <f>DATE(2010,12,1) + TIME(20,38,15)</f>
        <v>40513.859895833331</v>
      </c>
      <c r="C542">
        <v>80</v>
      </c>
      <c r="D542">
        <v>72.627967834000003</v>
      </c>
      <c r="E542">
        <v>50</v>
      </c>
      <c r="F542">
        <v>49.942928314</v>
      </c>
      <c r="G542">
        <v>1015.2564697</v>
      </c>
      <c r="H542">
        <v>884.81610106999995</v>
      </c>
      <c r="I542">
        <v>2001.026001</v>
      </c>
      <c r="J542">
        <v>1808.7015381000001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215.750957</v>
      </c>
      <c r="B543" s="1">
        <f>DATE(2010,12,2) + TIME(18,1,22)</f>
        <v>40514.750949074078</v>
      </c>
      <c r="C543">
        <v>80</v>
      </c>
      <c r="D543">
        <v>72.487380981000001</v>
      </c>
      <c r="E543">
        <v>50</v>
      </c>
      <c r="F543">
        <v>49.942951202000003</v>
      </c>
      <c r="G543">
        <v>1013.3209229</v>
      </c>
      <c r="H543">
        <v>882.80902100000003</v>
      </c>
      <c r="I543">
        <v>2001.6699219</v>
      </c>
      <c r="J543">
        <v>1809.3623047000001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216.67177799999999</v>
      </c>
      <c r="B544" s="1">
        <f>DATE(2010,12,3) + TIME(16,7,21)</f>
        <v>40515.671770833331</v>
      </c>
      <c r="C544">
        <v>80</v>
      </c>
      <c r="D544">
        <v>72.340408324999999</v>
      </c>
      <c r="E544">
        <v>50</v>
      </c>
      <c r="F544">
        <v>49.942932128999999</v>
      </c>
      <c r="G544">
        <v>1011.3979492</v>
      </c>
      <c r="H544">
        <v>880.80895996000004</v>
      </c>
      <c r="I544">
        <v>2002.2271728999999</v>
      </c>
      <c r="J544">
        <v>1809.9372559000001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217.622198</v>
      </c>
      <c r="B545" s="1">
        <f>DATE(2010,12,4) + TIME(14,55,57)</f>
        <v>40516.622187499997</v>
      </c>
      <c r="C545">
        <v>80</v>
      </c>
      <c r="D545">
        <v>72.188369750999996</v>
      </c>
      <c r="E545">
        <v>50</v>
      </c>
      <c r="F545">
        <v>49.942909241000002</v>
      </c>
      <c r="G545">
        <v>1009.4921875</v>
      </c>
      <c r="H545">
        <v>878.82104491999996</v>
      </c>
      <c r="I545">
        <v>2002.7109375</v>
      </c>
      <c r="J545">
        <v>1810.4387207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218.578643</v>
      </c>
      <c r="B546" s="1">
        <f>DATE(2010,12,5) + TIME(13,53,14)</f>
        <v>40517.578634259262</v>
      </c>
      <c r="C546">
        <v>80</v>
      </c>
      <c r="D546">
        <v>72.033645629999995</v>
      </c>
      <c r="E546">
        <v>50</v>
      </c>
      <c r="F546">
        <v>49.942886352999999</v>
      </c>
      <c r="G546">
        <v>1007.644043</v>
      </c>
      <c r="H546">
        <v>876.88726807</v>
      </c>
      <c r="I546">
        <v>2003.1066894999999</v>
      </c>
      <c r="J546">
        <v>1810.8518065999999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219.54370599999999</v>
      </c>
      <c r="B547" s="1">
        <f>DATE(2010,12,6) + TIME(13,2,56)</f>
        <v>40518.543703703705</v>
      </c>
      <c r="C547">
        <v>80</v>
      </c>
      <c r="D547">
        <v>71.877540588000002</v>
      </c>
      <c r="E547">
        <v>50</v>
      </c>
      <c r="F547">
        <v>49.942874908</v>
      </c>
      <c r="G547">
        <v>1005.8494263</v>
      </c>
      <c r="H547">
        <v>875.00341796999999</v>
      </c>
      <c r="I547">
        <v>2003.4304199000001</v>
      </c>
      <c r="J547">
        <v>1811.1923827999999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220.520253</v>
      </c>
      <c r="B548" s="1">
        <f>DATE(2010,12,7) + TIME(12,29,9)</f>
        <v>40519.520243055558</v>
      </c>
      <c r="C548">
        <v>80</v>
      </c>
      <c r="D548">
        <v>71.720367432000003</v>
      </c>
      <c r="E548">
        <v>50</v>
      </c>
      <c r="F548">
        <v>49.942874908</v>
      </c>
      <c r="G548">
        <v>1004.1013184</v>
      </c>
      <c r="H548">
        <v>873.16271973000005</v>
      </c>
      <c r="I548">
        <v>2003.6915283000001</v>
      </c>
      <c r="J548">
        <v>1811.4699707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221.51186899999999</v>
      </c>
      <c r="B549" s="1">
        <f>DATE(2010,12,8) + TIME(12,17,5)</f>
        <v>40520.511863425927</v>
      </c>
      <c r="C549">
        <v>80</v>
      </c>
      <c r="D549">
        <v>71.561965942</v>
      </c>
      <c r="E549">
        <v>50</v>
      </c>
      <c r="F549">
        <v>49.942886352999999</v>
      </c>
      <c r="G549">
        <v>1002.3920288</v>
      </c>
      <c r="H549">
        <v>871.35729979999996</v>
      </c>
      <c r="I549">
        <v>2003.8959961</v>
      </c>
      <c r="J549">
        <v>1811.6903076000001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222.521331</v>
      </c>
      <c r="B550" s="1">
        <f>DATE(2010,12,9) + TIME(12,30,43)</f>
        <v>40521.521331018521</v>
      </c>
      <c r="C550">
        <v>80</v>
      </c>
      <c r="D550">
        <v>71.402000427000004</v>
      </c>
      <c r="E550">
        <v>50</v>
      </c>
      <c r="F550">
        <v>49.942909241000002</v>
      </c>
      <c r="G550">
        <v>1000.7155150999999</v>
      </c>
      <c r="H550">
        <v>869.58068848000005</v>
      </c>
      <c r="I550">
        <v>2004.0467529</v>
      </c>
      <c r="J550">
        <v>1811.8566894999999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223.550983</v>
      </c>
      <c r="B551" s="1">
        <f>DATE(2010,12,10) + TIME(13,13,24)</f>
        <v>40522.55097222222</v>
      </c>
      <c r="C551">
        <v>80</v>
      </c>
      <c r="D551">
        <v>71.240104674999998</v>
      </c>
      <c r="E551">
        <v>50</v>
      </c>
      <c r="F551">
        <v>49.942939758000001</v>
      </c>
      <c r="G551">
        <v>999.06683350000003</v>
      </c>
      <c r="H551">
        <v>867.82757568</v>
      </c>
      <c r="I551">
        <v>2004.1457519999999</v>
      </c>
      <c r="J551">
        <v>1811.9709473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224.60237799999999</v>
      </c>
      <c r="B552" s="1">
        <f>DATE(2010,12,11) + TIME(14,27,25)</f>
        <v>40523.602372685185</v>
      </c>
      <c r="C552">
        <v>80</v>
      </c>
      <c r="D552">
        <v>71.075958252000007</v>
      </c>
      <c r="E552">
        <v>50</v>
      </c>
      <c r="F552">
        <v>49.942977904999999</v>
      </c>
      <c r="G552">
        <v>997.44250488</v>
      </c>
      <c r="H552">
        <v>866.09399413999995</v>
      </c>
      <c r="I552">
        <v>2004.1944579999999</v>
      </c>
      <c r="J552">
        <v>1812.0345459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225.68121199999999</v>
      </c>
      <c r="B553" s="1">
        <f>DATE(2010,12,12) + TIME(16,20,56)</f>
        <v>40524.681203703702</v>
      </c>
      <c r="C553">
        <v>80</v>
      </c>
      <c r="D553">
        <v>70.909004210999996</v>
      </c>
      <c r="E553">
        <v>50</v>
      </c>
      <c r="F553">
        <v>49.943027495999999</v>
      </c>
      <c r="G553">
        <v>995.83441161999997</v>
      </c>
      <c r="H553">
        <v>864.37109375</v>
      </c>
      <c r="I553">
        <v>2004.1953125</v>
      </c>
      <c r="J553">
        <v>1812.0500488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226.794082</v>
      </c>
      <c r="B554" s="1">
        <f>DATE(2010,12,13) + TIME(19,3,28)</f>
        <v>40525.794074074074</v>
      </c>
      <c r="C554">
        <v>80</v>
      </c>
      <c r="D554">
        <v>70.738441467000001</v>
      </c>
      <c r="E554">
        <v>50</v>
      </c>
      <c r="F554">
        <v>49.943080901999998</v>
      </c>
      <c r="G554">
        <v>994.23370361000002</v>
      </c>
      <c r="H554">
        <v>862.64916991999996</v>
      </c>
      <c r="I554">
        <v>2004.1496582</v>
      </c>
      <c r="J554">
        <v>1812.0187988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227.92676299999999</v>
      </c>
      <c r="B555" s="1">
        <f>DATE(2010,12,14) + TIME(22,14,32)</f>
        <v>40526.926759259259</v>
      </c>
      <c r="C555">
        <v>80</v>
      </c>
      <c r="D555">
        <v>70.564704895000006</v>
      </c>
      <c r="E555">
        <v>50</v>
      </c>
      <c r="F555">
        <v>49.943138122999997</v>
      </c>
      <c r="G555">
        <v>992.65441895000004</v>
      </c>
      <c r="H555">
        <v>860.94232178000004</v>
      </c>
      <c r="I555">
        <v>2004.0518798999999</v>
      </c>
      <c r="J555">
        <v>1811.9351807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229.06607199999999</v>
      </c>
      <c r="B556" s="1">
        <f>DATE(2010,12,16) + TIME(1,35,8)</f>
        <v>40528.066064814811</v>
      </c>
      <c r="C556">
        <v>80</v>
      </c>
      <c r="D556">
        <v>70.389106749999996</v>
      </c>
      <c r="E556">
        <v>50</v>
      </c>
      <c r="F556">
        <v>49.943199157999999</v>
      </c>
      <c r="G556">
        <v>991.11047363</v>
      </c>
      <c r="H556">
        <v>859.26483154000005</v>
      </c>
      <c r="I556">
        <v>2003.9035644999999</v>
      </c>
      <c r="J556">
        <v>1811.8005370999999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230.21651700000001</v>
      </c>
      <c r="B557" s="1">
        <f>DATE(2010,12,17) + TIME(5,11,47)</f>
        <v>40529.216516203705</v>
      </c>
      <c r="C557">
        <v>80</v>
      </c>
      <c r="D557">
        <v>70.212226868000002</v>
      </c>
      <c r="E557">
        <v>50</v>
      </c>
      <c r="F557">
        <v>49.943264008</v>
      </c>
      <c r="G557">
        <v>989.59686279000005</v>
      </c>
      <c r="H557">
        <v>857.61157227000001</v>
      </c>
      <c r="I557">
        <v>2003.7130127</v>
      </c>
      <c r="J557">
        <v>1811.6232910000001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231.38073600000001</v>
      </c>
      <c r="B558" s="1">
        <f>DATE(2010,12,18) + TIME(9,8,15)</f>
        <v>40530.380729166667</v>
      </c>
      <c r="C558">
        <v>80</v>
      </c>
      <c r="D558">
        <v>70.034011840999995</v>
      </c>
      <c r="E558">
        <v>50</v>
      </c>
      <c r="F558">
        <v>49.943340302000003</v>
      </c>
      <c r="G558">
        <v>988.10815430000002</v>
      </c>
      <c r="H558">
        <v>855.97698975000003</v>
      </c>
      <c r="I558">
        <v>2003.4842529</v>
      </c>
      <c r="J558">
        <v>1811.4075928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232.56248600000001</v>
      </c>
      <c r="B559" s="1">
        <f>DATE(2010,12,19) + TIME(13,29,58)</f>
        <v>40531.562476851854</v>
      </c>
      <c r="C559">
        <v>80</v>
      </c>
      <c r="D559">
        <v>69.853927612000007</v>
      </c>
      <c r="E559">
        <v>50</v>
      </c>
      <c r="F559">
        <v>49.943420410000002</v>
      </c>
      <c r="G559">
        <v>986.63818359000004</v>
      </c>
      <c r="H559">
        <v>854.35430908000001</v>
      </c>
      <c r="I559">
        <v>2003.2200928</v>
      </c>
      <c r="J559">
        <v>1811.1558838000001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233.764872</v>
      </c>
      <c r="B560" s="1">
        <f>DATE(2010,12,20) + TIME(18,21,24)</f>
        <v>40532.764861111114</v>
      </c>
      <c r="C560">
        <v>80</v>
      </c>
      <c r="D560">
        <v>69.671554564999994</v>
      </c>
      <c r="E560">
        <v>50</v>
      </c>
      <c r="F560">
        <v>49.943508147999999</v>
      </c>
      <c r="G560">
        <v>985.18151854999996</v>
      </c>
      <c r="H560">
        <v>852.73718262</v>
      </c>
      <c r="I560">
        <v>2002.9219971</v>
      </c>
      <c r="J560">
        <v>1810.8698730000001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234.992255</v>
      </c>
      <c r="B561" s="1">
        <f>DATE(2010,12,21) + TIME(23,48,50)</f>
        <v>40533.992245370369</v>
      </c>
      <c r="C561">
        <v>80</v>
      </c>
      <c r="D561">
        <v>69.486343383999994</v>
      </c>
      <c r="E561">
        <v>50</v>
      </c>
      <c r="F561">
        <v>49.943603516000003</v>
      </c>
      <c r="G561">
        <v>983.73175048999997</v>
      </c>
      <c r="H561">
        <v>851.11846923999997</v>
      </c>
      <c r="I561">
        <v>2002.5908202999999</v>
      </c>
      <c r="J561">
        <v>1810.5505370999999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236.25161</v>
      </c>
      <c r="B562" s="1">
        <f>DATE(2010,12,23) + TIME(6,2,19)</f>
        <v>40535.251608796294</v>
      </c>
      <c r="C562">
        <v>80</v>
      </c>
      <c r="D562">
        <v>69.297485351999995</v>
      </c>
      <c r="E562">
        <v>50</v>
      </c>
      <c r="F562">
        <v>49.943702698000003</v>
      </c>
      <c r="G562">
        <v>982.28076171999999</v>
      </c>
      <c r="H562">
        <v>849.48864746000004</v>
      </c>
      <c r="I562">
        <v>2002.2269286999999</v>
      </c>
      <c r="J562">
        <v>1810.1983643000001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237.54937200000001</v>
      </c>
      <c r="B563" s="1">
        <f>DATE(2010,12,24) + TIME(13,11,5)</f>
        <v>40536.549363425926</v>
      </c>
      <c r="C563">
        <v>80</v>
      </c>
      <c r="D563">
        <v>69.104019164999997</v>
      </c>
      <c r="E563">
        <v>50</v>
      </c>
      <c r="F563">
        <v>49.943809508999998</v>
      </c>
      <c r="G563">
        <v>980.82043456999997</v>
      </c>
      <c r="H563">
        <v>847.83837890999996</v>
      </c>
      <c r="I563">
        <v>2001.8298339999999</v>
      </c>
      <c r="J563">
        <v>1809.8126221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238.87834899999999</v>
      </c>
      <c r="B564" s="1">
        <f>DATE(2010,12,25) + TIME(21,4,49)</f>
        <v>40537.878344907411</v>
      </c>
      <c r="C564">
        <v>80</v>
      </c>
      <c r="D564">
        <v>68.905654906999999</v>
      </c>
      <c r="E564">
        <v>50</v>
      </c>
      <c r="F564">
        <v>49.943920134999999</v>
      </c>
      <c r="G564">
        <v>979.35308838000003</v>
      </c>
      <c r="H564">
        <v>846.16876220999995</v>
      </c>
      <c r="I564">
        <v>2001.3989257999999</v>
      </c>
      <c r="J564">
        <v>1809.3929443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240.21872500000001</v>
      </c>
      <c r="B565" s="1">
        <f>DATE(2010,12,27) + TIME(5,14,57)</f>
        <v>40539.218715277777</v>
      </c>
      <c r="C565">
        <v>80</v>
      </c>
      <c r="D565">
        <v>68.703575134000005</v>
      </c>
      <c r="E565">
        <v>50</v>
      </c>
      <c r="F565">
        <v>49.944030761999997</v>
      </c>
      <c r="G565">
        <v>977.89184569999998</v>
      </c>
      <c r="H565">
        <v>844.49365234000004</v>
      </c>
      <c r="I565">
        <v>2000.9376221</v>
      </c>
      <c r="J565">
        <v>1808.9425048999999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241.56893500000001</v>
      </c>
      <c r="B566" s="1">
        <f>DATE(2010,12,28) + TIME(13,39,15)</f>
        <v>40540.568923611114</v>
      </c>
      <c r="C566">
        <v>80</v>
      </c>
      <c r="D566">
        <v>68.499000549000002</v>
      </c>
      <c r="E566">
        <v>50</v>
      </c>
      <c r="F566">
        <v>49.944145202999998</v>
      </c>
      <c r="G566">
        <v>976.44000243999994</v>
      </c>
      <c r="H566">
        <v>842.81665038999995</v>
      </c>
      <c r="I566">
        <v>2000.4519043</v>
      </c>
      <c r="J566">
        <v>1808.4674072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242.93381299999999</v>
      </c>
      <c r="B567" s="1">
        <f>DATE(2010,12,29) + TIME(22,24,41)</f>
        <v>40541.933807870373</v>
      </c>
      <c r="C567">
        <v>80</v>
      </c>
      <c r="D567">
        <v>68.292091369999994</v>
      </c>
      <c r="E567">
        <v>50</v>
      </c>
      <c r="F567">
        <v>49.944263458000002</v>
      </c>
      <c r="G567">
        <v>974.99304199000005</v>
      </c>
      <c r="H567">
        <v>841.13311768000005</v>
      </c>
      <c r="I567">
        <v>1999.9458007999999</v>
      </c>
      <c r="J567">
        <v>1807.9714355000001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244.317555</v>
      </c>
      <c r="B568" s="1">
        <f>DATE(2010,12,31) + TIME(7,37,16)</f>
        <v>40543.317546296297</v>
      </c>
      <c r="C568">
        <v>80</v>
      </c>
      <c r="D568">
        <v>68.082405089999995</v>
      </c>
      <c r="E568">
        <v>50</v>
      </c>
      <c r="F568">
        <v>49.944389342999997</v>
      </c>
      <c r="G568">
        <v>973.54504395000004</v>
      </c>
      <c r="H568">
        <v>839.43621826000003</v>
      </c>
      <c r="I568">
        <v>1999.4207764</v>
      </c>
      <c r="J568">
        <v>1807.4562988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245</v>
      </c>
      <c r="B569" s="1">
        <f>DATE(2011,1,1) + TIME(0,0,0)</f>
        <v>40544</v>
      </c>
      <c r="C569">
        <v>80</v>
      </c>
      <c r="D569">
        <v>67.928695679</v>
      </c>
      <c r="E569">
        <v>50</v>
      </c>
      <c r="F569">
        <v>49.944355010999999</v>
      </c>
      <c r="G569">
        <v>972.59149170000001</v>
      </c>
      <c r="H569">
        <v>838.29467772999999</v>
      </c>
      <c r="I569">
        <v>1999.0463867000001</v>
      </c>
      <c r="J569">
        <v>1807.0893555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246.40634499999999</v>
      </c>
      <c r="B570" s="1">
        <f>DATE(2011,1,2) + TIME(9,45,8)</f>
        <v>40545.406342592592</v>
      </c>
      <c r="C570">
        <v>80</v>
      </c>
      <c r="D570">
        <v>67.745979309000006</v>
      </c>
      <c r="E570">
        <v>50</v>
      </c>
      <c r="F570">
        <v>49.944572448999999</v>
      </c>
      <c r="G570">
        <v>971.32348633000004</v>
      </c>
      <c r="H570">
        <v>836.79260253999996</v>
      </c>
      <c r="I570">
        <v>1998.5456543</v>
      </c>
      <c r="J570">
        <v>1806.5959473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247.86263199999999</v>
      </c>
      <c r="B571" s="1">
        <f>DATE(2011,1,3) + TIME(20,42,11)</f>
        <v>40546.862627314818</v>
      </c>
      <c r="C571">
        <v>80</v>
      </c>
      <c r="D571">
        <v>67.538497925000001</v>
      </c>
      <c r="E571">
        <v>50</v>
      </c>
      <c r="F571">
        <v>49.944736481</v>
      </c>
      <c r="G571">
        <v>969.87768555000002</v>
      </c>
      <c r="H571">
        <v>835.07843018000005</v>
      </c>
      <c r="I571">
        <v>1998.0125731999999</v>
      </c>
      <c r="J571">
        <v>1806.0715332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249.361029</v>
      </c>
      <c r="B572" s="1">
        <f>DATE(2011,1,5) + TIME(8,39,52)</f>
        <v>40548.361018518517</v>
      </c>
      <c r="C572">
        <v>80</v>
      </c>
      <c r="D572">
        <v>67.316741942999997</v>
      </c>
      <c r="E572">
        <v>50</v>
      </c>
      <c r="F572">
        <v>49.944877624999997</v>
      </c>
      <c r="G572">
        <v>968.37939453000001</v>
      </c>
      <c r="H572">
        <v>833.28155518000005</v>
      </c>
      <c r="I572">
        <v>1997.4368896000001</v>
      </c>
      <c r="J572">
        <v>1805.5047606999999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250.88322400000001</v>
      </c>
      <c r="B573" s="1">
        <f>DATE(2011,1,6) + TIME(21,11,50)</f>
        <v>40549.883217592593</v>
      </c>
      <c r="C573">
        <v>80</v>
      </c>
      <c r="D573">
        <v>67.085838318</v>
      </c>
      <c r="E573">
        <v>50</v>
      </c>
      <c r="F573">
        <v>49.945014954000001</v>
      </c>
      <c r="G573">
        <v>966.84979248000002</v>
      </c>
      <c r="H573">
        <v>831.42919921999999</v>
      </c>
      <c r="I573">
        <v>1996.8336182</v>
      </c>
      <c r="J573">
        <v>1804.9101562000001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252.417643</v>
      </c>
      <c r="B574" s="1">
        <f>DATE(2011,1,8) + TIME(10,1,24)</f>
        <v>40551.417638888888</v>
      </c>
      <c r="C574">
        <v>80</v>
      </c>
      <c r="D574">
        <v>66.849113463999998</v>
      </c>
      <c r="E574">
        <v>50</v>
      </c>
      <c r="F574">
        <v>49.945156097000002</v>
      </c>
      <c r="G574">
        <v>965.30169678000004</v>
      </c>
      <c r="H574">
        <v>829.53765868999994</v>
      </c>
      <c r="I574">
        <v>1996.2137451000001</v>
      </c>
      <c r="J574">
        <v>1804.2989502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253.966724</v>
      </c>
      <c r="B575" s="1">
        <f>DATE(2011,1,9) + TIME(23,12,4)</f>
        <v>40552.96671296296</v>
      </c>
      <c r="C575">
        <v>80</v>
      </c>
      <c r="D575">
        <v>66.608016968000001</v>
      </c>
      <c r="E575">
        <v>50</v>
      </c>
      <c r="F575">
        <v>49.945301055999998</v>
      </c>
      <c r="G575">
        <v>963.73736571999996</v>
      </c>
      <c r="H575">
        <v>827.61071776999995</v>
      </c>
      <c r="I575">
        <v>1995.583374</v>
      </c>
      <c r="J575">
        <v>1803.6767577999999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255.536169</v>
      </c>
      <c r="B576" s="1">
        <f>DATE(2011,1,11) + TIME(12,52,4)</f>
        <v>40554.536157407405</v>
      </c>
      <c r="C576">
        <v>80</v>
      </c>
      <c r="D576">
        <v>66.362487793</v>
      </c>
      <c r="E576">
        <v>50</v>
      </c>
      <c r="F576">
        <v>49.945449828999998</v>
      </c>
      <c r="G576">
        <v>962.15234375</v>
      </c>
      <c r="H576">
        <v>825.64318848000005</v>
      </c>
      <c r="I576">
        <v>1994.9444579999999</v>
      </c>
      <c r="J576">
        <v>1803.0457764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257.12980399999998</v>
      </c>
      <c r="B577" s="1">
        <f>DATE(2011,1,13) + TIME(3,6,55)</f>
        <v>40556.129803240743</v>
      </c>
      <c r="C577">
        <v>80</v>
      </c>
      <c r="D577">
        <v>66.111862183</v>
      </c>
      <c r="E577">
        <v>50</v>
      </c>
      <c r="F577">
        <v>49.945602417000003</v>
      </c>
      <c r="G577">
        <v>960.54071045000001</v>
      </c>
      <c r="H577">
        <v>823.62744140999996</v>
      </c>
      <c r="I577">
        <v>1994.2974853999999</v>
      </c>
      <c r="J577">
        <v>1802.4066161999999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258.750426</v>
      </c>
      <c r="B578" s="1">
        <f>DATE(2011,1,14) + TIME(18,0,36)</f>
        <v>40557.750416666669</v>
      </c>
      <c r="C578">
        <v>80</v>
      </c>
      <c r="D578">
        <v>65.855392456000004</v>
      </c>
      <c r="E578">
        <v>50</v>
      </c>
      <c r="F578">
        <v>49.945758820000002</v>
      </c>
      <c r="G578">
        <v>958.89709473000005</v>
      </c>
      <c r="H578">
        <v>821.55596923999997</v>
      </c>
      <c r="I578">
        <v>1993.6430664</v>
      </c>
      <c r="J578">
        <v>1801.7595214999999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260.40279600000002</v>
      </c>
      <c r="B579" s="1">
        <f>DATE(2011,1,16) + TIME(9,40,1)</f>
        <v>40559.402789351851</v>
      </c>
      <c r="C579">
        <v>80</v>
      </c>
      <c r="D579">
        <v>65.592239379999995</v>
      </c>
      <c r="E579">
        <v>50</v>
      </c>
      <c r="F579">
        <v>49.945919037000003</v>
      </c>
      <c r="G579">
        <v>957.21514893000005</v>
      </c>
      <c r="H579">
        <v>819.42034911999997</v>
      </c>
      <c r="I579">
        <v>1992.9805908000001</v>
      </c>
      <c r="J579">
        <v>1801.1042480000001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262.09452700000003</v>
      </c>
      <c r="B580" s="1">
        <f>DATE(2011,1,18) + TIME(2,16,7)</f>
        <v>40561.094525462962</v>
      </c>
      <c r="C580">
        <v>80</v>
      </c>
      <c r="D580">
        <v>65.321220397999994</v>
      </c>
      <c r="E580">
        <v>50</v>
      </c>
      <c r="F580">
        <v>49.946086884000003</v>
      </c>
      <c r="G580">
        <v>955.48669433999999</v>
      </c>
      <c r="H580">
        <v>817.20916748000002</v>
      </c>
      <c r="I580">
        <v>1992.3089600000001</v>
      </c>
      <c r="J580">
        <v>1800.4398193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263.82763</v>
      </c>
      <c r="B581" s="1">
        <f>DATE(2011,1,19) + TIME(19,51,47)</f>
        <v>40562.827627314815</v>
      </c>
      <c r="C581">
        <v>80</v>
      </c>
      <c r="D581">
        <v>65.041130065999994</v>
      </c>
      <c r="E581">
        <v>50</v>
      </c>
      <c r="F581">
        <v>49.94625473</v>
      </c>
      <c r="G581">
        <v>953.70410156000003</v>
      </c>
      <c r="H581">
        <v>814.91143798999997</v>
      </c>
      <c r="I581">
        <v>1991.6280518000001</v>
      </c>
      <c r="J581">
        <v>1799.7657471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265.57056299999999</v>
      </c>
      <c r="B582" s="1">
        <f>DATE(2011,1,21) + TIME(13,41,36)</f>
        <v>40564.570555555554</v>
      </c>
      <c r="C582">
        <v>80</v>
      </c>
      <c r="D582">
        <v>64.752998352000006</v>
      </c>
      <c r="E582">
        <v>50</v>
      </c>
      <c r="F582">
        <v>49.946418762</v>
      </c>
      <c r="G582">
        <v>951.87591553000004</v>
      </c>
      <c r="H582">
        <v>812.53570557</v>
      </c>
      <c r="I582">
        <v>1990.9448242000001</v>
      </c>
      <c r="J582">
        <v>1799.0892334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267.33079600000002</v>
      </c>
      <c r="B583" s="1">
        <f>DATE(2011,1,23) + TIME(7,56,20)</f>
        <v>40566.330787037034</v>
      </c>
      <c r="C583">
        <v>80</v>
      </c>
      <c r="D583">
        <v>64.458267211999996</v>
      </c>
      <c r="E583">
        <v>50</v>
      </c>
      <c r="F583">
        <v>49.946590424</v>
      </c>
      <c r="G583">
        <v>950.01025390999996</v>
      </c>
      <c r="H583">
        <v>810.09259033000001</v>
      </c>
      <c r="I583">
        <v>1990.2612305</v>
      </c>
      <c r="J583">
        <v>1798.4119873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269.11153200000001</v>
      </c>
      <c r="B584" s="1">
        <f>DATE(2011,1,25) + TIME(2,40,36)</f>
        <v>40568.111527777779</v>
      </c>
      <c r="C584">
        <v>80</v>
      </c>
      <c r="D584">
        <v>64.156593322999996</v>
      </c>
      <c r="E584">
        <v>50</v>
      </c>
      <c r="F584">
        <v>49.946758269999997</v>
      </c>
      <c r="G584">
        <v>948.10241699000005</v>
      </c>
      <c r="H584">
        <v>807.57568359000004</v>
      </c>
      <c r="I584">
        <v>1989.5782471</v>
      </c>
      <c r="J584">
        <v>1797.7353516000001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270.91672199999999</v>
      </c>
      <c r="B585" s="1">
        <f>DATE(2011,1,26) + TIME(22,0,4)</f>
        <v>40569.916712962964</v>
      </c>
      <c r="C585">
        <v>80</v>
      </c>
      <c r="D585">
        <v>63.847293854</v>
      </c>
      <c r="E585">
        <v>50</v>
      </c>
      <c r="F585">
        <v>49.946933745999999</v>
      </c>
      <c r="G585">
        <v>946.14678954999999</v>
      </c>
      <c r="H585">
        <v>804.97723388999998</v>
      </c>
      <c r="I585">
        <v>1988.8961182</v>
      </c>
      <c r="J585">
        <v>1797.059082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272.75298400000003</v>
      </c>
      <c r="B586" s="1">
        <f>DATE(2011,1,28) + TIME(18,4,17)</f>
        <v>40571.752974537034</v>
      </c>
      <c r="C586">
        <v>80</v>
      </c>
      <c r="D586">
        <v>63.529247284</v>
      </c>
      <c r="E586">
        <v>50</v>
      </c>
      <c r="F586">
        <v>49.947109222000002</v>
      </c>
      <c r="G586">
        <v>944.13598633000004</v>
      </c>
      <c r="H586">
        <v>802.28649901999995</v>
      </c>
      <c r="I586">
        <v>1988.2136230000001</v>
      </c>
      <c r="J586">
        <v>1796.3823242000001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274.62496599999997</v>
      </c>
      <c r="B587" s="1">
        <f>DATE(2011,1,30) + TIME(14,59,57)</f>
        <v>40573.624965277777</v>
      </c>
      <c r="C587">
        <v>80</v>
      </c>
      <c r="D587">
        <v>63.201156615999999</v>
      </c>
      <c r="E587">
        <v>50</v>
      </c>
      <c r="F587">
        <v>49.947288512999997</v>
      </c>
      <c r="G587">
        <v>942.06158446999996</v>
      </c>
      <c r="H587">
        <v>799.49114989999998</v>
      </c>
      <c r="I587">
        <v>1987.5297852000001</v>
      </c>
      <c r="J587">
        <v>1795.7042236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276</v>
      </c>
      <c r="B588" s="1">
        <f>DATE(2011,2,1) + TIME(0,0,0)</f>
        <v>40575</v>
      </c>
      <c r="C588">
        <v>80</v>
      </c>
      <c r="D588">
        <v>62.896572112999998</v>
      </c>
      <c r="E588">
        <v>50</v>
      </c>
      <c r="F588">
        <v>49.947380066000001</v>
      </c>
      <c r="G588">
        <v>940.14910888999998</v>
      </c>
      <c r="H588">
        <v>796.88256836000005</v>
      </c>
      <c r="I588">
        <v>1986.9669189000001</v>
      </c>
      <c r="J588">
        <v>1795.1462402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277.91851400000002</v>
      </c>
      <c r="B589" s="1">
        <f>DATE(2011,2,2) + TIME(22,2,39)</f>
        <v>40576.918506944443</v>
      </c>
      <c r="C589">
        <v>80</v>
      </c>
      <c r="D589">
        <v>62.591926575000002</v>
      </c>
      <c r="E589">
        <v>50</v>
      </c>
      <c r="F589">
        <v>49.947597504000001</v>
      </c>
      <c r="G589">
        <v>938.25378418000003</v>
      </c>
      <c r="H589">
        <v>794.29266356999995</v>
      </c>
      <c r="I589">
        <v>1986.3144531</v>
      </c>
      <c r="J589">
        <v>1794.4984131000001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279.88794899999999</v>
      </c>
      <c r="B590" s="1">
        <f>DATE(2011,2,4) + TIME(21,18,38)</f>
        <v>40578.887939814813</v>
      </c>
      <c r="C590">
        <v>80</v>
      </c>
      <c r="D590">
        <v>62.246738434000001</v>
      </c>
      <c r="E590">
        <v>50</v>
      </c>
      <c r="F590">
        <v>49.947792053000001</v>
      </c>
      <c r="G590">
        <v>936.03479003999996</v>
      </c>
      <c r="H590">
        <v>791.25811768000005</v>
      </c>
      <c r="I590">
        <v>1985.6505127</v>
      </c>
      <c r="J590">
        <v>1793.8394774999999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281.87638299999998</v>
      </c>
      <c r="B591" s="1">
        <f>DATE(2011,2,6) + TIME(21,1,59)</f>
        <v>40580.876377314817</v>
      </c>
      <c r="C591">
        <v>80</v>
      </c>
      <c r="D591">
        <v>61.880008697999997</v>
      </c>
      <c r="E591">
        <v>50</v>
      </c>
      <c r="F591">
        <v>49.947975159000002</v>
      </c>
      <c r="G591">
        <v>933.70275878999996</v>
      </c>
      <c r="H591">
        <v>788.03668213000003</v>
      </c>
      <c r="I591">
        <v>1984.9775391000001</v>
      </c>
      <c r="J591">
        <v>1793.1715088000001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283.88568199999997</v>
      </c>
      <c r="B592" s="1">
        <f>DATE(2011,2,8) + TIME(21,15,22)</f>
        <v>40582.885671296295</v>
      </c>
      <c r="C592">
        <v>80</v>
      </c>
      <c r="D592">
        <v>61.499862671000002</v>
      </c>
      <c r="E592">
        <v>50</v>
      </c>
      <c r="F592">
        <v>49.948154449</v>
      </c>
      <c r="G592">
        <v>931.29547118999994</v>
      </c>
      <c r="H592">
        <v>784.68481444999998</v>
      </c>
      <c r="I592">
        <v>1984.3035889</v>
      </c>
      <c r="J592">
        <v>1792.5023193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285.92271899999997</v>
      </c>
      <c r="B593" s="1">
        <f>DATE(2011,2,10) + TIME(22,8,42)</f>
        <v>40584.922708333332</v>
      </c>
      <c r="C593">
        <v>80</v>
      </c>
      <c r="D593">
        <v>61.107746124000002</v>
      </c>
      <c r="E593">
        <v>50</v>
      </c>
      <c r="F593">
        <v>49.948337555000002</v>
      </c>
      <c r="G593">
        <v>928.81475829999999</v>
      </c>
      <c r="H593">
        <v>781.20715331999997</v>
      </c>
      <c r="I593">
        <v>1983.6315918</v>
      </c>
      <c r="J593">
        <v>1791.8349608999999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287.99282199999999</v>
      </c>
      <c r="B594" s="1">
        <f>DATE(2011,2,12) + TIME(23,49,39)</f>
        <v>40586.992812500001</v>
      </c>
      <c r="C594">
        <v>80</v>
      </c>
      <c r="D594">
        <v>60.702838898000003</v>
      </c>
      <c r="E594">
        <v>50</v>
      </c>
      <c r="F594">
        <v>49.948528289999999</v>
      </c>
      <c r="G594">
        <v>926.25402831999997</v>
      </c>
      <c r="H594">
        <v>777.59405518000005</v>
      </c>
      <c r="I594">
        <v>1982.9620361</v>
      </c>
      <c r="J594">
        <v>1791.1700439000001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290.10511100000002</v>
      </c>
      <c r="B595" s="1">
        <f>DATE(2011,2,15) + TIME(2,31,21)</f>
        <v>40589.105104166665</v>
      </c>
      <c r="C595">
        <v>80</v>
      </c>
      <c r="D595">
        <v>60.283859253000003</v>
      </c>
      <c r="E595">
        <v>50</v>
      </c>
      <c r="F595">
        <v>49.948719025000003</v>
      </c>
      <c r="G595">
        <v>923.60394286999997</v>
      </c>
      <c r="H595">
        <v>773.83087158000001</v>
      </c>
      <c r="I595">
        <v>1982.2937012</v>
      </c>
      <c r="J595">
        <v>1790.5061035000001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292.26366400000001</v>
      </c>
      <c r="B596" s="1">
        <f>DATE(2011,2,17) + TIME(6,19,40)</f>
        <v>40591.263657407406</v>
      </c>
      <c r="C596">
        <v>80</v>
      </c>
      <c r="D596">
        <v>59.848850249999998</v>
      </c>
      <c r="E596">
        <v>50</v>
      </c>
      <c r="F596">
        <v>49.948909759999999</v>
      </c>
      <c r="G596">
        <v>920.85296631000006</v>
      </c>
      <c r="H596">
        <v>769.89965819999998</v>
      </c>
      <c r="I596">
        <v>1981.6257324000001</v>
      </c>
      <c r="J596">
        <v>1789.8422852000001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294.44481000000002</v>
      </c>
      <c r="B597" s="1">
        <f>DATE(2011,2,19) + TIME(10,40,31)</f>
        <v>40593.444803240738</v>
      </c>
      <c r="C597">
        <v>80</v>
      </c>
      <c r="D597">
        <v>59.397281647</v>
      </c>
      <c r="E597">
        <v>50</v>
      </c>
      <c r="F597">
        <v>49.949104308999999</v>
      </c>
      <c r="G597">
        <v>918.00207520000004</v>
      </c>
      <c r="H597">
        <v>765.79888916000004</v>
      </c>
      <c r="I597">
        <v>1980.9619141000001</v>
      </c>
      <c r="J597">
        <v>1789.1826172000001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296.64578899999998</v>
      </c>
      <c r="B598" s="1">
        <f>DATE(2011,2,21) + TIME(15,29,56)</f>
        <v>40595.645787037036</v>
      </c>
      <c r="C598">
        <v>80</v>
      </c>
      <c r="D598">
        <v>58.931484222000002</v>
      </c>
      <c r="E598">
        <v>50</v>
      </c>
      <c r="F598">
        <v>49.949295044000003</v>
      </c>
      <c r="G598">
        <v>915.06768798999997</v>
      </c>
      <c r="H598">
        <v>761.55023193</v>
      </c>
      <c r="I598">
        <v>1980.3041992000001</v>
      </c>
      <c r="J598">
        <v>1788.5288086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298.87206400000002</v>
      </c>
      <c r="B599" s="1">
        <f>DATE(2011,2,23) + TIME(20,55,46)</f>
        <v>40597.872060185182</v>
      </c>
      <c r="C599">
        <v>80</v>
      </c>
      <c r="D599">
        <v>58.451782227000002</v>
      </c>
      <c r="E599">
        <v>50</v>
      </c>
      <c r="F599">
        <v>49.949489593999999</v>
      </c>
      <c r="G599">
        <v>912.05133057</v>
      </c>
      <c r="H599">
        <v>757.15557861000002</v>
      </c>
      <c r="I599">
        <v>1979.6525879000001</v>
      </c>
      <c r="J599">
        <v>1787.8809814000001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301.12632600000001</v>
      </c>
      <c r="B600" s="1">
        <f>DATE(2011,2,26) + TIME(3,1,54)</f>
        <v>40600.126319444447</v>
      </c>
      <c r="C600">
        <v>80</v>
      </c>
      <c r="D600">
        <v>57.95734787</v>
      </c>
      <c r="E600">
        <v>50</v>
      </c>
      <c r="F600">
        <v>49.949684142999999</v>
      </c>
      <c r="G600">
        <v>908.94726562000005</v>
      </c>
      <c r="H600">
        <v>752.60595703000001</v>
      </c>
      <c r="I600">
        <v>1979.0067139</v>
      </c>
      <c r="J600">
        <v>1787.2388916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303.41432400000002</v>
      </c>
      <c r="B601" s="1">
        <f>DATE(2011,2,28) + TIME(9,56,37)</f>
        <v>40602.414317129631</v>
      </c>
      <c r="C601">
        <v>80</v>
      </c>
      <c r="D601">
        <v>57.447002411</v>
      </c>
      <c r="E601">
        <v>50</v>
      </c>
      <c r="F601">
        <v>49.949882506999998</v>
      </c>
      <c r="G601">
        <v>905.74993896000001</v>
      </c>
      <c r="H601">
        <v>747.89166260000002</v>
      </c>
      <c r="I601">
        <v>1978.3656006000001</v>
      </c>
      <c r="J601">
        <v>1786.6013184000001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304</v>
      </c>
      <c r="B602" s="1">
        <f>DATE(2011,3,1) + TIME(0,0,0)</f>
        <v>40603</v>
      </c>
      <c r="C602">
        <v>80</v>
      </c>
      <c r="D602">
        <v>57.143440247000001</v>
      </c>
      <c r="E602">
        <v>50</v>
      </c>
      <c r="F602">
        <v>49.949878693000002</v>
      </c>
      <c r="G602">
        <v>903.48236083999996</v>
      </c>
      <c r="H602">
        <v>744.63775635000002</v>
      </c>
      <c r="I602">
        <v>1978.1447754000001</v>
      </c>
      <c r="J602">
        <v>1786.3823242000001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306.328575</v>
      </c>
      <c r="B603" s="1">
        <f>DATE(2011,3,3) + TIME(7,53,8)</f>
        <v>40605.328564814816</v>
      </c>
      <c r="C603">
        <v>80</v>
      </c>
      <c r="D603">
        <v>56.738563538000001</v>
      </c>
      <c r="E603">
        <v>50</v>
      </c>
      <c r="F603">
        <v>49.950119018999999</v>
      </c>
      <c r="G603">
        <v>901.43243408000001</v>
      </c>
      <c r="H603">
        <v>741.42706298999997</v>
      </c>
      <c r="I603">
        <v>1977.5225829999999</v>
      </c>
      <c r="J603">
        <v>1785.7628173999999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308.71209599999997</v>
      </c>
      <c r="B604" s="1">
        <f>DATE(2011,3,5) + TIME(17,5,25)</f>
        <v>40607.712094907409</v>
      </c>
      <c r="C604">
        <v>80</v>
      </c>
      <c r="D604">
        <v>56.221172332999998</v>
      </c>
      <c r="E604">
        <v>50</v>
      </c>
      <c r="F604">
        <v>49.950336456000002</v>
      </c>
      <c r="G604">
        <v>898.12646484000004</v>
      </c>
      <c r="H604">
        <v>736.52935791000004</v>
      </c>
      <c r="I604">
        <v>1976.9124756000001</v>
      </c>
      <c r="J604">
        <v>1785.1557617000001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311.11339299999997</v>
      </c>
      <c r="B605" s="1">
        <f>DATE(2011,3,8) + TIME(2,43,17)</f>
        <v>40610.113391203704</v>
      </c>
      <c r="C605">
        <v>80</v>
      </c>
      <c r="D605">
        <v>55.659179688000002</v>
      </c>
      <c r="E605">
        <v>50</v>
      </c>
      <c r="F605">
        <v>49.950534820999998</v>
      </c>
      <c r="G605">
        <v>894.60485840000001</v>
      </c>
      <c r="H605">
        <v>731.24908446999996</v>
      </c>
      <c r="I605">
        <v>1976.2950439000001</v>
      </c>
      <c r="J605">
        <v>1784.5415039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313.53101700000002</v>
      </c>
      <c r="B606" s="1">
        <f>DATE(2011,3,10) + TIME(12,44,39)</f>
        <v>40612.531006944446</v>
      </c>
      <c r="C606">
        <v>80</v>
      </c>
      <c r="D606">
        <v>55.075660706000001</v>
      </c>
      <c r="E606">
        <v>50</v>
      </c>
      <c r="F606">
        <v>49.950729369999998</v>
      </c>
      <c r="G606">
        <v>890.97955321999996</v>
      </c>
      <c r="H606">
        <v>725.77008057</v>
      </c>
      <c r="I606">
        <v>1975.6776123</v>
      </c>
      <c r="J606">
        <v>1783.927124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315.95796999999999</v>
      </c>
      <c r="B607" s="1">
        <f>DATE(2011,3,12) + TIME(22,59,28)</f>
        <v>40614.957962962966</v>
      </c>
      <c r="C607">
        <v>80</v>
      </c>
      <c r="D607">
        <v>54.477161406999997</v>
      </c>
      <c r="E607">
        <v>50</v>
      </c>
      <c r="F607">
        <v>49.950923920000001</v>
      </c>
      <c r="G607">
        <v>887.27227783000001</v>
      </c>
      <c r="H607">
        <v>720.1328125</v>
      </c>
      <c r="I607">
        <v>1975.065918</v>
      </c>
      <c r="J607">
        <v>1783.3182373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318.40039999999999</v>
      </c>
      <c r="B608" s="1">
        <f>DATE(2011,3,15) + TIME(9,36,34)</f>
        <v>40617.400393518517</v>
      </c>
      <c r="C608">
        <v>80</v>
      </c>
      <c r="D608">
        <v>53.866195679</v>
      </c>
      <c r="E608">
        <v>50</v>
      </c>
      <c r="F608">
        <v>49.951122284</v>
      </c>
      <c r="G608">
        <v>883.49450683999999</v>
      </c>
      <c r="H608">
        <v>714.35565185999997</v>
      </c>
      <c r="I608">
        <v>1974.4608154</v>
      </c>
      <c r="J608">
        <v>1782.7160644999999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320.859914</v>
      </c>
      <c r="B609" s="1">
        <f>DATE(2011,3,17) + TIME(20,38,16)</f>
        <v>40619.859907407408</v>
      </c>
      <c r="C609">
        <v>80</v>
      </c>
      <c r="D609">
        <v>53.242954253999997</v>
      </c>
      <c r="E609">
        <v>50</v>
      </c>
      <c r="F609">
        <v>49.951316833</v>
      </c>
      <c r="G609">
        <v>879.64361571999996</v>
      </c>
      <c r="H609">
        <v>708.43469238</v>
      </c>
      <c r="I609">
        <v>1973.8626709</v>
      </c>
      <c r="J609">
        <v>1782.1206055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323.32856500000003</v>
      </c>
      <c r="B610" s="1">
        <f>DATE(2011,3,20) + TIME(7,53,8)</f>
        <v>40622.328564814816</v>
      </c>
      <c r="C610">
        <v>80</v>
      </c>
      <c r="D610">
        <v>52.608253478999998</v>
      </c>
      <c r="E610">
        <v>50</v>
      </c>
      <c r="F610">
        <v>49.951511383000003</v>
      </c>
      <c r="G610">
        <v>875.72253418000003</v>
      </c>
      <c r="H610">
        <v>702.37341308999999</v>
      </c>
      <c r="I610">
        <v>1973.2723389</v>
      </c>
      <c r="J610">
        <v>1781.5327147999999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325.808808</v>
      </c>
      <c r="B611" s="1">
        <f>DATE(2011,3,22) + TIME(19,24,41)</f>
        <v>40624.808807870373</v>
      </c>
      <c r="C611">
        <v>80</v>
      </c>
      <c r="D611">
        <v>51.963840484999999</v>
      </c>
      <c r="E611">
        <v>50</v>
      </c>
      <c r="F611">
        <v>49.951705933</v>
      </c>
      <c r="G611">
        <v>871.74169921999999</v>
      </c>
      <c r="H611">
        <v>696.18640137</v>
      </c>
      <c r="I611">
        <v>1972.6892089999999</v>
      </c>
      <c r="J611">
        <v>1780.9521483999999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328.30477300000001</v>
      </c>
      <c r="B612" s="1">
        <f>DATE(2011,3,25) + TIME(7,18,52)</f>
        <v>40627.304768518516</v>
      </c>
      <c r="C612">
        <v>80</v>
      </c>
      <c r="D612">
        <v>51.310325622999997</v>
      </c>
      <c r="E612">
        <v>50</v>
      </c>
      <c r="F612">
        <v>49.951896667</v>
      </c>
      <c r="G612">
        <v>867.70098876999998</v>
      </c>
      <c r="H612">
        <v>689.87365723000005</v>
      </c>
      <c r="I612">
        <v>1972.1125488</v>
      </c>
      <c r="J612">
        <v>1780.3778076000001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330.81034299999999</v>
      </c>
      <c r="B613" s="1">
        <f>DATE(2011,3,27) + TIME(19,26,53)</f>
        <v>40629.810335648152</v>
      </c>
      <c r="C613">
        <v>80</v>
      </c>
      <c r="D613">
        <v>50.648197174000003</v>
      </c>
      <c r="E613">
        <v>50</v>
      </c>
      <c r="F613">
        <v>49.952091217000003</v>
      </c>
      <c r="G613">
        <v>863.60083008000004</v>
      </c>
      <c r="H613">
        <v>683.43579102000001</v>
      </c>
      <c r="I613">
        <v>1971.5426024999999</v>
      </c>
      <c r="J613">
        <v>1779.8101807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333.33230600000002</v>
      </c>
      <c r="B614" s="1">
        <f>DATE(2011,3,30) + TIME(7,58,31)</f>
        <v>40632.332303240742</v>
      </c>
      <c r="C614">
        <v>80</v>
      </c>
      <c r="D614">
        <v>49.978939056000002</v>
      </c>
      <c r="E614">
        <v>50</v>
      </c>
      <c r="F614">
        <v>49.952281952</v>
      </c>
      <c r="G614">
        <v>859.44934081999997</v>
      </c>
      <c r="H614">
        <v>676.88378906000003</v>
      </c>
      <c r="I614">
        <v>1970.9781493999999</v>
      </c>
      <c r="J614">
        <v>1779.2478027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335</v>
      </c>
      <c r="B615" s="1">
        <f>DATE(2011,4,1) + TIME(0,0,0)</f>
        <v>40634</v>
      </c>
      <c r="C615">
        <v>80</v>
      </c>
      <c r="D615">
        <v>49.374336243000002</v>
      </c>
      <c r="E615">
        <v>50</v>
      </c>
      <c r="F615">
        <v>49.952381133999999</v>
      </c>
      <c r="G615">
        <v>855.56915283000001</v>
      </c>
      <c r="H615">
        <v>670.78350829999999</v>
      </c>
      <c r="I615">
        <v>1970.5562743999999</v>
      </c>
      <c r="J615">
        <v>1778.8276367000001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337.536404</v>
      </c>
      <c r="B616" s="1">
        <f>DATE(2011,4,3) + TIME(12,52,25)</f>
        <v>40636.536400462966</v>
      </c>
      <c r="C616">
        <v>80</v>
      </c>
      <c r="D616">
        <v>48.816970824999999</v>
      </c>
      <c r="E616">
        <v>50</v>
      </c>
      <c r="F616">
        <v>49.952594757</v>
      </c>
      <c r="G616">
        <v>852.32135010000002</v>
      </c>
      <c r="H616">
        <v>665.49627685999997</v>
      </c>
      <c r="I616">
        <v>1970.0198975000001</v>
      </c>
      <c r="J616">
        <v>1778.2930908000001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340.10692799999998</v>
      </c>
      <c r="B617" s="1">
        <f>DATE(2011,4,6) + TIME(2,33,58)</f>
        <v>40639.106921296298</v>
      </c>
      <c r="C617">
        <v>80</v>
      </c>
      <c r="D617">
        <v>48.161972046000002</v>
      </c>
      <c r="E617">
        <v>50</v>
      </c>
      <c r="F617">
        <v>49.952793120999999</v>
      </c>
      <c r="G617">
        <v>848.14837646000001</v>
      </c>
      <c r="H617">
        <v>658.87188720999995</v>
      </c>
      <c r="I617">
        <v>1969.4842529</v>
      </c>
      <c r="J617">
        <v>1777.7592772999999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342.70451200000002</v>
      </c>
      <c r="B618" s="1">
        <f>DATE(2011,4,8) + TIME(16,54,29)</f>
        <v>40641.704502314817</v>
      </c>
      <c r="C618">
        <v>80</v>
      </c>
      <c r="D618">
        <v>47.477527618000003</v>
      </c>
      <c r="E618">
        <v>50</v>
      </c>
      <c r="F618">
        <v>49.952983856000003</v>
      </c>
      <c r="G618">
        <v>843.82977295000001</v>
      </c>
      <c r="H618">
        <v>651.94512939000003</v>
      </c>
      <c r="I618">
        <v>1968.9416504000001</v>
      </c>
      <c r="J618">
        <v>1777.2185059000001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345.33100200000001</v>
      </c>
      <c r="B619" s="1">
        <f>DATE(2011,4,11) + TIME(7,56,38)</f>
        <v>40644.330995370372</v>
      </c>
      <c r="C619">
        <v>80</v>
      </c>
      <c r="D619">
        <v>46.782379149999997</v>
      </c>
      <c r="E619">
        <v>50</v>
      </c>
      <c r="F619">
        <v>49.953170776</v>
      </c>
      <c r="G619">
        <v>839.43847656000003</v>
      </c>
      <c r="H619">
        <v>644.85791015999996</v>
      </c>
      <c r="I619">
        <v>1968.3953856999999</v>
      </c>
      <c r="J619">
        <v>1776.6740723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347.99363699999998</v>
      </c>
      <c r="B620" s="1">
        <f>DATE(2011,4,13) + TIME(23,50,50)</f>
        <v>40646.993634259263</v>
      </c>
      <c r="C620">
        <v>80</v>
      </c>
      <c r="D620">
        <v>46.081127166999998</v>
      </c>
      <c r="E620">
        <v>50</v>
      </c>
      <c r="F620">
        <v>49.953357697000001</v>
      </c>
      <c r="G620">
        <v>834.98638916000004</v>
      </c>
      <c r="H620">
        <v>637.63641356999995</v>
      </c>
      <c r="I620">
        <v>1967.8465576000001</v>
      </c>
      <c r="J620">
        <v>1776.1269531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350.70132699999999</v>
      </c>
      <c r="B621" s="1">
        <f>DATE(2011,4,16) + TIME(16,49,54)</f>
        <v>40649.701319444444</v>
      </c>
      <c r="C621">
        <v>80</v>
      </c>
      <c r="D621">
        <v>45.374477386000002</v>
      </c>
      <c r="E621">
        <v>50</v>
      </c>
      <c r="F621">
        <v>49.953552246000001</v>
      </c>
      <c r="G621">
        <v>830.47027588000003</v>
      </c>
      <c r="H621">
        <v>630.27697753999996</v>
      </c>
      <c r="I621">
        <v>1967.2946777</v>
      </c>
      <c r="J621">
        <v>1775.5767822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353.46365300000002</v>
      </c>
      <c r="B622" s="1">
        <f>DATE(2011,4,19) + TIME(11,7,39)</f>
        <v>40652.463645833333</v>
      </c>
      <c r="C622">
        <v>80</v>
      </c>
      <c r="D622">
        <v>44.662033080999997</v>
      </c>
      <c r="E622">
        <v>50</v>
      </c>
      <c r="F622">
        <v>49.953742980999998</v>
      </c>
      <c r="G622">
        <v>825.88299560999997</v>
      </c>
      <c r="H622">
        <v>622.76672363</v>
      </c>
      <c r="I622">
        <v>1966.7380370999999</v>
      </c>
      <c r="J622">
        <v>1775.0217285000001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356.28279500000002</v>
      </c>
      <c r="B623" s="1">
        <f>DATE(2011,4,22) + TIME(6,47,13)</f>
        <v>40655.282789351855</v>
      </c>
      <c r="C623">
        <v>80</v>
      </c>
      <c r="D623">
        <v>43.943592072000001</v>
      </c>
      <c r="E623">
        <v>50</v>
      </c>
      <c r="F623">
        <v>49.953941344999997</v>
      </c>
      <c r="G623">
        <v>821.21783446999996</v>
      </c>
      <c r="H623">
        <v>615.09399413999995</v>
      </c>
      <c r="I623">
        <v>1966.1757812000001</v>
      </c>
      <c r="J623">
        <v>1774.4610596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359.15845000000002</v>
      </c>
      <c r="B624" s="1">
        <f>DATE(2011,4,25) + TIME(3,48,10)</f>
        <v>40658.158449074072</v>
      </c>
      <c r="C624">
        <v>80</v>
      </c>
      <c r="D624">
        <v>43.220340729</v>
      </c>
      <c r="E624">
        <v>50</v>
      </c>
      <c r="F624">
        <v>49.954135895</v>
      </c>
      <c r="G624">
        <v>816.47863770000004</v>
      </c>
      <c r="H624">
        <v>607.26354979999996</v>
      </c>
      <c r="I624">
        <v>1965.6074219</v>
      </c>
      <c r="J624">
        <v>1773.8942870999999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362.10024800000002</v>
      </c>
      <c r="B625" s="1">
        <f>DATE(2011,4,28) + TIME(2,24,21)</f>
        <v>40661.100243055553</v>
      </c>
      <c r="C625">
        <v>80</v>
      </c>
      <c r="D625">
        <v>42.493759154999999</v>
      </c>
      <c r="E625">
        <v>50</v>
      </c>
      <c r="F625">
        <v>49.954338073999999</v>
      </c>
      <c r="G625">
        <v>811.67230225000003</v>
      </c>
      <c r="H625">
        <v>599.28454590000001</v>
      </c>
      <c r="I625">
        <v>1965.03125</v>
      </c>
      <c r="J625">
        <v>1773.3197021000001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365</v>
      </c>
      <c r="B626" s="1">
        <f>DATE(2011,5,1) + TIME(0,0,0)</f>
        <v>40664</v>
      </c>
      <c r="C626">
        <v>80</v>
      </c>
      <c r="D626">
        <v>41.769836425999998</v>
      </c>
      <c r="E626">
        <v>50</v>
      </c>
      <c r="F626">
        <v>49.954528809000003</v>
      </c>
      <c r="G626">
        <v>806.82250977000001</v>
      </c>
      <c r="H626">
        <v>591.20251465000001</v>
      </c>
      <c r="I626">
        <v>1964.4605713000001</v>
      </c>
      <c r="J626">
        <v>1772.7503661999999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365.000001</v>
      </c>
      <c r="B627" s="1">
        <f>DATE(2011,5,1) + TIME(0,0,0)</f>
        <v>40664</v>
      </c>
      <c r="C627">
        <v>80</v>
      </c>
      <c r="D627">
        <v>41.769901275999999</v>
      </c>
      <c r="E627">
        <v>50</v>
      </c>
      <c r="F627">
        <v>49.954513550000001</v>
      </c>
      <c r="G627">
        <v>1022.1395874</v>
      </c>
      <c r="H627">
        <v>806.83203125</v>
      </c>
      <c r="I627">
        <v>1772.7406006000001</v>
      </c>
      <c r="J627">
        <v>1581.0361327999999</v>
      </c>
      <c r="K627">
        <v>2400</v>
      </c>
      <c r="L627">
        <v>0</v>
      </c>
      <c r="M627">
        <v>0</v>
      </c>
      <c r="N627">
        <v>2400</v>
      </c>
    </row>
    <row r="628" spans="1:14" x14ac:dyDescent="0.25">
      <c r="A628">
        <v>365.00000399999999</v>
      </c>
      <c r="B628" s="1">
        <f>DATE(2011,5,1) + TIME(0,0,0)</f>
        <v>40664</v>
      </c>
      <c r="C628">
        <v>80</v>
      </c>
      <c r="D628">
        <v>41.770092009999999</v>
      </c>
      <c r="E628">
        <v>50</v>
      </c>
      <c r="F628">
        <v>49.954471587999997</v>
      </c>
      <c r="G628">
        <v>1022.1682129</v>
      </c>
      <c r="H628">
        <v>806.86059569999998</v>
      </c>
      <c r="I628">
        <v>1772.7111815999999</v>
      </c>
      <c r="J628">
        <v>1581.0064697</v>
      </c>
      <c r="K628">
        <v>2400</v>
      </c>
      <c r="L628">
        <v>0</v>
      </c>
      <c r="M628">
        <v>0</v>
      </c>
      <c r="N628">
        <v>2400</v>
      </c>
    </row>
    <row r="629" spans="1:14" x14ac:dyDescent="0.25">
      <c r="A629">
        <v>365.00001300000002</v>
      </c>
      <c r="B629" s="1">
        <f>DATE(2011,5,1) + TIME(0,0,1)</f>
        <v>40664.000011574077</v>
      </c>
      <c r="C629">
        <v>80</v>
      </c>
      <c r="D629">
        <v>41.770660399999997</v>
      </c>
      <c r="E629">
        <v>50</v>
      </c>
      <c r="F629">
        <v>49.954338073999999</v>
      </c>
      <c r="G629">
        <v>1022.2541504</v>
      </c>
      <c r="H629">
        <v>806.94635010000002</v>
      </c>
      <c r="I629">
        <v>1772.6228027</v>
      </c>
      <c r="J629">
        <v>1580.9177245999999</v>
      </c>
      <c r="K629">
        <v>2400</v>
      </c>
      <c r="L629">
        <v>0</v>
      </c>
      <c r="M629">
        <v>0</v>
      </c>
      <c r="N629">
        <v>2400</v>
      </c>
    </row>
    <row r="630" spans="1:14" x14ac:dyDescent="0.25">
      <c r="A630">
        <v>365.00004000000001</v>
      </c>
      <c r="B630" s="1">
        <f>DATE(2011,5,1) + TIME(0,0,3)</f>
        <v>40664.000034722223</v>
      </c>
      <c r="C630">
        <v>80</v>
      </c>
      <c r="D630">
        <v>41.772365569999998</v>
      </c>
      <c r="E630">
        <v>50</v>
      </c>
      <c r="F630">
        <v>49.953937531000001</v>
      </c>
      <c r="G630">
        <v>1022.5117188</v>
      </c>
      <c r="H630">
        <v>807.20330810999997</v>
      </c>
      <c r="I630">
        <v>1772.3580322</v>
      </c>
      <c r="J630">
        <v>1580.6514893000001</v>
      </c>
      <c r="K630">
        <v>2400</v>
      </c>
      <c r="L630">
        <v>0</v>
      </c>
      <c r="M630">
        <v>0</v>
      </c>
      <c r="N630">
        <v>2400</v>
      </c>
    </row>
    <row r="631" spans="1:14" x14ac:dyDescent="0.25">
      <c r="A631">
        <v>365.00012099999998</v>
      </c>
      <c r="B631" s="1">
        <f>DATE(2011,5,1) + TIME(0,0,10)</f>
        <v>40664.000115740739</v>
      </c>
      <c r="C631">
        <v>80</v>
      </c>
      <c r="D631">
        <v>41.777481078999998</v>
      </c>
      <c r="E631">
        <v>50</v>
      </c>
      <c r="F631">
        <v>49.952739716000004</v>
      </c>
      <c r="G631">
        <v>1023.2817383</v>
      </c>
      <c r="H631">
        <v>807.97192383000004</v>
      </c>
      <c r="I631">
        <v>1771.5666504000001</v>
      </c>
      <c r="J631">
        <v>1579.8560791</v>
      </c>
      <c r="K631">
        <v>2400</v>
      </c>
      <c r="L631">
        <v>0</v>
      </c>
      <c r="M631">
        <v>0</v>
      </c>
      <c r="N631">
        <v>2400</v>
      </c>
    </row>
    <row r="632" spans="1:14" x14ac:dyDescent="0.25">
      <c r="A632">
        <v>365.00036399999999</v>
      </c>
      <c r="B632" s="1">
        <f>DATE(2011,5,1) + TIME(0,0,31)</f>
        <v>40664.000358796293</v>
      </c>
      <c r="C632">
        <v>80</v>
      </c>
      <c r="D632">
        <v>41.792808532999999</v>
      </c>
      <c r="E632">
        <v>50</v>
      </c>
      <c r="F632">
        <v>49.949199677000003</v>
      </c>
      <c r="G632">
        <v>1025.5684814000001</v>
      </c>
      <c r="H632">
        <v>810.25720215000001</v>
      </c>
      <c r="I632">
        <v>1769.2196045000001</v>
      </c>
      <c r="J632">
        <v>1577.4968262</v>
      </c>
      <c r="K632">
        <v>2400</v>
      </c>
      <c r="L632">
        <v>0</v>
      </c>
      <c r="M632">
        <v>0</v>
      </c>
      <c r="N632">
        <v>2400</v>
      </c>
    </row>
    <row r="633" spans="1:14" x14ac:dyDescent="0.25">
      <c r="A633">
        <v>365.00109300000003</v>
      </c>
      <c r="B633" s="1">
        <f>DATE(2011,5,1) + TIME(0,1,34)</f>
        <v>40664.001087962963</v>
      </c>
      <c r="C633">
        <v>80</v>
      </c>
      <c r="D633">
        <v>41.838603972999998</v>
      </c>
      <c r="E633">
        <v>50</v>
      </c>
      <c r="F633">
        <v>49.938922882</v>
      </c>
      <c r="G633">
        <v>1032.2269286999999</v>
      </c>
      <c r="H633">
        <v>816.93365478999999</v>
      </c>
      <c r="I633">
        <v>1762.4093018000001</v>
      </c>
      <c r="J633">
        <v>1570.6513672000001</v>
      </c>
      <c r="K633">
        <v>2400</v>
      </c>
      <c r="L633">
        <v>0</v>
      </c>
      <c r="M633">
        <v>0</v>
      </c>
      <c r="N633">
        <v>2400</v>
      </c>
    </row>
    <row r="634" spans="1:14" x14ac:dyDescent="0.25">
      <c r="A634">
        <v>365.00328000000002</v>
      </c>
      <c r="B634" s="1">
        <f>DATE(2011,5,1) + TIME(0,4,43)</f>
        <v>40664.003275462965</v>
      </c>
      <c r="C634">
        <v>80</v>
      </c>
      <c r="D634">
        <v>41.973800658999998</v>
      </c>
      <c r="E634">
        <v>50</v>
      </c>
      <c r="F634">
        <v>49.910831451</v>
      </c>
      <c r="G634">
        <v>1050.5812988</v>
      </c>
      <c r="H634">
        <v>835.48559569999998</v>
      </c>
      <c r="I634">
        <v>1743.8104248</v>
      </c>
      <c r="J634">
        <v>1551.958374</v>
      </c>
      <c r="K634">
        <v>2400</v>
      </c>
      <c r="L634">
        <v>0</v>
      </c>
      <c r="M634">
        <v>0</v>
      </c>
      <c r="N634">
        <v>2400</v>
      </c>
    </row>
    <row r="635" spans="1:14" x14ac:dyDescent="0.25">
      <c r="A635">
        <v>365.00984099999999</v>
      </c>
      <c r="B635" s="1">
        <f>DATE(2011,5,1) + TIME(0,14,10)</f>
        <v>40664.009837962964</v>
      </c>
      <c r="C635">
        <v>80</v>
      </c>
      <c r="D635">
        <v>42.364547729000002</v>
      </c>
      <c r="E635">
        <v>50</v>
      </c>
      <c r="F635">
        <v>49.844509125000002</v>
      </c>
      <c r="G635">
        <v>1094.7546387</v>
      </c>
      <c r="H635">
        <v>880.81927489999998</v>
      </c>
      <c r="I635">
        <v>1699.9157714999999</v>
      </c>
      <c r="J635">
        <v>1507.848999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365.02663200000001</v>
      </c>
      <c r="B636" s="1">
        <f>DATE(2011,5,1) + TIME(0,38,21)</f>
        <v>40664.026631944442</v>
      </c>
      <c r="C636">
        <v>80</v>
      </c>
      <c r="D636">
        <v>43.299221039000003</v>
      </c>
      <c r="E636">
        <v>50</v>
      </c>
      <c r="F636">
        <v>49.736660004000001</v>
      </c>
      <c r="G636">
        <v>1167.9780272999999</v>
      </c>
      <c r="H636">
        <v>957.58648682</v>
      </c>
      <c r="I636">
        <v>1628.6962891000001</v>
      </c>
      <c r="J636">
        <v>1436.302124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365.04459700000001</v>
      </c>
      <c r="B637" s="1">
        <f>DATE(2011,5,1) + TIME(1,4,13)</f>
        <v>40664.044594907406</v>
      </c>
      <c r="C637">
        <v>80</v>
      </c>
      <c r="D637">
        <v>44.227161406999997</v>
      </c>
      <c r="E637">
        <v>50</v>
      </c>
      <c r="F637">
        <v>49.659801483000003</v>
      </c>
      <c r="G637">
        <v>1220.0919189000001</v>
      </c>
      <c r="H637">
        <v>1013.180603</v>
      </c>
      <c r="I637">
        <v>1577.8969727000001</v>
      </c>
      <c r="J637">
        <v>1385.2872314000001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365.06395600000002</v>
      </c>
      <c r="B638" s="1">
        <f>DATE(2011,5,1) + TIME(1,32,5)</f>
        <v>40664.063946759263</v>
      </c>
      <c r="C638">
        <v>80</v>
      </c>
      <c r="D638">
        <v>45.168846129999999</v>
      </c>
      <c r="E638">
        <v>50</v>
      </c>
      <c r="F638">
        <v>49.602279662999997</v>
      </c>
      <c r="G638">
        <v>1258.7993164</v>
      </c>
      <c r="H638">
        <v>1055.2486572</v>
      </c>
      <c r="I638">
        <v>1539.5051269999999</v>
      </c>
      <c r="J638">
        <v>1346.7414550999999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365.08451500000001</v>
      </c>
      <c r="B639" s="1">
        <f>DATE(2011,5,1) + TIME(2,1,42)</f>
        <v>40664.084513888891</v>
      </c>
      <c r="C639">
        <v>80</v>
      </c>
      <c r="D639">
        <v>46.119819640999999</v>
      </c>
      <c r="E639">
        <v>50</v>
      </c>
      <c r="F639">
        <v>49.557853698999999</v>
      </c>
      <c r="G639">
        <v>1288.3404541</v>
      </c>
      <c r="H639">
        <v>1088.0076904</v>
      </c>
      <c r="I639">
        <v>1509.3968506000001</v>
      </c>
      <c r="J639">
        <v>1316.5180664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365.106133</v>
      </c>
      <c r="B640" s="1">
        <f>DATE(2011,5,1) + TIME(2,32,49)</f>
        <v>40664.106122685182</v>
      </c>
      <c r="C640">
        <v>80</v>
      </c>
      <c r="D640">
        <v>47.076721190999997</v>
      </c>
      <c r="E640">
        <v>50</v>
      </c>
      <c r="F640">
        <v>49.522377014</v>
      </c>
      <c r="G640">
        <v>1311.6069336</v>
      </c>
      <c r="H640">
        <v>1114.3659668</v>
      </c>
      <c r="I640">
        <v>1484.9080810999999</v>
      </c>
      <c r="J640">
        <v>1291.9405518000001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365.12872499999997</v>
      </c>
      <c r="B641" s="1">
        <f>DATE(2011,5,1) + TIME(3,5,21)</f>
        <v>40664.12871527778</v>
      </c>
      <c r="C641">
        <v>80</v>
      </c>
      <c r="D641">
        <v>48.037200927999997</v>
      </c>
      <c r="E641">
        <v>50</v>
      </c>
      <c r="F641">
        <v>49.493171691999997</v>
      </c>
      <c r="G641">
        <v>1330.5056152</v>
      </c>
      <c r="H641">
        <v>1136.2457274999999</v>
      </c>
      <c r="I641">
        <v>1464.3435059000001</v>
      </c>
      <c r="J641">
        <v>1271.3054199000001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365.15224599999999</v>
      </c>
      <c r="B642" s="1">
        <f>DATE(2011,5,1) + TIME(3,39,14)</f>
        <v>40664.152245370373</v>
      </c>
      <c r="C642">
        <v>80</v>
      </c>
      <c r="D642">
        <v>48.999717711999999</v>
      </c>
      <c r="E642">
        <v>50</v>
      </c>
      <c r="F642">
        <v>49.468498230000002</v>
      </c>
      <c r="G642">
        <v>1346.2839355000001</v>
      </c>
      <c r="H642">
        <v>1154.9049072</v>
      </c>
      <c r="I642">
        <v>1446.6121826000001</v>
      </c>
      <c r="J642">
        <v>1253.5163574000001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365.17668400000002</v>
      </c>
      <c r="B643" s="1">
        <f>DATE(2011,5,1) + TIME(4,14,25)</f>
        <v>40664.176678240743</v>
      </c>
      <c r="C643">
        <v>80</v>
      </c>
      <c r="D643">
        <v>49.963272095000001</v>
      </c>
      <c r="E643">
        <v>50</v>
      </c>
      <c r="F643">
        <v>49.447200774999999</v>
      </c>
      <c r="G643">
        <v>1359.7672118999999</v>
      </c>
      <c r="H643">
        <v>1171.1763916</v>
      </c>
      <c r="I643">
        <v>1430.9948730000001</v>
      </c>
      <c r="J643">
        <v>1237.8509521000001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365.202046</v>
      </c>
      <c r="B644" s="1">
        <f>DATE(2011,5,1) + TIME(4,50,56)</f>
        <v>40664.202037037037</v>
      </c>
      <c r="C644">
        <v>80</v>
      </c>
      <c r="D644">
        <v>50.926834106000001</v>
      </c>
      <c r="E644">
        <v>50</v>
      </c>
      <c r="F644">
        <v>49.428482056</v>
      </c>
      <c r="G644">
        <v>1371.5159911999999</v>
      </c>
      <c r="H644">
        <v>1185.6264647999999</v>
      </c>
      <c r="I644">
        <v>1417.0019531</v>
      </c>
      <c r="J644">
        <v>1223.8173827999999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365.228319</v>
      </c>
      <c r="B645" s="1">
        <f>DATE(2011,5,1) + TIME(5,28,46)</f>
        <v>40664.228310185186</v>
      </c>
      <c r="C645">
        <v>80</v>
      </c>
      <c r="D645">
        <v>51.888999939000001</v>
      </c>
      <c r="E645">
        <v>50</v>
      </c>
      <c r="F645">
        <v>49.411811829000001</v>
      </c>
      <c r="G645">
        <v>1381.909668</v>
      </c>
      <c r="H645">
        <v>1198.6358643000001</v>
      </c>
      <c r="I645">
        <v>1404.3048096</v>
      </c>
      <c r="J645">
        <v>1211.0854492000001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365.255427</v>
      </c>
      <c r="B646" s="1">
        <f>DATE(2011,5,1) + TIME(6,7,48)</f>
        <v>40664.255416666667</v>
      </c>
      <c r="C646">
        <v>80</v>
      </c>
      <c r="D646">
        <v>52.845733643000003</v>
      </c>
      <c r="E646">
        <v>50</v>
      </c>
      <c r="F646">
        <v>49.396823883000003</v>
      </c>
      <c r="G646">
        <v>1391.2020264</v>
      </c>
      <c r="H646">
        <v>1210.453125</v>
      </c>
      <c r="I646">
        <v>1392.6914062000001</v>
      </c>
      <c r="J646">
        <v>1199.4421387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365.28339799999998</v>
      </c>
      <c r="B647" s="1">
        <f>DATE(2011,5,1) + TIME(6,48,5)</f>
        <v>40664.283391203702</v>
      </c>
      <c r="C647">
        <v>80</v>
      </c>
      <c r="D647">
        <v>53.796710967999999</v>
      </c>
      <c r="E647">
        <v>50</v>
      </c>
      <c r="F647">
        <v>49.383193970000001</v>
      </c>
      <c r="G647">
        <v>1399.6119385</v>
      </c>
      <c r="H647">
        <v>1221.3022461</v>
      </c>
      <c r="I647">
        <v>1381.9650879000001</v>
      </c>
      <c r="J647">
        <v>1188.6898193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365.31226700000002</v>
      </c>
      <c r="B648" s="1">
        <f>DATE(2011,5,1) + TIME(7,29,39)</f>
        <v>40664.312256944446</v>
      </c>
      <c r="C648">
        <v>80</v>
      </c>
      <c r="D648">
        <v>54.741634369000003</v>
      </c>
      <c r="E648">
        <v>50</v>
      </c>
      <c r="F648">
        <v>49.370674133000001</v>
      </c>
      <c r="G648">
        <v>1407.3054199000001</v>
      </c>
      <c r="H648">
        <v>1231.3536377</v>
      </c>
      <c r="I648">
        <v>1371.9755858999999</v>
      </c>
      <c r="J648">
        <v>1178.6774902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365.34207500000002</v>
      </c>
      <c r="B649" s="1">
        <f>DATE(2011,5,1) + TIME(8,12,35)</f>
        <v>40664.34207175926</v>
      </c>
      <c r="C649">
        <v>80</v>
      </c>
      <c r="D649">
        <v>55.680225372000002</v>
      </c>
      <c r="E649">
        <v>50</v>
      </c>
      <c r="F649">
        <v>49.359069824000002</v>
      </c>
      <c r="G649">
        <v>1414.411499</v>
      </c>
      <c r="H649">
        <v>1240.7403564000001</v>
      </c>
      <c r="I649">
        <v>1362.6054687999999</v>
      </c>
      <c r="J649">
        <v>1169.2872314000001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365.37287400000002</v>
      </c>
      <c r="B650" s="1">
        <f>DATE(2011,5,1) + TIME(8,56,56)</f>
        <v>40664.372870370367</v>
      </c>
      <c r="C650">
        <v>80</v>
      </c>
      <c r="D650">
        <v>56.612270355</v>
      </c>
      <c r="E650">
        <v>50</v>
      </c>
      <c r="F650">
        <v>49.348220824999999</v>
      </c>
      <c r="G650">
        <v>1421.0325928</v>
      </c>
      <c r="H650">
        <v>1249.5683594</v>
      </c>
      <c r="I650">
        <v>1353.7604980000001</v>
      </c>
      <c r="J650">
        <v>1160.4246826000001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365.40472999999997</v>
      </c>
      <c r="B651" s="1">
        <f>DATE(2011,5,1) + TIME(9,42,48)</f>
        <v>40664.404722222222</v>
      </c>
      <c r="C651">
        <v>80</v>
      </c>
      <c r="D651">
        <v>57.537845611999998</v>
      </c>
      <c r="E651">
        <v>50</v>
      </c>
      <c r="F651">
        <v>49.337997436999999</v>
      </c>
      <c r="G651">
        <v>1427.2530518000001</v>
      </c>
      <c r="H651">
        <v>1257.9256591999999</v>
      </c>
      <c r="I651">
        <v>1345.3619385</v>
      </c>
      <c r="J651">
        <v>1152.0102539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365.43769600000002</v>
      </c>
      <c r="B652" s="1">
        <f>DATE(2011,5,1) + TIME(10,30,16)</f>
        <v>40664.437685185185</v>
      </c>
      <c r="C652">
        <v>80</v>
      </c>
      <c r="D652">
        <v>58.456302643000001</v>
      </c>
      <c r="E652">
        <v>50</v>
      </c>
      <c r="F652">
        <v>49.328289032000001</v>
      </c>
      <c r="G652">
        <v>1433.1376952999999</v>
      </c>
      <c r="H652">
        <v>1265.8790283000001</v>
      </c>
      <c r="I652">
        <v>1337.3505858999999</v>
      </c>
      <c r="J652">
        <v>1143.9846190999999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365.47184099999998</v>
      </c>
      <c r="B653" s="1">
        <f>DATE(2011,5,1) + TIME(11,19,27)</f>
        <v>40664.47184027778</v>
      </c>
      <c r="C653">
        <v>80</v>
      </c>
      <c r="D653">
        <v>59.367374419999997</v>
      </c>
      <c r="E653">
        <v>50</v>
      </c>
      <c r="F653">
        <v>49.319011688000003</v>
      </c>
      <c r="G653">
        <v>1438.7423096</v>
      </c>
      <c r="H653">
        <v>1273.4870605000001</v>
      </c>
      <c r="I653">
        <v>1329.6734618999999</v>
      </c>
      <c r="J653">
        <v>1136.2949219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365.50724500000001</v>
      </c>
      <c r="B654" s="1">
        <f>DATE(2011,5,1) + TIME(12,10,25)</f>
        <v>40664.507233796299</v>
      </c>
      <c r="C654">
        <v>80</v>
      </c>
      <c r="D654">
        <v>60.270595551</v>
      </c>
      <c r="E654">
        <v>50</v>
      </c>
      <c r="F654">
        <v>49.310077667000002</v>
      </c>
      <c r="G654">
        <v>1444.1142577999999</v>
      </c>
      <c r="H654">
        <v>1280.7996826000001</v>
      </c>
      <c r="I654">
        <v>1322.2861327999999</v>
      </c>
      <c r="J654">
        <v>1128.8961182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365.54399699999999</v>
      </c>
      <c r="B655" s="1">
        <f>DATE(2011,5,1) + TIME(13,3,21)</f>
        <v>40664.543993055559</v>
      </c>
      <c r="C655">
        <v>80</v>
      </c>
      <c r="D655">
        <v>61.165390015</v>
      </c>
      <c r="E655">
        <v>50</v>
      </c>
      <c r="F655">
        <v>49.301414489999999</v>
      </c>
      <c r="G655">
        <v>1449.2937012</v>
      </c>
      <c r="H655">
        <v>1287.8592529</v>
      </c>
      <c r="I655">
        <v>1315.1501464999999</v>
      </c>
      <c r="J655">
        <v>1121.7496338000001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365.58219500000001</v>
      </c>
      <c r="B656" s="1">
        <f>DATE(2011,5,1) + TIME(13,58,21)</f>
        <v>40664.582187499997</v>
      </c>
      <c r="C656">
        <v>80</v>
      </c>
      <c r="D656">
        <v>62.051822661999999</v>
      </c>
      <c r="E656">
        <v>50</v>
      </c>
      <c r="F656">
        <v>49.292964935000001</v>
      </c>
      <c r="G656">
        <v>1454.3156738</v>
      </c>
      <c r="H656">
        <v>1294.7028809000001</v>
      </c>
      <c r="I656">
        <v>1308.2316894999999</v>
      </c>
      <c r="J656">
        <v>1114.8217772999999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365.62195400000002</v>
      </c>
      <c r="B657" s="1">
        <f>DATE(2011,5,1) + TIME(14,55,36)</f>
        <v>40664.621944444443</v>
      </c>
      <c r="C657">
        <v>80</v>
      </c>
      <c r="D657">
        <v>62.929584503000001</v>
      </c>
      <c r="E657">
        <v>50</v>
      </c>
      <c r="F657">
        <v>49.284660338999998</v>
      </c>
      <c r="G657">
        <v>1459.2109375</v>
      </c>
      <c r="H657">
        <v>1301.3635254000001</v>
      </c>
      <c r="I657">
        <v>1301.5009766000001</v>
      </c>
      <c r="J657">
        <v>1108.0822754000001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365.66340100000002</v>
      </c>
      <c r="B658" s="1">
        <f>DATE(2011,5,1) + TIME(15,55,17)</f>
        <v>40664.663391203707</v>
      </c>
      <c r="C658">
        <v>80</v>
      </c>
      <c r="D658">
        <v>63.798320769999997</v>
      </c>
      <c r="E658">
        <v>50</v>
      </c>
      <c r="F658">
        <v>49.276454926</v>
      </c>
      <c r="G658">
        <v>1464.0072021000001</v>
      </c>
      <c r="H658">
        <v>1307.8708495999999</v>
      </c>
      <c r="I658">
        <v>1294.9310303</v>
      </c>
      <c r="J658">
        <v>1101.5042725000001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365.706681</v>
      </c>
      <c r="B659" s="1">
        <f>DATE(2011,5,1) + TIME(16,57,37)</f>
        <v>40664.706678240742</v>
      </c>
      <c r="C659">
        <v>80</v>
      </c>
      <c r="D659">
        <v>64.657676696999999</v>
      </c>
      <c r="E659">
        <v>50</v>
      </c>
      <c r="F659">
        <v>49.268283844000003</v>
      </c>
      <c r="G659">
        <v>1468.7294922000001</v>
      </c>
      <c r="H659">
        <v>1314.2517089999999</v>
      </c>
      <c r="I659">
        <v>1288.4971923999999</v>
      </c>
      <c r="J659">
        <v>1095.0627440999999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365.75196</v>
      </c>
      <c r="B660" s="1">
        <f>DATE(2011,5,1) + TIME(18,2,49)</f>
        <v>40664.751956018517</v>
      </c>
      <c r="C660">
        <v>80</v>
      </c>
      <c r="D660">
        <v>65.507369995000005</v>
      </c>
      <c r="E660">
        <v>50</v>
      </c>
      <c r="F660">
        <v>49.260101317999997</v>
      </c>
      <c r="G660">
        <v>1473.4016113</v>
      </c>
      <c r="H660">
        <v>1320.53125</v>
      </c>
      <c r="I660">
        <v>1282.1765137</v>
      </c>
      <c r="J660">
        <v>1088.7349853999999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365.79945500000002</v>
      </c>
      <c r="B661" s="1">
        <f>DATE(2011,5,1) + TIME(19,11,12)</f>
        <v>40664.799444444441</v>
      </c>
      <c r="C661">
        <v>80</v>
      </c>
      <c r="D661">
        <v>66.347404479999994</v>
      </c>
      <c r="E661">
        <v>50</v>
      </c>
      <c r="F661">
        <v>49.251853943</v>
      </c>
      <c r="G661">
        <v>1478.0479736</v>
      </c>
      <c r="H661">
        <v>1326.7363281</v>
      </c>
      <c r="I661">
        <v>1275.9440918</v>
      </c>
      <c r="J661">
        <v>1082.4958495999999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365.84937100000002</v>
      </c>
      <c r="B662" s="1">
        <f>DATE(2011,5,1) + TIME(20,23,5)</f>
        <v>40664.849363425928</v>
      </c>
      <c r="C662">
        <v>80</v>
      </c>
      <c r="D662">
        <v>67.176986693999993</v>
      </c>
      <c r="E662">
        <v>50</v>
      </c>
      <c r="F662">
        <v>49.243484496999997</v>
      </c>
      <c r="G662">
        <v>1482.6885986</v>
      </c>
      <c r="H662">
        <v>1332.8875731999999</v>
      </c>
      <c r="I662">
        <v>1269.78125</v>
      </c>
      <c r="J662">
        <v>1076.3262939000001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365.90195399999999</v>
      </c>
      <c r="B663" s="1">
        <f>DATE(2011,5,1) + TIME(21,38,48)</f>
        <v>40664.901944444442</v>
      </c>
      <c r="C663">
        <v>80</v>
      </c>
      <c r="D663">
        <v>67.995452881000006</v>
      </c>
      <c r="E663">
        <v>50</v>
      </c>
      <c r="F663">
        <v>49.234943389999998</v>
      </c>
      <c r="G663">
        <v>1487.3436279</v>
      </c>
      <c r="H663">
        <v>1339.0063477000001</v>
      </c>
      <c r="I663">
        <v>1263.668457</v>
      </c>
      <c r="J663">
        <v>1070.2071533000001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365.95749999999998</v>
      </c>
      <c r="B664" s="1">
        <f>DATE(2011,5,1) + TIME(22,58,47)</f>
        <v>40664.957488425927</v>
      </c>
      <c r="C664">
        <v>80</v>
      </c>
      <c r="D664">
        <v>68.802261353000006</v>
      </c>
      <c r="E664">
        <v>50</v>
      </c>
      <c r="F664">
        <v>49.226165770999998</v>
      </c>
      <c r="G664">
        <v>1492.0347899999999</v>
      </c>
      <c r="H664">
        <v>1345.1151123</v>
      </c>
      <c r="I664">
        <v>1257.5854492000001</v>
      </c>
      <c r="J664">
        <v>1064.1176757999999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366.01635499999998</v>
      </c>
      <c r="B665" s="1">
        <f>DATE(2011,5,2) + TIME(0,23,33)</f>
        <v>40665.01635416667</v>
      </c>
      <c r="C665">
        <v>80</v>
      </c>
      <c r="D665">
        <v>69.596824646000002</v>
      </c>
      <c r="E665">
        <v>50</v>
      </c>
      <c r="F665">
        <v>49.217094420999999</v>
      </c>
      <c r="G665">
        <v>1496.7841797000001</v>
      </c>
      <c r="H665">
        <v>1351.2368164</v>
      </c>
      <c r="I665">
        <v>1251.5109863</v>
      </c>
      <c r="J665">
        <v>1058.0367432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366.07892600000002</v>
      </c>
      <c r="B666" s="1">
        <f>DATE(2011,5,2) + TIME(1,53,39)</f>
        <v>40665.078923611109</v>
      </c>
      <c r="C666">
        <v>80</v>
      </c>
      <c r="D666">
        <v>70.378112793</v>
      </c>
      <c r="E666">
        <v>50</v>
      </c>
      <c r="F666">
        <v>49.207660675</v>
      </c>
      <c r="G666">
        <v>1501.6145019999999</v>
      </c>
      <c r="H666">
        <v>1357.3951416</v>
      </c>
      <c r="I666">
        <v>1245.4239502</v>
      </c>
      <c r="J666">
        <v>1051.9429932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366.14570099999997</v>
      </c>
      <c r="B667" s="1">
        <f>DATE(2011,5,2) + TIME(3,29,48)</f>
        <v>40665.145694444444</v>
      </c>
      <c r="C667">
        <v>80</v>
      </c>
      <c r="D667">
        <v>71.145332335999996</v>
      </c>
      <c r="E667">
        <v>50</v>
      </c>
      <c r="F667">
        <v>49.197780608999999</v>
      </c>
      <c r="G667">
        <v>1506.5510254000001</v>
      </c>
      <c r="H667">
        <v>1363.6157227000001</v>
      </c>
      <c r="I667">
        <v>1239.3007812000001</v>
      </c>
      <c r="J667">
        <v>1045.8128661999999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366.217286</v>
      </c>
      <c r="B668" s="1">
        <f>DATE(2011,5,2) + TIME(5,12,53)</f>
        <v>40665.217280092591</v>
      </c>
      <c r="C668">
        <v>80</v>
      </c>
      <c r="D668">
        <v>71.898025512999993</v>
      </c>
      <c r="E668">
        <v>50</v>
      </c>
      <c r="F668">
        <v>49.187362671000002</v>
      </c>
      <c r="G668">
        <v>1511.6223144999999</v>
      </c>
      <c r="H668">
        <v>1369.9282227000001</v>
      </c>
      <c r="I668">
        <v>1233.114624</v>
      </c>
      <c r="J668">
        <v>1039.6195068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366.29440799999998</v>
      </c>
      <c r="B669" s="1">
        <f>DATE(2011,5,2) + TIME(7,3,56)</f>
        <v>40665.294398148151</v>
      </c>
      <c r="C669">
        <v>80</v>
      </c>
      <c r="D669">
        <v>72.635246276999993</v>
      </c>
      <c r="E669">
        <v>50</v>
      </c>
      <c r="F669">
        <v>49.176303863999998</v>
      </c>
      <c r="G669">
        <v>1516.8601074000001</v>
      </c>
      <c r="H669">
        <v>1376.3647461</v>
      </c>
      <c r="I669">
        <v>1226.8365478999999</v>
      </c>
      <c r="J669">
        <v>1033.3334961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366.377973</v>
      </c>
      <c r="B670" s="1">
        <f>DATE(2011,5,2) + TIME(9,4,16)</f>
        <v>40665.377962962964</v>
      </c>
      <c r="C670">
        <v>80</v>
      </c>
      <c r="D670">
        <v>73.355903624999996</v>
      </c>
      <c r="E670">
        <v>50</v>
      </c>
      <c r="F670">
        <v>49.164478301999999</v>
      </c>
      <c r="G670">
        <v>1522.3016356999999</v>
      </c>
      <c r="H670">
        <v>1382.9627685999999</v>
      </c>
      <c r="I670">
        <v>1220.4327393000001</v>
      </c>
      <c r="J670">
        <v>1026.9211425999999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366.46912500000002</v>
      </c>
      <c r="B671" s="1">
        <f>DATE(2011,5,2) + TIME(11,15,32)</f>
        <v>40665.46912037037</v>
      </c>
      <c r="C671">
        <v>80</v>
      </c>
      <c r="D671">
        <v>74.058799743999998</v>
      </c>
      <c r="E671">
        <v>50</v>
      </c>
      <c r="F671">
        <v>49.151733397999998</v>
      </c>
      <c r="G671">
        <v>1527.9910889</v>
      </c>
      <c r="H671">
        <v>1389.7666016000001</v>
      </c>
      <c r="I671">
        <v>1213.8632812000001</v>
      </c>
      <c r="J671">
        <v>1020.3423462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366.56522699999999</v>
      </c>
      <c r="B672" s="1">
        <f>DATE(2011,5,2) + TIME(13,33,55)</f>
        <v>40665.56521990741</v>
      </c>
      <c r="C672">
        <v>80</v>
      </c>
      <c r="D672">
        <v>74.717536925999994</v>
      </c>
      <c r="E672">
        <v>50</v>
      </c>
      <c r="F672">
        <v>49.138355255</v>
      </c>
      <c r="G672">
        <v>1533.7369385</v>
      </c>
      <c r="H672">
        <v>1396.5430908000001</v>
      </c>
      <c r="I672">
        <v>1207.3415527</v>
      </c>
      <c r="J672">
        <v>1013.81073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366.66254400000003</v>
      </c>
      <c r="B673" s="1">
        <f>DATE(2011,5,2) + TIME(15,54,3)</f>
        <v>40665.662534722222</v>
      </c>
      <c r="C673">
        <v>80</v>
      </c>
      <c r="D673">
        <v>75.309356688999998</v>
      </c>
      <c r="E673">
        <v>50</v>
      </c>
      <c r="F673">
        <v>49.124778747999997</v>
      </c>
      <c r="G673">
        <v>1539.3134766000001</v>
      </c>
      <c r="H673">
        <v>1403.0356445</v>
      </c>
      <c r="I673">
        <v>1201.1031493999999</v>
      </c>
      <c r="J673">
        <v>1007.5621948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366.76140199999998</v>
      </c>
      <c r="B674" s="1">
        <f>DATE(2011,5,2) + TIME(18,16,25)</f>
        <v>40665.761400462965</v>
      </c>
      <c r="C674">
        <v>80</v>
      </c>
      <c r="D674">
        <v>75.841773986999996</v>
      </c>
      <c r="E674">
        <v>50</v>
      </c>
      <c r="F674">
        <v>49.110961914000001</v>
      </c>
      <c r="G674">
        <v>1544.7584228999999</v>
      </c>
      <c r="H674">
        <v>1409.2993164</v>
      </c>
      <c r="I674">
        <v>1195.1011963000001</v>
      </c>
      <c r="J674">
        <v>1001.5496826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366.861085</v>
      </c>
      <c r="B675" s="1">
        <f>DATE(2011,5,2) + TIME(20,39,57)</f>
        <v>40665.861076388886</v>
      </c>
      <c r="C675">
        <v>80</v>
      </c>
      <c r="D675">
        <v>76.316894531000003</v>
      </c>
      <c r="E675">
        <v>50</v>
      </c>
      <c r="F675">
        <v>49.096988678000002</v>
      </c>
      <c r="G675">
        <v>1550.0456543</v>
      </c>
      <c r="H675">
        <v>1415.3129882999999</v>
      </c>
      <c r="I675">
        <v>1189.3532714999999</v>
      </c>
      <c r="J675">
        <v>995.79077147999999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366.96193799999998</v>
      </c>
      <c r="B676" s="1">
        <f>DATE(2011,5,2) + TIME(23,5,11)</f>
        <v>40665.96193287037</v>
      </c>
      <c r="C676">
        <v>80</v>
      </c>
      <c r="D676">
        <v>76.741737365999995</v>
      </c>
      <c r="E676">
        <v>50</v>
      </c>
      <c r="F676">
        <v>49.082824707</v>
      </c>
      <c r="G676">
        <v>1555.2066649999999</v>
      </c>
      <c r="H676">
        <v>1421.1213379000001</v>
      </c>
      <c r="I676">
        <v>1183.8168945</v>
      </c>
      <c r="J676">
        <v>990.24298095999995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367.06426499999998</v>
      </c>
      <c r="B677" s="1">
        <f>DATE(2011,5,3) + TIME(1,32,32)</f>
        <v>40666.064259259256</v>
      </c>
      <c r="C677">
        <v>80</v>
      </c>
      <c r="D677">
        <v>77.122055054</v>
      </c>
      <c r="E677">
        <v>50</v>
      </c>
      <c r="F677">
        <v>49.068443297999998</v>
      </c>
      <c r="G677">
        <v>1560.2653809000001</v>
      </c>
      <c r="H677">
        <v>1426.7584228999999</v>
      </c>
      <c r="I677">
        <v>1178.4581298999999</v>
      </c>
      <c r="J677">
        <v>984.87237548999997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367.16831400000001</v>
      </c>
      <c r="B678" s="1">
        <f>DATE(2011,5,3) + TIME(4,2,22)</f>
        <v>40666.168310185189</v>
      </c>
      <c r="C678">
        <v>80</v>
      </c>
      <c r="D678">
        <v>77.462593079000001</v>
      </c>
      <c r="E678">
        <v>50</v>
      </c>
      <c r="F678">
        <v>49.053810120000001</v>
      </c>
      <c r="G678">
        <v>1565.2387695</v>
      </c>
      <c r="H678">
        <v>1432.2496338000001</v>
      </c>
      <c r="I678">
        <v>1173.2507324000001</v>
      </c>
      <c r="J678">
        <v>979.65264893000005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367.27437099999997</v>
      </c>
      <c r="B679" s="1">
        <f>DATE(2011,5,3) + TIME(6,35,5)</f>
        <v>40666.274363425924</v>
      </c>
      <c r="C679">
        <v>80</v>
      </c>
      <c r="D679">
        <v>77.767539978000002</v>
      </c>
      <c r="E679">
        <v>50</v>
      </c>
      <c r="F679">
        <v>49.038902282999999</v>
      </c>
      <c r="G679">
        <v>1570.1433105000001</v>
      </c>
      <c r="H679">
        <v>1437.6181641000001</v>
      </c>
      <c r="I679">
        <v>1168.1701660000001</v>
      </c>
      <c r="J679">
        <v>974.55938720999995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367.38273099999998</v>
      </c>
      <c r="B680" s="1">
        <f>DATE(2011,5,3) + TIME(9,11,7)</f>
        <v>40666.382719907408</v>
      </c>
      <c r="C680">
        <v>80</v>
      </c>
      <c r="D680">
        <v>78.040550232000001</v>
      </c>
      <c r="E680">
        <v>50</v>
      </c>
      <c r="F680">
        <v>49.023689269999998</v>
      </c>
      <c r="G680">
        <v>1574.9932861</v>
      </c>
      <c r="H680">
        <v>1442.8846435999999</v>
      </c>
      <c r="I680">
        <v>1163.1951904</v>
      </c>
      <c r="J680">
        <v>969.57122803000004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367.49370399999998</v>
      </c>
      <c r="B681" s="1">
        <f>DATE(2011,5,3) + TIME(11,50,55)</f>
        <v>40666.493692129632</v>
      </c>
      <c r="C681">
        <v>80</v>
      </c>
      <c r="D681">
        <v>78.284812927000004</v>
      </c>
      <c r="E681">
        <v>50</v>
      </c>
      <c r="F681">
        <v>49.008140564000001</v>
      </c>
      <c r="G681">
        <v>1579.8015137</v>
      </c>
      <c r="H681">
        <v>1448.0671387</v>
      </c>
      <c r="I681">
        <v>1158.3065185999999</v>
      </c>
      <c r="J681">
        <v>964.66906738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367.607618</v>
      </c>
      <c r="B682" s="1">
        <f>DATE(2011,5,3) + TIME(14,34,58)</f>
        <v>40666.607615740744</v>
      </c>
      <c r="C682">
        <v>80</v>
      </c>
      <c r="D682">
        <v>78.503143311000002</v>
      </c>
      <c r="E682">
        <v>50</v>
      </c>
      <c r="F682">
        <v>48.992221831999998</v>
      </c>
      <c r="G682">
        <v>1584.5800781</v>
      </c>
      <c r="H682">
        <v>1453.1820068</v>
      </c>
      <c r="I682">
        <v>1153.4871826000001</v>
      </c>
      <c r="J682">
        <v>959.83563231999995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367.72483</v>
      </c>
      <c r="B683" s="1">
        <f>DATE(2011,5,3) + TIME(17,23,45)</f>
        <v>40666.724826388891</v>
      </c>
      <c r="C683">
        <v>80</v>
      </c>
      <c r="D683">
        <v>78.698028563999998</v>
      </c>
      <c r="E683">
        <v>50</v>
      </c>
      <c r="F683">
        <v>48.975898743000002</v>
      </c>
      <c r="G683">
        <v>1589.3398437999999</v>
      </c>
      <c r="H683">
        <v>1458.2441406</v>
      </c>
      <c r="I683">
        <v>1148.7209473</v>
      </c>
      <c r="J683">
        <v>955.05499268000005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367.84572500000002</v>
      </c>
      <c r="B684" s="1">
        <f>DATE(2011,5,3) + TIME(20,17,50)</f>
        <v>40666.845717592594</v>
      </c>
      <c r="C684">
        <v>80</v>
      </c>
      <c r="D684">
        <v>78.871681213000002</v>
      </c>
      <c r="E684">
        <v>50</v>
      </c>
      <c r="F684">
        <v>48.959125518999997</v>
      </c>
      <c r="G684">
        <v>1594.0911865</v>
      </c>
      <c r="H684">
        <v>1463.2674560999999</v>
      </c>
      <c r="I684">
        <v>1143.9932861</v>
      </c>
      <c r="J684">
        <v>950.31243896000001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367.97073</v>
      </c>
      <c r="B685" s="1">
        <f>DATE(2011,5,3) + TIME(23,17,51)</f>
        <v>40666.970729166664</v>
      </c>
      <c r="C685">
        <v>80</v>
      </c>
      <c r="D685">
        <v>79.026092528999996</v>
      </c>
      <c r="E685">
        <v>50</v>
      </c>
      <c r="F685">
        <v>48.941864013999997</v>
      </c>
      <c r="G685">
        <v>1598.8446045000001</v>
      </c>
      <c r="H685">
        <v>1468.2652588000001</v>
      </c>
      <c r="I685">
        <v>1139.2900391000001</v>
      </c>
      <c r="J685">
        <v>945.59375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368.10032000000001</v>
      </c>
      <c r="B686" s="1">
        <f>DATE(2011,5,4) + TIME(2,24,27)</f>
        <v>40667.100312499999</v>
      </c>
      <c r="C686">
        <v>80</v>
      </c>
      <c r="D686">
        <v>79.163047790999997</v>
      </c>
      <c r="E686">
        <v>50</v>
      </c>
      <c r="F686">
        <v>48.924060822000001</v>
      </c>
      <c r="G686">
        <v>1603.6099853999999</v>
      </c>
      <c r="H686">
        <v>1473.2503661999999</v>
      </c>
      <c r="I686">
        <v>1134.5974120999999</v>
      </c>
      <c r="J686">
        <v>940.88525390999996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368.23512699999998</v>
      </c>
      <c r="B687" s="1">
        <f>DATE(2011,5,4) + TIME(5,38,34)</f>
        <v>40667.235115740739</v>
      </c>
      <c r="C687">
        <v>80</v>
      </c>
      <c r="D687">
        <v>79.284217834000003</v>
      </c>
      <c r="E687">
        <v>50</v>
      </c>
      <c r="F687">
        <v>48.905654906999999</v>
      </c>
      <c r="G687">
        <v>1608.4011230000001</v>
      </c>
      <c r="H687">
        <v>1478.2390137</v>
      </c>
      <c r="I687">
        <v>1129.8986815999999</v>
      </c>
      <c r="J687">
        <v>936.17010498000002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368.37566099999998</v>
      </c>
      <c r="B688" s="1">
        <f>DATE(2011,5,4) + TIME(9,0,57)</f>
        <v>40667.375659722224</v>
      </c>
      <c r="C688">
        <v>80</v>
      </c>
      <c r="D688">
        <v>79.390975952000005</v>
      </c>
      <c r="E688">
        <v>50</v>
      </c>
      <c r="F688">
        <v>48.886589049999998</v>
      </c>
      <c r="G688">
        <v>1613.2247314000001</v>
      </c>
      <c r="H688">
        <v>1483.2399902</v>
      </c>
      <c r="I688">
        <v>1125.1838379000001</v>
      </c>
      <c r="J688">
        <v>931.43823241999996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368.52208100000001</v>
      </c>
      <c r="B689" s="1">
        <f>DATE(2011,5,4) + TIME(12,31,47)</f>
        <v>40667.52207175926</v>
      </c>
      <c r="C689">
        <v>80</v>
      </c>
      <c r="D689">
        <v>79.484359741000006</v>
      </c>
      <c r="E689">
        <v>50</v>
      </c>
      <c r="F689">
        <v>48.866851807000003</v>
      </c>
      <c r="G689">
        <v>1618.0733643000001</v>
      </c>
      <c r="H689">
        <v>1488.2474365</v>
      </c>
      <c r="I689">
        <v>1120.4553223</v>
      </c>
      <c r="J689">
        <v>926.69219970999995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368.67477400000001</v>
      </c>
      <c r="B690" s="1">
        <f>DATE(2011,5,4) + TIME(16,11,40)</f>
        <v>40667.674768518518</v>
      </c>
      <c r="C690">
        <v>80</v>
      </c>
      <c r="D690">
        <v>79.565551757999998</v>
      </c>
      <c r="E690">
        <v>50</v>
      </c>
      <c r="F690">
        <v>48.846408844000003</v>
      </c>
      <c r="G690">
        <v>1622.947876</v>
      </c>
      <c r="H690">
        <v>1493.2636719</v>
      </c>
      <c r="I690">
        <v>1115.7093506000001</v>
      </c>
      <c r="J690">
        <v>921.92816161999997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368.83444400000002</v>
      </c>
      <c r="B691" s="1">
        <f>DATE(2011,5,4) + TIME(20,1,35)</f>
        <v>40667.834432870368</v>
      </c>
      <c r="C691">
        <v>80</v>
      </c>
      <c r="D691">
        <v>79.635787964000002</v>
      </c>
      <c r="E691">
        <v>50</v>
      </c>
      <c r="F691">
        <v>48.825187683000003</v>
      </c>
      <c r="G691">
        <v>1627.8580322</v>
      </c>
      <c r="H691">
        <v>1498.3004149999999</v>
      </c>
      <c r="I691">
        <v>1110.9338379000001</v>
      </c>
      <c r="J691">
        <v>917.13391113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369.001936</v>
      </c>
      <c r="B692" s="1">
        <f>DATE(2011,5,5) + TIME(0,2,47)</f>
        <v>40668.001932870371</v>
      </c>
      <c r="C692">
        <v>80</v>
      </c>
      <c r="D692">
        <v>79.696205139</v>
      </c>
      <c r="E692">
        <v>50</v>
      </c>
      <c r="F692">
        <v>48.803104400999999</v>
      </c>
      <c r="G692">
        <v>1632.8148193</v>
      </c>
      <c r="H692">
        <v>1503.3703613</v>
      </c>
      <c r="I692">
        <v>1106.1153564000001</v>
      </c>
      <c r="J692">
        <v>912.29608154000005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369.17822799999999</v>
      </c>
      <c r="B693" s="1">
        <f>DATE(2011,5,5) + TIME(4,16,38)</f>
        <v>40668.178217592591</v>
      </c>
      <c r="C693">
        <v>80</v>
      </c>
      <c r="D693">
        <v>79.747840881000002</v>
      </c>
      <c r="E693">
        <v>50</v>
      </c>
      <c r="F693">
        <v>48.780059813999998</v>
      </c>
      <c r="G693">
        <v>1637.8298339999999</v>
      </c>
      <c r="H693">
        <v>1508.4866943</v>
      </c>
      <c r="I693">
        <v>1101.2397461</v>
      </c>
      <c r="J693">
        <v>907.40032958999996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369.36445300000003</v>
      </c>
      <c r="B694" s="1">
        <f>DATE(2011,5,5) + TIME(8,44,48)</f>
        <v>40668.364444444444</v>
      </c>
      <c r="C694">
        <v>80</v>
      </c>
      <c r="D694">
        <v>79.791633606000005</v>
      </c>
      <c r="E694">
        <v>50</v>
      </c>
      <c r="F694">
        <v>48.755939484000002</v>
      </c>
      <c r="G694">
        <v>1642.9154053</v>
      </c>
      <c r="H694">
        <v>1513.6629639</v>
      </c>
      <c r="I694">
        <v>1096.2919922000001</v>
      </c>
      <c r="J694">
        <v>902.43164062000005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369.56195700000001</v>
      </c>
      <c r="B695" s="1">
        <f>DATE(2011,5,5) + TIME(13,29,13)</f>
        <v>40668.561956018515</v>
      </c>
      <c r="C695">
        <v>80</v>
      </c>
      <c r="D695">
        <v>79.828445435000006</v>
      </c>
      <c r="E695">
        <v>50</v>
      </c>
      <c r="F695">
        <v>48.730613708</v>
      </c>
      <c r="G695">
        <v>1648.0852050999999</v>
      </c>
      <c r="H695">
        <v>1518.9141846</v>
      </c>
      <c r="I695">
        <v>1091.2556152</v>
      </c>
      <c r="J695">
        <v>897.37335204999999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369.76595600000002</v>
      </c>
      <c r="B696" s="1">
        <f>DATE(2011,5,5) + TIME(18,22,58)</f>
        <v>40668.765949074077</v>
      </c>
      <c r="C696">
        <v>80</v>
      </c>
      <c r="D696">
        <v>79.858299255000006</v>
      </c>
      <c r="E696">
        <v>50</v>
      </c>
      <c r="F696">
        <v>48.704551696999999</v>
      </c>
      <c r="G696">
        <v>1653.1873779</v>
      </c>
      <c r="H696">
        <v>1524.088501</v>
      </c>
      <c r="I696">
        <v>1086.2611084</v>
      </c>
      <c r="J696">
        <v>892.35687256000006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369.97184800000002</v>
      </c>
      <c r="B697" s="1">
        <f>DATE(2011,5,5) + TIME(23,19,27)</f>
        <v>40668.97184027778</v>
      </c>
      <c r="C697">
        <v>80</v>
      </c>
      <c r="D697">
        <v>79.881866454999994</v>
      </c>
      <c r="E697">
        <v>50</v>
      </c>
      <c r="F697">
        <v>48.678234099999997</v>
      </c>
      <c r="G697">
        <v>1658.1069336</v>
      </c>
      <c r="H697">
        <v>1529.0712891000001</v>
      </c>
      <c r="I697">
        <v>1081.4167480000001</v>
      </c>
      <c r="J697">
        <v>887.49066161999997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370.17881599999998</v>
      </c>
      <c r="B698" s="1">
        <f>DATE(2011,5,6) + TIME(4,17,29)</f>
        <v>40669.178807870368</v>
      </c>
      <c r="C698">
        <v>80</v>
      </c>
      <c r="D698">
        <v>79.900329589999998</v>
      </c>
      <c r="E698">
        <v>50</v>
      </c>
      <c r="F698">
        <v>48.651771545000003</v>
      </c>
      <c r="G698">
        <v>1662.8415527</v>
      </c>
      <c r="H698">
        <v>1533.8613281</v>
      </c>
      <c r="I698">
        <v>1076.7325439000001</v>
      </c>
      <c r="J698">
        <v>882.78479003999996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370.38759499999998</v>
      </c>
      <c r="B699" s="1">
        <f>DATE(2011,5,6) + TIME(9,18,8)</f>
        <v>40669.387592592589</v>
      </c>
      <c r="C699">
        <v>80</v>
      </c>
      <c r="D699">
        <v>79.914787292</v>
      </c>
      <c r="E699">
        <v>50</v>
      </c>
      <c r="F699">
        <v>48.625137328999998</v>
      </c>
      <c r="G699">
        <v>1667.421875</v>
      </c>
      <c r="H699">
        <v>1538.4908447</v>
      </c>
      <c r="I699">
        <v>1072.1842041</v>
      </c>
      <c r="J699">
        <v>878.21447753999996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370.59871500000003</v>
      </c>
      <c r="B700" s="1">
        <f>DATE(2011,5,6) + TIME(14,22,8)</f>
        <v>40669.598703703705</v>
      </c>
      <c r="C700">
        <v>80</v>
      </c>
      <c r="D700">
        <v>79.926063537999994</v>
      </c>
      <c r="E700">
        <v>50</v>
      </c>
      <c r="F700">
        <v>48.598293304000002</v>
      </c>
      <c r="G700">
        <v>1671.8670654</v>
      </c>
      <c r="H700">
        <v>1542.9802245999999</v>
      </c>
      <c r="I700">
        <v>1067.7539062000001</v>
      </c>
      <c r="J700">
        <v>873.76202393000005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370.81276000000003</v>
      </c>
      <c r="B701" s="1">
        <f>DATE(2011,5,6) + TIME(19,30,22)</f>
        <v>40669.812754629631</v>
      </c>
      <c r="C701">
        <v>80</v>
      </c>
      <c r="D701">
        <v>79.934806824000006</v>
      </c>
      <c r="E701">
        <v>50</v>
      </c>
      <c r="F701">
        <v>48.571205139</v>
      </c>
      <c r="G701">
        <v>1676.1939697</v>
      </c>
      <c r="H701">
        <v>1547.3474120999999</v>
      </c>
      <c r="I701">
        <v>1063.4249268000001</v>
      </c>
      <c r="J701">
        <v>869.41094970999995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371.030326</v>
      </c>
      <c r="B702" s="1">
        <f>DATE(2011,5,7) + TIME(0,43,40)</f>
        <v>40670.030324074076</v>
      </c>
      <c r="C702">
        <v>80</v>
      </c>
      <c r="D702">
        <v>79.941528320000003</v>
      </c>
      <c r="E702">
        <v>50</v>
      </c>
      <c r="F702">
        <v>48.543819427000003</v>
      </c>
      <c r="G702">
        <v>1680.4176024999999</v>
      </c>
      <c r="H702">
        <v>1551.6080322</v>
      </c>
      <c r="I702">
        <v>1059.1826172000001</v>
      </c>
      <c r="J702">
        <v>865.14624022999999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371.25201900000002</v>
      </c>
      <c r="B703" s="1">
        <f>DATE(2011,5,7) + TIME(6,2,54)</f>
        <v>40670.252013888887</v>
      </c>
      <c r="C703">
        <v>80</v>
      </c>
      <c r="D703">
        <v>79.946632385000001</v>
      </c>
      <c r="E703">
        <v>50</v>
      </c>
      <c r="F703">
        <v>48.516086577999999</v>
      </c>
      <c r="G703">
        <v>1684.5510254000001</v>
      </c>
      <c r="H703">
        <v>1555.7758789</v>
      </c>
      <c r="I703">
        <v>1055.0136719</v>
      </c>
      <c r="J703">
        <v>860.95465088000003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371.47847300000001</v>
      </c>
      <c r="B704" s="1">
        <f>DATE(2011,5,7) + TIME(11,29,0)</f>
        <v>40670.478472222225</v>
      </c>
      <c r="C704">
        <v>80</v>
      </c>
      <c r="D704">
        <v>79.950439453000001</v>
      </c>
      <c r="E704">
        <v>50</v>
      </c>
      <c r="F704">
        <v>48.487945557000003</v>
      </c>
      <c r="G704">
        <v>1688.6060791</v>
      </c>
      <c r="H704">
        <v>1559.8634033000001</v>
      </c>
      <c r="I704">
        <v>1050.9057617000001</v>
      </c>
      <c r="J704">
        <v>856.82403564000003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371.71035799999999</v>
      </c>
      <c r="B705" s="1">
        <f>DATE(2011,5,7) + TIME(17,2,54)</f>
        <v>40670.710347222222</v>
      </c>
      <c r="C705">
        <v>80</v>
      </c>
      <c r="D705">
        <v>79.953216553000004</v>
      </c>
      <c r="E705">
        <v>50</v>
      </c>
      <c r="F705">
        <v>48.459335326999998</v>
      </c>
      <c r="G705">
        <v>1692.5933838000001</v>
      </c>
      <c r="H705">
        <v>1563.8815918</v>
      </c>
      <c r="I705">
        <v>1046.8479004000001</v>
      </c>
      <c r="J705">
        <v>852.74316406000003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371.94839300000001</v>
      </c>
      <c r="B706" s="1">
        <f>DATE(2011,5,7) + TIME(22,45,41)</f>
        <v>40670.948391203703</v>
      </c>
      <c r="C706">
        <v>80</v>
      </c>
      <c r="D706">
        <v>79.955154418999996</v>
      </c>
      <c r="E706">
        <v>50</v>
      </c>
      <c r="F706">
        <v>48.430183411000002</v>
      </c>
      <c r="G706">
        <v>1696.5229492000001</v>
      </c>
      <c r="H706">
        <v>1567.8408202999999</v>
      </c>
      <c r="I706">
        <v>1042.8297118999999</v>
      </c>
      <c r="J706">
        <v>848.70147704999999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372.19335999999998</v>
      </c>
      <c r="B707" s="1">
        <f>DATE(2011,5,8) + TIME(4,38,26)</f>
        <v>40671.193356481483</v>
      </c>
      <c r="C707">
        <v>80</v>
      </c>
      <c r="D707">
        <v>79.956428528000004</v>
      </c>
      <c r="E707">
        <v>50</v>
      </c>
      <c r="F707">
        <v>48.400417328000003</v>
      </c>
      <c r="G707">
        <v>1700.4040527</v>
      </c>
      <c r="H707">
        <v>1571.7507324000001</v>
      </c>
      <c r="I707">
        <v>1038.8409423999999</v>
      </c>
      <c r="J707">
        <v>844.68902588000003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372.446122</v>
      </c>
      <c r="B708" s="1">
        <f>DATE(2011,5,8) + TIME(10,42,24)</f>
        <v>40671.446111111109</v>
      </c>
      <c r="C708">
        <v>80</v>
      </c>
      <c r="D708">
        <v>79.957168578999998</v>
      </c>
      <c r="E708">
        <v>50</v>
      </c>
      <c r="F708">
        <v>48.369949341000002</v>
      </c>
      <c r="G708">
        <v>1704.2458495999999</v>
      </c>
      <c r="H708">
        <v>1575.6207274999999</v>
      </c>
      <c r="I708">
        <v>1034.8720702999999</v>
      </c>
      <c r="J708">
        <v>840.69598388999998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372.707784</v>
      </c>
      <c r="B709" s="1">
        <f>DATE(2011,5,8) + TIME(16,59,12)</f>
        <v>40671.707777777781</v>
      </c>
      <c r="C709">
        <v>80</v>
      </c>
      <c r="D709">
        <v>79.957489014000004</v>
      </c>
      <c r="E709">
        <v>50</v>
      </c>
      <c r="F709">
        <v>48.338676452999998</v>
      </c>
      <c r="G709">
        <v>1708.0589600000001</v>
      </c>
      <c r="H709">
        <v>1579.4616699000001</v>
      </c>
      <c r="I709">
        <v>1030.911499</v>
      </c>
      <c r="J709">
        <v>836.71069336000005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372.97936099999998</v>
      </c>
      <c r="B710" s="1">
        <f>DATE(2011,5,8) + TIME(23,30,16)</f>
        <v>40671.979351851849</v>
      </c>
      <c r="C710">
        <v>80</v>
      </c>
      <c r="D710">
        <v>79.957466124999996</v>
      </c>
      <c r="E710">
        <v>50</v>
      </c>
      <c r="F710">
        <v>48.306499481000003</v>
      </c>
      <c r="G710">
        <v>1711.8509521000001</v>
      </c>
      <c r="H710">
        <v>1583.28125</v>
      </c>
      <c r="I710">
        <v>1026.9508057</v>
      </c>
      <c r="J710">
        <v>832.72473145000004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373.26204100000001</v>
      </c>
      <c r="B711" s="1">
        <f>DATE(2011,5,9) + TIME(6,17,20)</f>
        <v>40672.262037037035</v>
      </c>
      <c r="C711">
        <v>80</v>
      </c>
      <c r="D711">
        <v>79.957176208000007</v>
      </c>
      <c r="E711">
        <v>50</v>
      </c>
      <c r="F711">
        <v>48.273303986000002</v>
      </c>
      <c r="G711">
        <v>1715.6292725000001</v>
      </c>
      <c r="H711">
        <v>1587.0872803</v>
      </c>
      <c r="I711">
        <v>1022.980957</v>
      </c>
      <c r="J711">
        <v>828.72894286999997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373.55724900000001</v>
      </c>
      <c r="B712" s="1">
        <f>DATE(2011,5,9) + TIME(13,22,26)</f>
        <v>40672.557245370372</v>
      </c>
      <c r="C712">
        <v>80</v>
      </c>
      <c r="D712">
        <v>79.956672667999996</v>
      </c>
      <c r="E712">
        <v>50</v>
      </c>
      <c r="F712">
        <v>48.238952636999997</v>
      </c>
      <c r="G712">
        <v>1719.4031981999999</v>
      </c>
      <c r="H712">
        <v>1590.8889160000001</v>
      </c>
      <c r="I712">
        <v>1018.9916992</v>
      </c>
      <c r="J712">
        <v>824.71295166000004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373.86402800000002</v>
      </c>
      <c r="B713" s="1">
        <f>DATE(2011,5,9) + TIME(20,44,12)</f>
        <v>40672.864027777781</v>
      </c>
      <c r="C713">
        <v>80</v>
      </c>
      <c r="D713">
        <v>79.956001282000003</v>
      </c>
      <c r="E713">
        <v>50</v>
      </c>
      <c r="F713">
        <v>48.203510283999996</v>
      </c>
      <c r="G713">
        <v>1723.1479492000001</v>
      </c>
      <c r="H713">
        <v>1594.6616211</v>
      </c>
      <c r="I713">
        <v>1015.0043945</v>
      </c>
      <c r="J713">
        <v>820.69836425999995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374.18395400000003</v>
      </c>
      <c r="B714" s="1">
        <f>DATE(2011,5,10) + TIME(4,24,53)</f>
        <v>40673.183946759258</v>
      </c>
      <c r="C714">
        <v>80</v>
      </c>
      <c r="D714">
        <v>79.955192565999994</v>
      </c>
      <c r="E714">
        <v>50</v>
      </c>
      <c r="F714">
        <v>48.166847228999998</v>
      </c>
      <c r="G714">
        <v>1726.8754882999999</v>
      </c>
      <c r="H714">
        <v>1598.4173584</v>
      </c>
      <c r="I714">
        <v>1011.0082397</v>
      </c>
      <c r="J714">
        <v>816.67407227000001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374.51881800000001</v>
      </c>
      <c r="B715" s="1">
        <f>DATE(2011,5,10) + TIME(12,27,5)</f>
        <v>40673.518807870372</v>
      </c>
      <c r="C715">
        <v>80</v>
      </c>
      <c r="D715">
        <v>79.954299926999994</v>
      </c>
      <c r="E715">
        <v>50</v>
      </c>
      <c r="F715">
        <v>48.128807068</v>
      </c>
      <c r="G715">
        <v>1730.5961914</v>
      </c>
      <c r="H715">
        <v>1602.166626</v>
      </c>
      <c r="I715">
        <v>1006.9918823</v>
      </c>
      <c r="J715">
        <v>812.62866211000005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374.861152</v>
      </c>
      <c r="B716" s="1">
        <f>DATE(2011,5,10) + TIME(20,40,3)</f>
        <v>40673.861145833333</v>
      </c>
      <c r="C716">
        <v>80</v>
      </c>
      <c r="D716">
        <v>79.953330993999998</v>
      </c>
      <c r="E716">
        <v>50</v>
      </c>
      <c r="F716">
        <v>48.089946746999999</v>
      </c>
      <c r="G716">
        <v>1734.2122803</v>
      </c>
      <c r="H716">
        <v>1605.8116454999999</v>
      </c>
      <c r="I716">
        <v>1003.0477905</v>
      </c>
      <c r="J716">
        <v>808.65539550999995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375.20486899999997</v>
      </c>
      <c r="B717" s="1">
        <f>DATE(2011,5,11) + TIME(4,55,0)</f>
        <v>40674.204861111109</v>
      </c>
      <c r="C717">
        <v>80</v>
      </c>
      <c r="D717">
        <v>79.952331543</v>
      </c>
      <c r="E717">
        <v>50</v>
      </c>
      <c r="F717">
        <v>48.050804137999997</v>
      </c>
      <c r="G717">
        <v>1737.6647949000001</v>
      </c>
      <c r="H717">
        <v>1609.2929687999999</v>
      </c>
      <c r="I717">
        <v>999.24090576000003</v>
      </c>
      <c r="J717">
        <v>804.81951904000005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375.551062</v>
      </c>
      <c r="B718" s="1">
        <f>DATE(2011,5,11) + TIME(13,13,31)</f>
        <v>40674.551053240742</v>
      </c>
      <c r="C718">
        <v>80</v>
      </c>
      <c r="D718">
        <v>79.951347350999995</v>
      </c>
      <c r="E718">
        <v>50</v>
      </c>
      <c r="F718">
        <v>48.011405945</v>
      </c>
      <c r="G718">
        <v>1740.9808350000001</v>
      </c>
      <c r="H718">
        <v>1612.637207</v>
      </c>
      <c r="I718">
        <v>995.55383300999995</v>
      </c>
      <c r="J718">
        <v>801.10308838000003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375.90070900000001</v>
      </c>
      <c r="B719" s="1">
        <f>DATE(2011,5,11) + TIME(21,37,1)</f>
        <v>40674.900706018518</v>
      </c>
      <c r="C719">
        <v>80</v>
      </c>
      <c r="D719">
        <v>79.950378418</v>
      </c>
      <c r="E719">
        <v>50</v>
      </c>
      <c r="F719">
        <v>47.971740723000003</v>
      </c>
      <c r="G719">
        <v>1744.1783447</v>
      </c>
      <c r="H719">
        <v>1615.8623047000001</v>
      </c>
      <c r="I719">
        <v>991.97131348000005</v>
      </c>
      <c r="J719">
        <v>797.49096680000002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376.25469900000002</v>
      </c>
      <c r="B720" s="1">
        <f>DATE(2011,5,12) + TIME(6,6,46)</f>
        <v>40675.254699074074</v>
      </c>
      <c r="C720">
        <v>80</v>
      </c>
      <c r="D720">
        <v>79.949432372999993</v>
      </c>
      <c r="E720">
        <v>50</v>
      </c>
      <c r="F720">
        <v>47.931777953999998</v>
      </c>
      <c r="G720">
        <v>1747.2706298999999</v>
      </c>
      <c r="H720">
        <v>1618.9816894999999</v>
      </c>
      <c r="I720">
        <v>988.48089600000003</v>
      </c>
      <c r="J720">
        <v>793.97076416000004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376.61399699999998</v>
      </c>
      <c r="B721" s="1">
        <f>DATE(2011,5,12) + TIME(14,44,9)</f>
        <v>40675.613993055558</v>
      </c>
      <c r="C721">
        <v>80</v>
      </c>
      <c r="D721">
        <v>79.948509216000005</v>
      </c>
      <c r="E721">
        <v>50</v>
      </c>
      <c r="F721">
        <v>47.891460418999998</v>
      </c>
      <c r="G721">
        <v>1750.2696533000001</v>
      </c>
      <c r="H721">
        <v>1622.0074463000001</v>
      </c>
      <c r="I721">
        <v>985.07080078000001</v>
      </c>
      <c r="J721">
        <v>790.53057861000002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376.97959200000003</v>
      </c>
      <c r="B722" s="1">
        <f>DATE(2011,5,12) + TIME(23,30,36)</f>
        <v>40675.979583333334</v>
      </c>
      <c r="C722">
        <v>80</v>
      </c>
      <c r="D722">
        <v>79.947616577000005</v>
      </c>
      <c r="E722">
        <v>50</v>
      </c>
      <c r="F722">
        <v>47.850711822999997</v>
      </c>
      <c r="G722">
        <v>1753.1855469</v>
      </c>
      <c r="H722">
        <v>1624.949707</v>
      </c>
      <c r="I722">
        <v>981.73059081999997</v>
      </c>
      <c r="J722">
        <v>787.16003418000003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377.35251499999998</v>
      </c>
      <c r="B723" s="1">
        <f>DATE(2011,5,13) + TIME(8,27,37)</f>
        <v>40676.352511574078</v>
      </c>
      <c r="C723">
        <v>80</v>
      </c>
      <c r="D723">
        <v>79.946746825999995</v>
      </c>
      <c r="E723">
        <v>50</v>
      </c>
      <c r="F723">
        <v>47.809452057000001</v>
      </c>
      <c r="G723">
        <v>1756.0274658000001</v>
      </c>
      <c r="H723">
        <v>1627.8178711</v>
      </c>
      <c r="I723">
        <v>978.45068359000004</v>
      </c>
      <c r="J723">
        <v>783.84942626999998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377.73386099999999</v>
      </c>
      <c r="B724" s="1">
        <f>DATE(2011,5,13) + TIME(17,36,45)</f>
        <v>40676.733854166669</v>
      </c>
      <c r="C724">
        <v>80</v>
      </c>
      <c r="D724">
        <v>79.945907593000001</v>
      </c>
      <c r="E724">
        <v>50</v>
      </c>
      <c r="F724">
        <v>47.767585754000002</v>
      </c>
      <c r="G724">
        <v>1758.8035889</v>
      </c>
      <c r="H724">
        <v>1630.6199951000001</v>
      </c>
      <c r="I724">
        <v>975.22229003999996</v>
      </c>
      <c r="J724">
        <v>780.58996581999997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378.12480199999999</v>
      </c>
      <c r="B725" s="1">
        <f>DATE(2011,5,14) + TIME(2,59,42)</f>
        <v>40677.124791666669</v>
      </c>
      <c r="C725">
        <v>80</v>
      </c>
      <c r="D725">
        <v>79.945083617999998</v>
      </c>
      <c r="E725">
        <v>50</v>
      </c>
      <c r="F725">
        <v>47.725013732999997</v>
      </c>
      <c r="G725">
        <v>1761.5213623</v>
      </c>
      <c r="H725">
        <v>1633.3635254000001</v>
      </c>
      <c r="I725">
        <v>972.03735352000001</v>
      </c>
      <c r="J725">
        <v>777.37347411999997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378.52429100000001</v>
      </c>
      <c r="B726" s="1">
        <f>DATE(2011,5,14) + TIME(12,34,58)</f>
        <v>40677.524282407408</v>
      </c>
      <c r="C726">
        <v>80</v>
      </c>
      <c r="D726">
        <v>79.944282532000003</v>
      </c>
      <c r="E726">
        <v>50</v>
      </c>
      <c r="F726">
        <v>47.681785583</v>
      </c>
      <c r="G726">
        <v>1764.1707764</v>
      </c>
      <c r="H726">
        <v>1636.0386963000001</v>
      </c>
      <c r="I726">
        <v>968.90533446999996</v>
      </c>
      <c r="J726">
        <v>774.20959473000005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378.93196599999999</v>
      </c>
      <c r="B727" s="1">
        <f>DATE(2011,5,14) + TIME(22,22,1)</f>
        <v>40677.931956018518</v>
      </c>
      <c r="C727">
        <v>80</v>
      </c>
      <c r="D727">
        <v>79.943511963000006</v>
      </c>
      <c r="E727">
        <v>50</v>
      </c>
      <c r="F727">
        <v>47.637920379999997</v>
      </c>
      <c r="G727">
        <v>1766.7493896000001</v>
      </c>
      <c r="H727">
        <v>1638.6430664</v>
      </c>
      <c r="I727">
        <v>965.82977295000001</v>
      </c>
      <c r="J727">
        <v>771.10168456999997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379.34924699999999</v>
      </c>
      <c r="B728" s="1">
        <f>DATE(2011,5,15) + TIME(8,22,54)</f>
        <v>40678.349236111113</v>
      </c>
      <c r="C728">
        <v>80</v>
      </c>
      <c r="D728">
        <v>79.942764281999999</v>
      </c>
      <c r="E728">
        <v>50</v>
      </c>
      <c r="F728">
        <v>47.593334198000001</v>
      </c>
      <c r="G728">
        <v>1769.2673339999999</v>
      </c>
      <c r="H728">
        <v>1641.1862793</v>
      </c>
      <c r="I728">
        <v>962.80126953000001</v>
      </c>
      <c r="J728">
        <v>768.04034423999997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379.777852</v>
      </c>
      <c r="B729" s="1">
        <f>DATE(2011,5,15) + TIME(18,40,6)</f>
        <v>40678.77784722222</v>
      </c>
      <c r="C729">
        <v>80</v>
      </c>
      <c r="D729">
        <v>79.942039489999999</v>
      </c>
      <c r="E729">
        <v>50</v>
      </c>
      <c r="F729">
        <v>47.547897339000002</v>
      </c>
      <c r="G729">
        <v>1771.7337646000001</v>
      </c>
      <c r="H729">
        <v>1643.6781006000001</v>
      </c>
      <c r="I729">
        <v>959.80975341999999</v>
      </c>
      <c r="J729">
        <v>765.01538086000005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380.21941800000002</v>
      </c>
      <c r="B730" s="1">
        <f>DATE(2011,5,16) + TIME(5,15,57)</f>
        <v>40679.219409722224</v>
      </c>
      <c r="C730">
        <v>80</v>
      </c>
      <c r="D730">
        <v>79.941337584999999</v>
      </c>
      <c r="E730">
        <v>50</v>
      </c>
      <c r="F730">
        <v>47.501472473</v>
      </c>
      <c r="G730">
        <v>1774.1557617000001</v>
      </c>
      <c r="H730">
        <v>1646.1253661999999</v>
      </c>
      <c r="I730">
        <v>956.84729003999996</v>
      </c>
      <c r="J730">
        <v>762.01867675999995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380.67571199999998</v>
      </c>
      <c r="B731" s="1">
        <f>DATE(2011,5,16) + TIME(16,13,1)</f>
        <v>40679.675706018519</v>
      </c>
      <c r="C731">
        <v>80</v>
      </c>
      <c r="D731">
        <v>79.940658568999993</v>
      </c>
      <c r="E731">
        <v>50</v>
      </c>
      <c r="F731">
        <v>47.453918457</v>
      </c>
      <c r="G731">
        <v>1776.5393065999999</v>
      </c>
      <c r="H731">
        <v>1648.5340576000001</v>
      </c>
      <c r="I731">
        <v>953.90643310999997</v>
      </c>
      <c r="J731">
        <v>759.04272461000005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381.14889399999998</v>
      </c>
      <c r="B732" s="1">
        <f>DATE(2011,5,17) + TIME(3,34,24)</f>
        <v>40680.148888888885</v>
      </c>
      <c r="C732">
        <v>80</v>
      </c>
      <c r="D732">
        <v>79.939994811999995</v>
      </c>
      <c r="E732">
        <v>50</v>
      </c>
      <c r="F732">
        <v>47.405059813999998</v>
      </c>
      <c r="G732">
        <v>1778.8908690999999</v>
      </c>
      <c r="H732">
        <v>1650.9111327999999</v>
      </c>
      <c r="I732">
        <v>950.97894286999997</v>
      </c>
      <c r="J732">
        <v>756.07922363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381.64145100000002</v>
      </c>
      <c r="B733" s="1">
        <f>DATE(2011,5,17) + TIME(15,23,41)</f>
        <v>40680.641446759262</v>
      </c>
      <c r="C733">
        <v>80</v>
      </c>
      <c r="D733">
        <v>79.939353943</v>
      </c>
      <c r="E733">
        <v>50</v>
      </c>
      <c r="F733">
        <v>47.354686737000002</v>
      </c>
      <c r="G733">
        <v>1781.2171631000001</v>
      </c>
      <c r="H733">
        <v>1653.2630615</v>
      </c>
      <c r="I733">
        <v>948.05645751999998</v>
      </c>
      <c r="J733">
        <v>753.11956786999997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381.89316300000002</v>
      </c>
      <c r="B734" s="1">
        <f>DATE(2011,5,17) + TIME(21,26,9)</f>
        <v>40680.893159722225</v>
      </c>
      <c r="C734">
        <v>80</v>
      </c>
      <c r="D734">
        <v>79.938743591000005</v>
      </c>
      <c r="E734">
        <v>50</v>
      </c>
      <c r="F734">
        <v>47.322517394999998</v>
      </c>
      <c r="G734">
        <v>1782.2445068</v>
      </c>
      <c r="H734">
        <v>1654.3115233999999</v>
      </c>
      <c r="I734">
        <v>946.5625</v>
      </c>
      <c r="J734">
        <v>751.61413574000005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382.14487500000001</v>
      </c>
      <c r="B735" s="1">
        <f>DATE(2011,5,18) + TIME(3,28,37)</f>
        <v>40681.144872685189</v>
      </c>
      <c r="C735">
        <v>80</v>
      </c>
      <c r="D735">
        <v>79.938316345000004</v>
      </c>
      <c r="E735">
        <v>50</v>
      </c>
      <c r="F735">
        <v>47.291866302000003</v>
      </c>
      <c r="G735">
        <v>1783.2905272999999</v>
      </c>
      <c r="H735">
        <v>1655.3734131000001</v>
      </c>
      <c r="I735">
        <v>945.12365723000005</v>
      </c>
      <c r="J735">
        <v>750.15063477000001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382.39658700000001</v>
      </c>
      <c r="B736" s="1">
        <f>DATE(2011,5,18) + TIME(9,31,5)</f>
        <v>40681.396585648145</v>
      </c>
      <c r="C736">
        <v>80</v>
      </c>
      <c r="D736">
        <v>79.938003539999997</v>
      </c>
      <c r="E736">
        <v>50</v>
      </c>
      <c r="F736">
        <v>47.262355804000002</v>
      </c>
      <c r="G736">
        <v>1784.340332</v>
      </c>
      <c r="H736">
        <v>1656.4368896000001</v>
      </c>
      <c r="I736">
        <v>943.71667479999996</v>
      </c>
      <c r="J736">
        <v>748.71966553000004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382.64829900000001</v>
      </c>
      <c r="B737" s="1">
        <f>DATE(2011,5,18) + TIME(15,33,33)</f>
        <v>40681.648298611108</v>
      </c>
      <c r="C737">
        <v>80</v>
      </c>
      <c r="D737">
        <v>79.937736510999997</v>
      </c>
      <c r="E737">
        <v>50</v>
      </c>
      <c r="F737">
        <v>47.233715056999998</v>
      </c>
      <c r="G737">
        <v>1785.3782959</v>
      </c>
      <c r="H737">
        <v>1657.4876709</v>
      </c>
      <c r="I737">
        <v>942.33892821999996</v>
      </c>
      <c r="J737">
        <v>747.31909180000002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382.900012</v>
      </c>
      <c r="B738" s="1">
        <f>DATE(2011,5,18) + TIME(21,36,0)</f>
        <v>40681.9</v>
      </c>
      <c r="C738">
        <v>80</v>
      </c>
      <c r="D738">
        <v>79.937492371000005</v>
      </c>
      <c r="E738">
        <v>50</v>
      </c>
      <c r="F738">
        <v>47.205753326</v>
      </c>
      <c r="G738">
        <v>1786.3975829999999</v>
      </c>
      <c r="H738">
        <v>1658.5194091999999</v>
      </c>
      <c r="I738">
        <v>940.98962401999995</v>
      </c>
      <c r="J738">
        <v>745.94775390999996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383.403436</v>
      </c>
      <c r="B739" s="1">
        <f>DATE(2011,5,19) + TIME(9,40,56)</f>
        <v>40682.403425925928</v>
      </c>
      <c r="C739">
        <v>80</v>
      </c>
      <c r="D739">
        <v>79.937339782999999</v>
      </c>
      <c r="E739">
        <v>50</v>
      </c>
      <c r="F739">
        <v>47.161872864000003</v>
      </c>
      <c r="G739">
        <v>1788.5159911999999</v>
      </c>
      <c r="H739">
        <v>1660.6525879000001</v>
      </c>
      <c r="I739">
        <v>938.43493651999995</v>
      </c>
      <c r="J739">
        <v>743.34906006000006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383.90788400000002</v>
      </c>
      <c r="B740" s="1">
        <f>DATE(2011,5,19) + TIME(21,47,21)</f>
        <v>40682.907881944448</v>
      </c>
      <c r="C740">
        <v>80</v>
      </c>
      <c r="D740">
        <v>79.936920165999993</v>
      </c>
      <c r="E740">
        <v>50</v>
      </c>
      <c r="F740">
        <v>47.11492157</v>
      </c>
      <c r="G740">
        <v>1790.4510498</v>
      </c>
      <c r="H740">
        <v>1662.6091309000001</v>
      </c>
      <c r="I740">
        <v>935.94818114999998</v>
      </c>
      <c r="J740">
        <v>740.83032227000001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384.41602599999999</v>
      </c>
      <c r="B741" s="1">
        <f>DATE(2011,5,20) + TIME(9,59,4)</f>
        <v>40683.416018518517</v>
      </c>
      <c r="C741">
        <v>80</v>
      </c>
      <c r="D741">
        <v>79.936431885000005</v>
      </c>
      <c r="E741">
        <v>50</v>
      </c>
      <c r="F741">
        <v>47.066059113000001</v>
      </c>
      <c r="G741">
        <v>1792.2711182</v>
      </c>
      <c r="H741">
        <v>1664.4517822</v>
      </c>
      <c r="I741">
        <v>933.53875731999995</v>
      </c>
      <c r="J741">
        <v>738.38641356999995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384.92949599999997</v>
      </c>
      <c r="B742" s="1">
        <f>DATE(2011,5,20) + TIME(22,18,28)</f>
        <v>40683.929490740738</v>
      </c>
      <c r="C742">
        <v>80</v>
      </c>
      <c r="D742">
        <v>79.935951232999997</v>
      </c>
      <c r="E742">
        <v>50</v>
      </c>
      <c r="F742">
        <v>47.015911101999997</v>
      </c>
      <c r="G742">
        <v>1794.0084228999999</v>
      </c>
      <c r="H742">
        <v>1666.2114257999999</v>
      </c>
      <c r="I742">
        <v>931.19757079999999</v>
      </c>
      <c r="J742">
        <v>736.00891113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385.44986399999999</v>
      </c>
      <c r="B743" s="1">
        <f>DATE(2011,5,21) + TIME(10,47,48)</f>
        <v>40684.449861111112</v>
      </c>
      <c r="C743">
        <v>80</v>
      </c>
      <c r="D743">
        <v>79.935501099000007</v>
      </c>
      <c r="E743">
        <v>50</v>
      </c>
      <c r="F743">
        <v>46.964790344000001</v>
      </c>
      <c r="G743">
        <v>1795.6778564000001</v>
      </c>
      <c r="H743">
        <v>1667.9030762</v>
      </c>
      <c r="I743">
        <v>928.91625977000001</v>
      </c>
      <c r="J743">
        <v>733.68988036999997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385.97872000000001</v>
      </c>
      <c r="B744" s="1">
        <f>DATE(2011,5,21) + TIME(23,29,21)</f>
        <v>40684.978715277779</v>
      </c>
      <c r="C744">
        <v>80</v>
      </c>
      <c r="D744">
        <v>79.935073853000006</v>
      </c>
      <c r="E744">
        <v>50</v>
      </c>
      <c r="F744">
        <v>46.912834167</v>
      </c>
      <c r="G744">
        <v>1797.2890625</v>
      </c>
      <c r="H744">
        <v>1669.5358887</v>
      </c>
      <c r="I744">
        <v>926.68743896000001</v>
      </c>
      <c r="J744">
        <v>731.42224121000004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386.517742</v>
      </c>
      <c r="B745" s="1">
        <f>DATE(2011,5,22) + TIME(12,25,32)</f>
        <v>40685.517731481479</v>
      </c>
      <c r="C745">
        <v>80</v>
      </c>
      <c r="D745">
        <v>79.934677124000004</v>
      </c>
      <c r="E745">
        <v>50</v>
      </c>
      <c r="F745">
        <v>46.860054015999999</v>
      </c>
      <c r="G745">
        <v>1798.8486327999999</v>
      </c>
      <c r="H745">
        <v>1671.1170654</v>
      </c>
      <c r="I745">
        <v>924.50433350000003</v>
      </c>
      <c r="J745">
        <v>729.19927978999999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387.068735</v>
      </c>
      <c r="B746" s="1">
        <f>DATE(2011,5,23) + TIME(1,38,58)</f>
        <v>40686.068726851852</v>
      </c>
      <c r="C746">
        <v>80</v>
      </c>
      <c r="D746">
        <v>79.934295653999996</v>
      </c>
      <c r="E746">
        <v>50</v>
      </c>
      <c r="F746">
        <v>46.806388855000002</v>
      </c>
      <c r="G746">
        <v>1800.3623047000001</v>
      </c>
      <c r="H746">
        <v>1672.6520995999999</v>
      </c>
      <c r="I746">
        <v>922.36077881000006</v>
      </c>
      <c r="J746">
        <v>727.01489258000004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387.63374299999998</v>
      </c>
      <c r="B747" s="1">
        <f>DATE(2011,5,23) + TIME(15,12,35)</f>
        <v>40686.633738425924</v>
      </c>
      <c r="C747">
        <v>80</v>
      </c>
      <c r="D747">
        <v>79.933944702000005</v>
      </c>
      <c r="E747">
        <v>50</v>
      </c>
      <c r="F747">
        <v>46.751735687</v>
      </c>
      <c r="G747">
        <v>1801.8350829999999</v>
      </c>
      <c r="H747">
        <v>1674.1459961</v>
      </c>
      <c r="I747">
        <v>920.25054932</v>
      </c>
      <c r="J747">
        <v>724.86273193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388.21526399999999</v>
      </c>
      <c r="B748" s="1">
        <f>DATE(2011,5,24) + TIME(5,9,58)</f>
        <v>40687.215254629627</v>
      </c>
      <c r="C748">
        <v>80</v>
      </c>
      <c r="D748">
        <v>79.933601378999995</v>
      </c>
      <c r="E748">
        <v>50</v>
      </c>
      <c r="F748">
        <v>46.695919037000003</v>
      </c>
      <c r="G748">
        <v>1803.2720947</v>
      </c>
      <c r="H748">
        <v>1675.6040039</v>
      </c>
      <c r="I748">
        <v>918.16711425999995</v>
      </c>
      <c r="J748">
        <v>722.73608397999999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388.81541399999998</v>
      </c>
      <c r="B749" s="1">
        <f>DATE(2011,5,24) + TIME(19,34,11)</f>
        <v>40687.815405092595</v>
      </c>
      <c r="C749">
        <v>80</v>
      </c>
      <c r="D749">
        <v>79.933280945000007</v>
      </c>
      <c r="E749">
        <v>50</v>
      </c>
      <c r="F749">
        <v>46.638774871999999</v>
      </c>
      <c r="G749">
        <v>1804.6759033000001</v>
      </c>
      <c r="H749">
        <v>1677.0288086</v>
      </c>
      <c r="I749">
        <v>916.10614013999998</v>
      </c>
      <c r="J749">
        <v>720.63055420000001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389.43700799999999</v>
      </c>
      <c r="B750" s="1">
        <f>DATE(2011,5,25) + TIME(10,29,17)</f>
        <v>40688.437002314815</v>
      </c>
      <c r="C750">
        <v>80</v>
      </c>
      <c r="D750">
        <v>79.93296814</v>
      </c>
      <c r="E750">
        <v>50</v>
      </c>
      <c r="F750">
        <v>46.580093384000001</v>
      </c>
      <c r="G750">
        <v>1806.0500488</v>
      </c>
      <c r="H750">
        <v>1678.4241943</v>
      </c>
      <c r="I750">
        <v>914.06231689000003</v>
      </c>
      <c r="J750">
        <v>718.54052734000004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390.07928700000002</v>
      </c>
      <c r="B751" s="1">
        <f>DATE(2011,5,26) + TIME(1,54,10)</f>
        <v>40689.079282407409</v>
      </c>
      <c r="C751">
        <v>80</v>
      </c>
      <c r="D751">
        <v>79.932670592999997</v>
      </c>
      <c r="E751">
        <v>50</v>
      </c>
      <c r="F751">
        <v>46.519828795999999</v>
      </c>
      <c r="G751">
        <v>1807.3880615</v>
      </c>
      <c r="H751">
        <v>1679.7833252</v>
      </c>
      <c r="I751">
        <v>912.04162598000005</v>
      </c>
      <c r="J751">
        <v>716.47210693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390.40051</v>
      </c>
      <c r="B752" s="1">
        <f>DATE(2011,5,26) + TIME(9,36,44)</f>
        <v>40689.400509259256</v>
      </c>
      <c r="C752">
        <v>80</v>
      </c>
      <c r="D752">
        <v>79.932289123999993</v>
      </c>
      <c r="E752">
        <v>50</v>
      </c>
      <c r="F752">
        <v>46.480365753000001</v>
      </c>
      <c r="G752">
        <v>1807.9256591999999</v>
      </c>
      <c r="H752">
        <v>1680.3380127</v>
      </c>
      <c r="I752">
        <v>911.00866699000005</v>
      </c>
      <c r="J752">
        <v>715.42150878999996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390.72173299999997</v>
      </c>
      <c r="B753" s="1">
        <f>DATE(2011,5,26) + TIME(17,19,17)</f>
        <v>40689.721724537034</v>
      </c>
      <c r="C753">
        <v>80</v>
      </c>
      <c r="D753">
        <v>79.932052612000007</v>
      </c>
      <c r="E753">
        <v>50</v>
      </c>
      <c r="F753">
        <v>46.443531036000003</v>
      </c>
      <c r="G753">
        <v>1808.4790039</v>
      </c>
      <c r="H753">
        <v>1680.9041748</v>
      </c>
      <c r="I753">
        <v>910.02941895000004</v>
      </c>
      <c r="J753">
        <v>714.40924071999996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391.042957</v>
      </c>
      <c r="B754" s="1">
        <f>DATE(2011,5,27) + TIME(1,1,51)</f>
        <v>40690.042951388888</v>
      </c>
      <c r="C754">
        <v>80</v>
      </c>
      <c r="D754">
        <v>79.931907654</v>
      </c>
      <c r="E754">
        <v>50</v>
      </c>
      <c r="F754">
        <v>46.408535004000001</v>
      </c>
      <c r="G754">
        <v>1809.0427245999999</v>
      </c>
      <c r="H754">
        <v>1681.4787598</v>
      </c>
      <c r="I754">
        <v>909.07397461000005</v>
      </c>
      <c r="J754">
        <v>713.42254638999998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391.68540300000001</v>
      </c>
      <c r="B755" s="1">
        <f>DATE(2011,5,27) + TIME(16,26,58)</f>
        <v>40690.685393518521</v>
      </c>
      <c r="C755">
        <v>80</v>
      </c>
      <c r="D755">
        <v>79.931961060000006</v>
      </c>
      <c r="E755">
        <v>50</v>
      </c>
      <c r="F755">
        <v>46.356597899999997</v>
      </c>
      <c r="G755">
        <v>1810.2946777</v>
      </c>
      <c r="H755">
        <v>1682.7435303</v>
      </c>
      <c r="I755">
        <v>907.29840088000003</v>
      </c>
      <c r="J755">
        <v>711.59088135000002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392.32786399999998</v>
      </c>
      <c r="B756" s="1">
        <f>DATE(2011,5,28) + TIME(7,52,7)</f>
        <v>40691.3278587963</v>
      </c>
      <c r="C756">
        <v>80</v>
      </c>
      <c r="D756">
        <v>79.931800842000001</v>
      </c>
      <c r="E756">
        <v>50</v>
      </c>
      <c r="F756">
        <v>46.300613403</v>
      </c>
      <c r="G756">
        <v>1811.4168701000001</v>
      </c>
      <c r="H756">
        <v>1683.8836670000001</v>
      </c>
      <c r="I756">
        <v>905.56298828000001</v>
      </c>
      <c r="J756">
        <v>709.81225586000005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392.97421700000001</v>
      </c>
      <c r="B757" s="1">
        <f>DATE(2011,5,28) + TIME(23,22,52)</f>
        <v>40691.974212962959</v>
      </c>
      <c r="C757">
        <v>80</v>
      </c>
      <c r="D757">
        <v>79.931571959999999</v>
      </c>
      <c r="E757">
        <v>50</v>
      </c>
      <c r="F757">
        <v>46.242397308000001</v>
      </c>
      <c r="G757">
        <v>1812.4533690999999</v>
      </c>
      <c r="H757">
        <v>1684.9388428</v>
      </c>
      <c r="I757">
        <v>903.88720703000001</v>
      </c>
      <c r="J757">
        <v>708.08953856999995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393.626599</v>
      </c>
      <c r="B758" s="1">
        <f>DATE(2011,5,29) + TIME(15,2,18)</f>
        <v>40692.626597222225</v>
      </c>
      <c r="C758">
        <v>80</v>
      </c>
      <c r="D758">
        <v>79.931350707999997</v>
      </c>
      <c r="E758">
        <v>50</v>
      </c>
      <c r="F758">
        <v>46.182807922000002</v>
      </c>
      <c r="G758">
        <v>1813.4279785000001</v>
      </c>
      <c r="H758">
        <v>1685.9318848</v>
      </c>
      <c r="I758">
        <v>902.26477050999995</v>
      </c>
      <c r="J758">
        <v>706.41748046999999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394.28706599999998</v>
      </c>
      <c r="B759" s="1">
        <f>DATE(2011,5,30) + TIME(6,53,22)</f>
        <v>40693.287060185183</v>
      </c>
      <c r="C759">
        <v>80</v>
      </c>
      <c r="D759">
        <v>79.931137085000003</v>
      </c>
      <c r="E759">
        <v>50</v>
      </c>
      <c r="F759">
        <v>46.122238158999998</v>
      </c>
      <c r="G759">
        <v>1814.3516846</v>
      </c>
      <c r="H759">
        <v>1686.8737793</v>
      </c>
      <c r="I759">
        <v>900.68975829999999</v>
      </c>
      <c r="J759">
        <v>704.79083251999998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394.95771200000001</v>
      </c>
      <c r="B760" s="1">
        <f>DATE(2011,5,30) + TIME(22,59,6)</f>
        <v>40693.957708333335</v>
      </c>
      <c r="C760">
        <v>80</v>
      </c>
      <c r="D760">
        <v>79.930938721000004</v>
      </c>
      <c r="E760">
        <v>50</v>
      </c>
      <c r="F760">
        <v>46.060802459999998</v>
      </c>
      <c r="G760">
        <v>1815.2310791</v>
      </c>
      <c r="H760">
        <v>1687.770874</v>
      </c>
      <c r="I760">
        <v>899.15686034999999</v>
      </c>
      <c r="J760">
        <v>703.20440673999997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395.64073000000002</v>
      </c>
      <c r="B761" s="1">
        <f>DATE(2011,5,31) + TIME(15,22,39)</f>
        <v>40694.640729166669</v>
      </c>
      <c r="C761">
        <v>80</v>
      </c>
      <c r="D761">
        <v>79.930763244999994</v>
      </c>
      <c r="E761">
        <v>50</v>
      </c>
      <c r="F761">
        <v>45.998481750000003</v>
      </c>
      <c r="G761">
        <v>1816.0701904</v>
      </c>
      <c r="H761">
        <v>1688.6275635</v>
      </c>
      <c r="I761">
        <v>897.66113281000003</v>
      </c>
      <c r="J761">
        <v>701.65344238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396</v>
      </c>
      <c r="B762" s="1">
        <f>DATE(2011,6,1) + TIME(0,0,0)</f>
        <v>40695</v>
      </c>
      <c r="C762">
        <v>80</v>
      </c>
      <c r="D762">
        <v>79.930488585999996</v>
      </c>
      <c r="E762">
        <v>50</v>
      </c>
      <c r="F762">
        <v>45.956054688000002</v>
      </c>
      <c r="G762">
        <v>1816.4073486</v>
      </c>
      <c r="H762">
        <v>1688.9788818</v>
      </c>
      <c r="I762">
        <v>896.84393310999997</v>
      </c>
      <c r="J762">
        <v>700.81048583999996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396.69773400000003</v>
      </c>
      <c r="B763" s="1">
        <f>DATE(2011,6,1) + TIME(16,44,44)</f>
        <v>40695.697731481479</v>
      </c>
      <c r="C763">
        <v>80</v>
      </c>
      <c r="D763">
        <v>79.930473328000005</v>
      </c>
      <c r="E763">
        <v>50</v>
      </c>
      <c r="F763">
        <v>45.897205352999997</v>
      </c>
      <c r="G763">
        <v>1817.2210693</v>
      </c>
      <c r="H763">
        <v>1689.8059082</v>
      </c>
      <c r="I763">
        <v>895.44927978999999</v>
      </c>
      <c r="J763">
        <v>699.34692383000004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397.42332599999997</v>
      </c>
      <c r="B764" s="1">
        <f>DATE(2011,6,2) + TIME(10,9,35)</f>
        <v>40696.423321759263</v>
      </c>
      <c r="C764">
        <v>80</v>
      </c>
      <c r="D764">
        <v>79.930389403999996</v>
      </c>
      <c r="E764">
        <v>50</v>
      </c>
      <c r="F764">
        <v>45.834659576</v>
      </c>
      <c r="G764">
        <v>1817.9996338000001</v>
      </c>
      <c r="H764">
        <v>1690.6005858999999</v>
      </c>
      <c r="I764">
        <v>894.03161621000004</v>
      </c>
      <c r="J764">
        <v>697.87200928000004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398.17062900000002</v>
      </c>
      <c r="B765" s="1">
        <f>DATE(2011,6,3) + TIME(4,5,42)</f>
        <v>40697.170624999999</v>
      </c>
      <c r="C765">
        <v>80</v>
      </c>
      <c r="D765">
        <v>79.930252074999999</v>
      </c>
      <c r="E765">
        <v>50</v>
      </c>
      <c r="F765">
        <v>45.769348145000002</v>
      </c>
      <c r="G765">
        <v>1818.7316894999999</v>
      </c>
      <c r="H765">
        <v>1691.3496094</v>
      </c>
      <c r="I765">
        <v>892.63336182</v>
      </c>
      <c r="J765">
        <v>696.41290283000001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398.943083</v>
      </c>
      <c r="B766" s="1">
        <f>DATE(2011,6,3) + TIME(22,38,2)</f>
        <v>40697.943078703705</v>
      </c>
      <c r="C766">
        <v>80</v>
      </c>
      <c r="D766">
        <v>79.930122374999996</v>
      </c>
      <c r="E766">
        <v>50</v>
      </c>
      <c r="F766">
        <v>45.701606750000003</v>
      </c>
      <c r="G766">
        <v>1819.4276123</v>
      </c>
      <c r="H766">
        <v>1692.0625</v>
      </c>
      <c r="I766">
        <v>891.25280762</v>
      </c>
      <c r="J766">
        <v>694.96740723000005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399.71816000000001</v>
      </c>
      <c r="B767" s="1">
        <f>DATE(2011,6,4) + TIME(17,14,9)</f>
        <v>40698.718159722222</v>
      </c>
      <c r="C767">
        <v>80</v>
      </c>
      <c r="D767">
        <v>79.929977417000003</v>
      </c>
      <c r="E767">
        <v>50</v>
      </c>
      <c r="F767">
        <v>45.632610321000001</v>
      </c>
      <c r="G767">
        <v>1820.0625</v>
      </c>
      <c r="H767">
        <v>1692.7143555</v>
      </c>
      <c r="I767">
        <v>889.92449951000003</v>
      </c>
      <c r="J767">
        <v>693.57208251999998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400.49669</v>
      </c>
      <c r="B768" s="1">
        <f>DATE(2011,6,5) + TIME(11,55,14)</f>
        <v>40699.496689814812</v>
      </c>
      <c r="C768">
        <v>80</v>
      </c>
      <c r="D768">
        <v>79.929847717000001</v>
      </c>
      <c r="E768">
        <v>50</v>
      </c>
      <c r="F768">
        <v>45.562942505000002</v>
      </c>
      <c r="G768">
        <v>1820.6452637</v>
      </c>
      <c r="H768">
        <v>1693.3137207</v>
      </c>
      <c r="I768">
        <v>888.64746093999997</v>
      </c>
      <c r="J768">
        <v>692.22534180000002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401.28105599999998</v>
      </c>
      <c r="B769" s="1">
        <f>DATE(2011,6,6) + TIME(6,44,43)</f>
        <v>40700.281053240738</v>
      </c>
      <c r="C769">
        <v>80</v>
      </c>
      <c r="D769">
        <v>79.929733275999993</v>
      </c>
      <c r="E769">
        <v>50</v>
      </c>
      <c r="F769">
        <v>45.492774963000002</v>
      </c>
      <c r="G769">
        <v>1821.1829834</v>
      </c>
      <c r="H769">
        <v>1693.8676757999999</v>
      </c>
      <c r="I769">
        <v>887.41619873000002</v>
      </c>
      <c r="J769">
        <v>690.92199706999997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402.07334600000002</v>
      </c>
      <c r="B770" s="1">
        <f>DATE(2011,6,7) + TIME(1,45,37)</f>
        <v>40701.073344907411</v>
      </c>
      <c r="C770">
        <v>80</v>
      </c>
      <c r="D770">
        <v>79.929634093999994</v>
      </c>
      <c r="E770">
        <v>50</v>
      </c>
      <c r="F770">
        <v>45.422103882000002</v>
      </c>
      <c r="G770">
        <v>1821.6798096</v>
      </c>
      <c r="H770">
        <v>1694.380249</v>
      </c>
      <c r="I770">
        <v>886.22607421999999</v>
      </c>
      <c r="J770">
        <v>689.65747069999998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402.87052199999999</v>
      </c>
      <c r="B771" s="1">
        <f>DATE(2011,6,7) + TIME(20,53,33)</f>
        <v>40701.870520833334</v>
      </c>
      <c r="C771">
        <v>80</v>
      </c>
      <c r="D771">
        <v>79.929542541999993</v>
      </c>
      <c r="E771">
        <v>50</v>
      </c>
      <c r="F771">
        <v>45.351043701000002</v>
      </c>
      <c r="G771">
        <v>1822.1343993999999</v>
      </c>
      <c r="H771">
        <v>1694.8502197</v>
      </c>
      <c r="I771">
        <v>885.07879638999998</v>
      </c>
      <c r="J771">
        <v>688.43359375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403.67509899999999</v>
      </c>
      <c r="B772" s="1">
        <f>DATE(2011,6,8) + TIME(16,12,8)</f>
        <v>40702.675092592595</v>
      </c>
      <c r="C772">
        <v>80</v>
      </c>
      <c r="D772">
        <v>79.929466247999997</v>
      </c>
      <c r="E772">
        <v>50</v>
      </c>
      <c r="F772">
        <v>45.279541016000003</v>
      </c>
      <c r="G772">
        <v>1822.5507812000001</v>
      </c>
      <c r="H772">
        <v>1695.2817382999999</v>
      </c>
      <c r="I772">
        <v>883.96978760000002</v>
      </c>
      <c r="J772">
        <v>687.24554443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404.48962499999999</v>
      </c>
      <c r="B773" s="1">
        <f>DATE(2011,6,9) + TIME(11,45,3)</f>
        <v>40703.489618055559</v>
      </c>
      <c r="C773">
        <v>80</v>
      </c>
      <c r="D773">
        <v>79.929397582999997</v>
      </c>
      <c r="E773">
        <v>50</v>
      </c>
      <c r="F773">
        <v>45.207450866999999</v>
      </c>
      <c r="G773">
        <v>1822.932251</v>
      </c>
      <c r="H773">
        <v>1695.6779785000001</v>
      </c>
      <c r="I773">
        <v>882.89453125</v>
      </c>
      <c r="J773">
        <v>686.08856201000003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405.316733</v>
      </c>
      <c r="B774" s="1">
        <f>DATE(2011,6,10) + TIME(7,36,5)</f>
        <v>40704.316724537035</v>
      </c>
      <c r="C774">
        <v>80</v>
      </c>
      <c r="D774">
        <v>79.929336547999995</v>
      </c>
      <c r="E774">
        <v>50</v>
      </c>
      <c r="F774">
        <v>45.134571074999997</v>
      </c>
      <c r="G774">
        <v>1823.2810059000001</v>
      </c>
      <c r="H774">
        <v>1696.0411377</v>
      </c>
      <c r="I774">
        <v>881.84869385000002</v>
      </c>
      <c r="J774">
        <v>684.95788574000005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406.15920299999999</v>
      </c>
      <c r="B775" s="1">
        <f>DATE(2011,6,11) + TIME(3,49,15)</f>
        <v>40705.159201388888</v>
      </c>
      <c r="C775">
        <v>80</v>
      </c>
      <c r="D775">
        <v>79.929283142000003</v>
      </c>
      <c r="E775">
        <v>50</v>
      </c>
      <c r="F775">
        <v>45.060680388999998</v>
      </c>
      <c r="G775">
        <v>1823.5985106999999</v>
      </c>
      <c r="H775">
        <v>1696.3729248</v>
      </c>
      <c r="I775">
        <v>880.82830810999997</v>
      </c>
      <c r="J775">
        <v>683.84930420000001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407.01960000000003</v>
      </c>
      <c r="B776" s="1">
        <f>DATE(2011,6,12) + TIME(0,28,13)</f>
        <v>40706.019594907404</v>
      </c>
      <c r="C776">
        <v>80</v>
      </c>
      <c r="D776">
        <v>79.929237365999995</v>
      </c>
      <c r="E776">
        <v>50</v>
      </c>
      <c r="F776">
        <v>44.985542297000002</v>
      </c>
      <c r="G776">
        <v>1823.8858643000001</v>
      </c>
      <c r="H776">
        <v>1696.6743164</v>
      </c>
      <c r="I776">
        <v>879.83007812000005</v>
      </c>
      <c r="J776">
        <v>682.75891113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407.90058699999997</v>
      </c>
      <c r="B777" s="1">
        <f>DATE(2011,6,12) + TIME(21,36,50)</f>
        <v>40706.900578703702</v>
      </c>
      <c r="C777">
        <v>80</v>
      </c>
      <c r="D777">
        <v>79.929191588999998</v>
      </c>
      <c r="E777">
        <v>50</v>
      </c>
      <c r="F777">
        <v>44.908916472999998</v>
      </c>
      <c r="G777">
        <v>1824.1436768000001</v>
      </c>
      <c r="H777">
        <v>1696.9460449000001</v>
      </c>
      <c r="I777">
        <v>878.85095215000001</v>
      </c>
      <c r="J777">
        <v>681.68322753999996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408.79702800000001</v>
      </c>
      <c r="B778" s="1">
        <f>DATE(2011,6,13) + TIME(19,7,43)</f>
        <v>40707.797025462962</v>
      </c>
      <c r="C778">
        <v>80</v>
      </c>
      <c r="D778">
        <v>79.929161071999999</v>
      </c>
      <c r="E778">
        <v>50</v>
      </c>
      <c r="F778">
        <v>44.830863952999998</v>
      </c>
      <c r="G778">
        <v>1824.3682861</v>
      </c>
      <c r="H778">
        <v>1697.1844481999999</v>
      </c>
      <c r="I778">
        <v>877.89434814000003</v>
      </c>
      <c r="J778">
        <v>680.62567138999998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409.695403</v>
      </c>
      <c r="B779" s="1">
        <f>DATE(2011,6,14) + TIME(16,41,22)</f>
        <v>40708.695393518516</v>
      </c>
      <c r="C779">
        <v>80</v>
      </c>
      <c r="D779">
        <v>79.929122925000001</v>
      </c>
      <c r="E779">
        <v>50</v>
      </c>
      <c r="F779">
        <v>44.751991271999998</v>
      </c>
      <c r="G779">
        <v>1824.5541992000001</v>
      </c>
      <c r="H779">
        <v>1697.3839111</v>
      </c>
      <c r="I779">
        <v>876.97021484000004</v>
      </c>
      <c r="J779">
        <v>679.59674071999996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410.59836999999999</v>
      </c>
      <c r="B780" s="1">
        <f>DATE(2011,6,15) + TIME(14,21,39)</f>
        <v>40709.598368055558</v>
      </c>
      <c r="C780">
        <v>80</v>
      </c>
      <c r="D780">
        <v>79.929092406999999</v>
      </c>
      <c r="E780">
        <v>50</v>
      </c>
      <c r="F780">
        <v>44.672534943000002</v>
      </c>
      <c r="G780">
        <v>1824.7067870999999</v>
      </c>
      <c r="H780">
        <v>1697.5496826000001</v>
      </c>
      <c r="I780">
        <v>876.07635498000002</v>
      </c>
      <c r="J780">
        <v>678.59411621000004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411.50858499999998</v>
      </c>
      <c r="B781" s="1">
        <f>DATE(2011,6,16) + TIME(12,12,21)</f>
        <v>40710.508576388886</v>
      </c>
      <c r="C781">
        <v>80</v>
      </c>
      <c r="D781">
        <v>79.929069518999995</v>
      </c>
      <c r="E781">
        <v>50</v>
      </c>
      <c r="F781">
        <v>44.592483520999998</v>
      </c>
      <c r="G781">
        <v>1824.8292236</v>
      </c>
      <c r="H781">
        <v>1697.6850586</v>
      </c>
      <c r="I781">
        <v>875.20892333999996</v>
      </c>
      <c r="J781">
        <v>677.61370850000003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412.42871300000002</v>
      </c>
      <c r="B782" s="1">
        <f>DATE(2011,6,17) + TIME(10,17,20)</f>
        <v>40711.428703703707</v>
      </c>
      <c r="C782">
        <v>80</v>
      </c>
      <c r="D782">
        <v>79.92906189</v>
      </c>
      <c r="E782">
        <v>50</v>
      </c>
      <c r="F782">
        <v>44.511684418000002</v>
      </c>
      <c r="G782">
        <v>1824.9237060999999</v>
      </c>
      <c r="H782">
        <v>1697.7921143000001</v>
      </c>
      <c r="I782">
        <v>874.36413574000005</v>
      </c>
      <c r="J782">
        <v>676.65155029000005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413.361493</v>
      </c>
      <c r="B783" s="1">
        <f>DATE(2011,6,18) + TIME(8,40,33)</f>
        <v>40712.361493055556</v>
      </c>
      <c r="C783">
        <v>80</v>
      </c>
      <c r="D783">
        <v>79.929054260000001</v>
      </c>
      <c r="E783">
        <v>50</v>
      </c>
      <c r="F783">
        <v>44.429931641000003</v>
      </c>
      <c r="G783">
        <v>1824.9916992000001</v>
      </c>
      <c r="H783">
        <v>1697.8723144999999</v>
      </c>
      <c r="I783">
        <v>873.53845215000001</v>
      </c>
      <c r="J783">
        <v>675.70367432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414.30979500000001</v>
      </c>
      <c r="B784" s="1">
        <f>DATE(2011,6,19) + TIME(7,26,6)</f>
        <v>40713.309791666667</v>
      </c>
      <c r="C784">
        <v>80</v>
      </c>
      <c r="D784">
        <v>79.929054260000001</v>
      </c>
      <c r="E784">
        <v>50</v>
      </c>
      <c r="F784">
        <v>44.346973419000001</v>
      </c>
      <c r="G784">
        <v>1825.0339355000001</v>
      </c>
      <c r="H784">
        <v>1697.9266356999999</v>
      </c>
      <c r="I784">
        <v>872.72851562000005</v>
      </c>
      <c r="J784">
        <v>674.76599121000004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415.26966199999998</v>
      </c>
      <c r="B785" s="1">
        <f>DATE(2011,6,20) + TIME(6,28,18)</f>
        <v>40714.269652777781</v>
      </c>
      <c r="C785">
        <v>80</v>
      </c>
      <c r="D785">
        <v>79.92906189</v>
      </c>
      <c r="E785">
        <v>50</v>
      </c>
      <c r="F785">
        <v>44.262821197999997</v>
      </c>
      <c r="G785">
        <v>1825.0493164</v>
      </c>
      <c r="H785">
        <v>1697.9538574000001</v>
      </c>
      <c r="I785">
        <v>871.93475341999999</v>
      </c>
      <c r="J785">
        <v>673.83892821999996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416.24285500000002</v>
      </c>
      <c r="B786" s="1">
        <f>DATE(2011,6,21) + TIME(5,49,42)</f>
        <v>40715.242847222224</v>
      </c>
      <c r="C786">
        <v>80</v>
      </c>
      <c r="D786">
        <v>79.929069518999995</v>
      </c>
      <c r="E786">
        <v>50</v>
      </c>
      <c r="F786">
        <v>44.177417755</v>
      </c>
      <c r="G786">
        <v>1825.0390625</v>
      </c>
      <c r="H786">
        <v>1697.9554443</v>
      </c>
      <c r="I786">
        <v>871.15539550999995</v>
      </c>
      <c r="J786">
        <v>672.92022704999999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417.23249499999997</v>
      </c>
      <c r="B787" s="1">
        <f>DATE(2011,6,22) + TIME(5,34,47)</f>
        <v>40716.232488425929</v>
      </c>
      <c r="C787">
        <v>80</v>
      </c>
      <c r="D787">
        <v>79.929084778000004</v>
      </c>
      <c r="E787">
        <v>50</v>
      </c>
      <c r="F787">
        <v>44.090591431</v>
      </c>
      <c r="G787">
        <v>1825.0046387</v>
      </c>
      <c r="H787">
        <v>1697.9323730000001</v>
      </c>
      <c r="I787">
        <v>870.38751220999995</v>
      </c>
      <c r="J787">
        <v>672.00640868999994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418.24191400000001</v>
      </c>
      <c r="B788" s="1">
        <f>DATE(2011,6,23) + TIME(5,48,21)</f>
        <v>40717.241909722223</v>
      </c>
      <c r="C788">
        <v>80</v>
      </c>
      <c r="D788">
        <v>79.929100036999998</v>
      </c>
      <c r="E788">
        <v>50</v>
      </c>
      <c r="F788">
        <v>44.002079010000003</v>
      </c>
      <c r="G788">
        <v>1824.9462891000001</v>
      </c>
      <c r="H788">
        <v>1697.885376</v>
      </c>
      <c r="I788">
        <v>869.62780762</v>
      </c>
      <c r="J788">
        <v>671.09350586000005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419.26952699999998</v>
      </c>
      <c r="B789" s="1">
        <f>DATE(2011,6,24) + TIME(6,28,7)</f>
        <v>40718.269525462965</v>
      </c>
      <c r="C789">
        <v>80</v>
      </c>
      <c r="D789">
        <v>79.929130553999997</v>
      </c>
      <c r="E789">
        <v>50</v>
      </c>
      <c r="F789">
        <v>43.911773682000003</v>
      </c>
      <c r="G789">
        <v>1824.8636475000001</v>
      </c>
      <c r="H789">
        <v>1697.8138428</v>
      </c>
      <c r="I789">
        <v>868.87524413999995</v>
      </c>
      <c r="J789">
        <v>670.17993163999995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420.298925</v>
      </c>
      <c r="B790" s="1">
        <f>DATE(2011,6,25) + TIME(7,10,27)</f>
        <v>40719.29892361111</v>
      </c>
      <c r="C790">
        <v>80</v>
      </c>
      <c r="D790">
        <v>79.929153442</v>
      </c>
      <c r="E790">
        <v>50</v>
      </c>
      <c r="F790">
        <v>43.820236205999997</v>
      </c>
      <c r="G790">
        <v>1824.7550048999999</v>
      </c>
      <c r="H790">
        <v>1697.7161865</v>
      </c>
      <c r="I790">
        <v>868.13531493999994</v>
      </c>
      <c r="J790">
        <v>669.27215576000003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421.33301299999999</v>
      </c>
      <c r="B791" s="1">
        <f>DATE(2011,6,26) + TIME(7,59,32)</f>
        <v>40720.333009259259</v>
      </c>
      <c r="C791">
        <v>80</v>
      </c>
      <c r="D791">
        <v>79.929176330999994</v>
      </c>
      <c r="E791">
        <v>50</v>
      </c>
      <c r="F791">
        <v>43.727794647000003</v>
      </c>
      <c r="G791">
        <v>1824.6239014</v>
      </c>
      <c r="H791">
        <v>1697.5957031</v>
      </c>
      <c r="I791">
        <v>867.40832520000004</v>
      </c>
      <c r="J791">
        <v>668.37042236000002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422.37474300000002</v>
      </c>
      <c r="B792" s="1">
        <f>DATE(2011,6,27) + TIME(8,59,37)</f>
        <v>40721.3747337963</v>
      </c>
      <c r="C792">
        <v>80</v>
      </c>
      <c r="D792">
        <v>79.929214478000006</v>
      </c>
      <c r="E792">
        <v>50</v>
      </c>
      <c r="F792">
        <v>43.634418488000001</v>
      </c>
      <c r="G792">
        <v>1824.4725341999999</v>
      </c>
      <c r="H792">
        <v>1697.4547118999999</v>
      </c>
      <c r="I792">
        <v>866.69158935999997</v>
      </c>
      <c r="J792">
        <v>667.47192383000004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423.42706299999998</v>
      </c>
      <c r="B793" s="1">
        <f>DATE(2011,6,28) + TIME(10,14,58)</f>
        <v>40722.427060185182</v>
      </c>
      <c r="C793">
        <v>80</v>
      </c>
      <c r="D793">
        <v>79.929252625000004</v>
      </c>
      <c r="E793">
        <v>50</v>
      </c>
      <c r="F793">
        <v>43.539928435999997</v>
      </c>
      <c r="G793">
        <v>1824.3017577999999</v>
      </c>
      <c r="H793">
        <v>1697.2940673999999</v>
      </c>
      <c r="I793">
        <v>865.98205566000001</v>
      </c>
      <c r="J793">
        <v>666.57299805000002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424.49299600000001</v>
      </c>
      <c r="B794" s="1">
        <f>DATE(2011,6,29) + TIME(11,49,54)</f>
        <v>40723.492986111109</v>
      </c>
      <c r="C794">
        <v>80</v>
      </c>
      <c r="D794">
        <v>79.929298400999997</v>
      </c>
      <c r="E794">
        <v>50</v>
      </c>
      <c r="F794">
        <v>43.444072722999998</v>
      </c>
      <c r="G794">
        <v>1824.1121826000001</v>
      </c>
      <c r="H794">
        <v>1697.1145019999999</v>
      </c>
      <c r="I794">
        <v>865.27673340000001</v>
      </c>
      <c r="J794">
        <v>665.67004395000004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425.57569699999999</v>
      </c>
      <c r="B795" s="1">
        <f>DATE(2011,6,30) + TIME(13,49,0)</f>
        <v>40724.575694444444</v>
      </c>
      <c r="C795">
        <v>80</v>
      </c>
      <c r="D795">
        <v>79.929344177000004</v>
      </c>
      <c r="E795">
        <v>50</v>
      </c>
      <c r="F795">
        <v>43.346553802000003</v>
      </c>
      <c r="G795">
        <v>1823.9040527</v>
      </c>
      <c r="H795">
        <v>1696.9161377</v>
      </c>
      <c r="I795">
        <v>864.57257079999999</v>
      </c>
      <c r="J795">
        <v>664.75903319999998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426</v>
      </c>
      <c r="B796" s="1">
        <f>DATE(2011,7,1) + TIME(0,0,0)</f>
        <v>40725</v>
      </c>
      <c r="C796">
        <v>80</v>
      </c>
      <c r="D796">
        <v>79.929229735999996</v>
      </c>
      <c r="E796">
        <v>50</v>
      </c>
      <c r="F796">
        <v>43.286697388</v>
      </c>
      <c r="G796">
        <v>1823.7517089999999</v>
      </c>
      <c r="H796">
        <v>1696.7705077999999</v>
      </c>
      <c r="I796">
        <v>864.12097168000003</v>
      </c>
      <c r="J796">
        <v>664.18652343999997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427.10281500000002</v>
      </c>
      <c r="B797" s="1">
        <f>DATE(2011,7,2) + TIME(2,28,3)</f>
        <v>40726.102812500001</v>
      </c>
      <c r="C797">
        <v>80</v>
      </c>
      <c r="D797">
        <v>79.929389954000001</v>
      </c>
      <c r="E797">
        <v>50</v>
      </c>
      <c r="F797">
        <v>43.199180603000002</v>
      </c>
      <c r="G797">
        <v>1823.5405272999999</v>
      </c>
      <c r="H797">
        <v>1696.5664062000001</v>
      </c>
      <c r="I797">
        <v>863.55615234000004</v>
      </c>
      <c r="J797">
        <v>663.41595458999996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428.23631699999999</v>
      </c>
      <c r="B798" s="1">
        <f>DATE(2011,7,3) + TIME(5,40,17)</f>
        <v>40727.236307870371</v>
      </c>
      <c r="C798">
        <v>80</v>
      </c>
      <c r="D798">
        <v>79.929496764999996</v>
      </c>
      <c r="E798">
        <v>50</v>
      </c>
      <c r="F798">
        <v>43.101974487</v>
      </c>
      <c r="G798">
        <v>1823.3100586</v>
      </c>
      <c r="H798">
        <v>1696.3447266000001</v>
      </c>
      <c r="I798">
        <v>862.86584473000005</v>
      </c>
      <c r="J798">
        <v>662.50671387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429.38718399999999</v>
      </c>
      <c r="B799" s="1">
        <f>DATE(2011,7,4) + TIME(9,17,32)</f>
        <v>40728.387175925927</v>
      </c>
      <c r="C799">
        <v>80</v>
      </c>
      <c r="D799">
        <v>79.929557799999998</v>
      </c>
      <c r="E799">
        <v>50</v>
      </c>
      <c r="F799">
        <v>42.999179839999996</v>
      </c>
      <c r="G799">
        <v>1823.0489502</v>
      </c>
      <c r="H799">
        <v>1696.0927733999999</v>
      </c>
      <c r="I799">
        <v>862.15466308999999</v>
      </c>
      <c r="J799">
        <v>661.55664062000005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430.552865</v>
      </c>
      <c r="B800" s="1">
        <f>DATE(2011,7,5) + TIME(13,16,7)</f>
        <v>40729.552858796298</v>
      </c>
      <c r="C800">
        <v>80</v>
      </c>
      <c r="D800">
        <v>79.929618834999999</v>
      </c>
      <c r="E800">
        <v>50</v>
      </c>
      <c r="F800">
        <v>42.892848968999999</v>
      </c>
      <c r="G800">
        <v>1822.7639160000001</v>
      </c>
      <c r="H800">
        <v>1695.8167725000001</v>
      </c>
      <c r="I800">
        <v>861.43328856999995</v>
      </c>
      <c r="J800">
        <v>660.58093262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431.721386</v>
      </c>
      <c r="B801" s="1">
        <f>DATE(2011,7,6) + TIME(17,18,47)</f>
        <v>40730.721377314818</v>
      </c>
      <c r="C801">
        <v>80</v>
      </c>
      <c r="D801">
        <v>79.929672241000006</v>
      </c>
      <c r="E801">
        <v>50</v>
      </c>
      <c r="F801">
        <v>42.784286498999997</v>
      </c>
      <c r="G801">
        <v>1822.4602050999999</v>
      </c>
      <c r="H801">
        <v>1695.5219727000001</v>
      </c>
      <c r="I801">
        <v>860.70666503999996</v>
      </c>
      <c r="J801">
        <v>659.58740234000004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432.89427899999998</v>
      </c>
      <c r="B802" s="1">
        <f>DATE(2011,7,7) + TIME(21,27,45)</f>
        <v>40731.894270833334</v>
      </c>
      <c r="C802">
        <v>80</v>
      </c>
      <c r="D802">
        <v>79.929740906000006</v>
      </c>
      <c r="E802">
        <v>50</v>
      </c>
      <c r="F802">
        <v>42.674179076999998</v>
      </c>
      <c r="G802">
        <v>1822.1411132999999</v>
      </c>
      <c r="H802">
        <v>1695.2115478999999</v>
      </c>
      <c r="I802">
        <v>859.97747803000004</v>
      </c>
      <c r="J802">
        <v>658.58007812000005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434.07477499999999</v>
      </c>
      <c r="B803" s="1">
        <f>DATE(2011,7,9) + TIME(1,47,40)</f>
        <v>40733.07476851852</v>
      </c>
      <c r="C803">
        <v>80</v>
      </c>
      <c r="D803">
        <v>79.929801940999994</v>
      </c>
      <c r="E803">
        <v>50</v>
      </c>
      <c r="F803">
        <v>42.562633513999998</v>
      </c>
      <c r="G803">
        <v>1821.8087158000001</v>
      </c>
      <c r="H803">
        <v>1694.8875731999999</v>
      </c>
      <c r="I803">
        <v>859.24450683999999</v>
      </c>
      <c r="J803">
        <v>657.55786133000004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435.266099</v>
      </c>
      <c r="B804" s="1">
        <f>DATE(2011,7,10) + TIME(6,23,10)</f>
        <v>40734.266087962962</v>
      </c>
      <c r="C804">
        <v>80</v>
      </c>
      <c r="D804">
        <v>79.929878235000004</v>
      </c>
      <c r="E804">
        <v>50</v>
      </c>
      <c r="F804">
        <v>42.449485779</v>
      </c>
      <c r="G804">
        <v>1821.463501</v>
      </c>
      <c r="H804">
        <v>1694.5505370999999</v>
      </c>
      <c r="I804">
        <v>858.50549316000001</v>
      </c>
      <c r="J804">
        <v>656.51782227000001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436.47154699999999</v>
      </c>
      <c r="B805" s="1">
        <f>DATE(2011,7,11) + TIME(11,19,1)</f>
        <v>40735.471539351849</v>
      </c>
      <c r="C805">
        <v>80</v>
      </c>
      <c r="D805">
        <v>79.929954529</v>
      </c>
      <c r="E805">
        <v>50</v>
      </c>
      <c r="F805">
        <v>42.334457397000001</v>
      </c>
      <c r="G805">
        <v>1821.1055908000001</v>
      </c>
      <c r="H805">
        <v>1694.2006836</v>
      </c>
      <c r="I805">
        <v>857.75750731999995</v>
      </c>
      <c r="J805">
        <v>655.45617675999995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437.69316600000002</v>
      </c>
      <c r="B806" s="1">
        <f>DATE(2011,7,12) + TIME(16,38,9)</f>
        <v>40736.693159722221</v>
      </c>
      <c r="C806">
        <v>80</v>
      </c>
      <c r="D806">
        <v>79.930038452000005</v>
      </c>
      <c r="E806">
        <v>50</v>
      </c>
      <c r="F806">
        <v>42.217266082999998</v>
      </c>
      <c r="G806">
        <v>1820.7348632999999</v>
      </c>
      <c r="H806">
        <v>1693.8377685999999</v>
      </c>
      <c r="I806">
        <v>856.99804687999995</v>
      </c>
      <c r="J806">
        <v>654.36914062000005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438.932185</v>
      </c>
      <c r="B807" s="1">
        <f>DATE(2011,7,13) + TIME(22,22,20)</f>
        <v>40737.932175925926</v>
      </c>
      <c r="C807">
        <v>80</v>
      </c>
      <c r="D807">
        <v>79.930122374999996</v>
      </c>
      <c r="E807">
        <v>50</v>
      </c>
      <c r="F807">
        <v>42.097679137999997</v>
      </c>
      <c r="G807">
        <v>1820.3513184000001</v>
      </c>
      <c r="H807">
        <v>1693.4619141000001</v>
      </c>
      <c r="I807">
        <v>856.22473145000004</v>
      </c>
      <c r="J807">
        <v>653.25335693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440.19215200000002</v>
      </c>
      <c r="B808" s="1">
        <f>DATE(2011,7,15) + TIME(4,36,41)</f>
        <v>40739.192141203705</v>
      </c>
      <c r="C808">
        <v>80</v>
      </c>
      <c r="D808">
        <v>79.930206299000005</v>
      </c>
      <c r="E808">
        <v>50</v>
      </c>
      <c r="F808">
        <v>41.975414276000002</v>
      </c>
      <c r="G808">
        <v>1819.9544678</v>
      </c>
      <c r="H808">
        <v>1693.0726318</v>
      </c>
      <c r="I808">
        <v>855.43530272999999</v>
      </c>
      <c r="J808">
        <v>652.10528564000003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441.476855</v>
      </c>
      <c r="B809" s="1">
        <f>DATE(2011,7,16) + TIME(11,26,40)</f>
        <v>40740.476851851854</v>
      </c>
      <c r="C809">
        <v>80</v>
      </c>
      <c r="D809">
        <v>79.930297851999995</v>
      </c>
      <c r="E809">
        <v>50</v>
      </c>
      <c r="F809">
        <v>41.850124358999999</v>
      </c>
      <c r="G809">
        <v>1819.5438231999999</v>
      </c>
      <c r="H809">
        <v>1692.6695557</v>
      </c>
      <c r="I809">
        <v>854.62652588000003</v>
      </c>
      <c r="J809">
        <v>650.92016602000001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442.77498600000001</v>
      </c>
      <c r="B810" s="1">
        <f>DATE(2011,7,17) + TIME(18,35,58)</f>
        <v>40741.774976851855</v>
      </c>
      <c r="C810">
        <v>80</v>
      </c>
      <c r="D810">
        <v>79.930389403999996</v>
      </c>
      <c r="E810">
        <v>50</v>
      </c>
      <c r="F810">
        <v>41.72195816</v>
      </c>
      <c r="G810">
        <v>1819.1210937999999</v>
      </c>
      <c r="H810">
        <v>1692.2540283000001</v>
      </c>
      <c r="I810">
        <v>853.79742432</v>
      </c>
      <c r="J810">
        <v>649.69683838000003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444.080399</v>
      </c>
      <c r="B811" s="1">
        <f>DATE(2011,7,19) + TIME(1,55,46)</f>
        <v>40743.080393518518</v>
      </c>
      <c r="C811">
        <v>80</v>
      </c>
      <c r="D811">
        <v>79.930473328000005</v>
      </c>
      <c r="E811">
        <v>50</v>
      </c>
      <c r="F811">
        <v>41.591453551999997</v>
      </c>
      <c r="G811">
        <v>1818.6882324000001</v>
      </c>
      <c r="H811">
        <v>1691.8283690999999</v>
      </c>
      <c r="I811">
        <v>852.95147704999999</v>
      </c>
      <c r="J811">
        <v>648.44006348000005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445.39651500000002</v>
      </c>
      <c r="B812" s="1">
        <f>DATE(2011,7,20) + TIME(9,30,58)</f>
        <v>40744.396504629629</v>
      </c>
      <c r="C812">
        <v>80</v>
      </c>
      <c r="D812">
        <v>79.930564880000006</v>
      </c>
      <c r="E812">
        <v>50</v>
      </c>
      <c r="F812">
        <v>41.458808898999997</v>
      </c>
      <c r="G812">
        <v>1818.2460937999999</v>
      </c>
      <c r="H812">
        <v>1691.3931885</v>
      </c>
      <c r="I812">
        <v>852.09027100000003</v>
      </c>
      <c r="J812">
        <v>647.15155029000005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446.72267699999998</v>
      </c>
      <c r="B813" s="1">
        <f>DATE(2011,7,21) + TIME(17,20,39)</f>
        <v>40745.722673611112</v>
      </c>
      <c r="C813">
        <v>80</v>
      </c>
      <c r="D813">
        <v>79.930664062000005</v>
      </c>
      <c r="E813">
        <v>50</v>
      </c>
      <c r="F813">
        <v>41.324024199999997</v>
      </c>
      <c r="G813">
        <v>1817.7955322</v>
      </c>
      <c r="H813">
        <v>1690.9494629000001</v>
      </c>
      <c r="I813">
        <v>851.21228026999995</v>
      </c>
      <c r="J813">
        <v>645.82958984000004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448.05771099999998</v>
      </c>
      <c r="B814" s="1">
        <f>DATE(2011,7,23) + TIME(1,23,6)</f>
        <v>40747.057708333334</v>
      </c>
      <c r="C814">
        <v>80</v>
      </c>
      <c r="D814">
        <v>79.930763244999994</v>
      </c>
      <c r="E814">
        <v>50</v>
      </c>
      <c r="F814">
        <v>41.187141418000003</v>
      </c>
      <c r="G814">
        <v>1817.3375243999999</v>
      </c>
      <c r="H814">
        <v>1690.4980469</v>
      </c>
      <c r="I814">
        <v>850.31713866999996</v>
      </c>
      <c r="J814">
        <v>644.47351074000005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449.40394300000003</v>
      </c>
      <c r="B815" s="1">
        <f>DATE(2011,7,24) + TIME(9,41,40)</f>
        <v>40748.403935185182</v>
      </c>
      <c r="C815">
        <v>80</v>
      </c>
      <c r="D815">
        <v>79.930854796999995</v>
      </c>
      <c r="E815">
        <v>50</v>
      </c>
      <c r="F815">
        <v>41.048168181999998</v>
      </c>
      <c r="G815">
        <v>1816.8719481999999</v>
      </c>
      <c r="H815">
        <v>1690.0390625</v>
      </c>
      <c r="I815">
        <v>849.40435791000004</v>
      </c>
      <c r="J815">
        <v>643.08239746000004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450.76482499999997</v>
      </c>
      <c r="B816" s="1">
        <f>DATE(2011,7,25) + TIME(18,21,20)</f>
        <v>40749.764814814815</v>
      </c>
      <c r="C816">
        <v>80</v>
      </c>
      <c r="D816">
        <v>79.930961608999993</v>
      </c>
      <c r="E816">
        <v>50</v>
      </c>
      <c r="F816">
        <v>40.906860352000002</v>
      </c>
      <c r="G816">
        <v>1816.3986815999999</v>
      </c>
      <c r="H816">
        <v>1689.5720214999999</v>
      </c>
      <c r="I816">
        <v>848.47186279000005</v>
      </c>
      <c r="J816">
        <v>641.65313720999995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452.14395200000001</v>
      </c>
      <c r="B817" s="1">
        <f>DATE(2011,7,27) + TIME(3,27,17)</f>
        <v>40751.143946759257</v>
      </c>
      <c r="C817">
        <v>80</v>
      </c>
      <c r="D817">
        <v>79.931060790999993</v>
      </c>
      <c r="E817">
        <v>50</v>
      </c>
      <c r="F817">
        <v>40.762882232999999</v>
      </c>
      <c r="G817">
        <v>1815.9171143000001</v>
      </c>
      <c r="H817">
        <v>1689.0966797000001</v>
      </c>
      <c r="I817">
        <v>847.51690673999997</v>
      </c>
      <c r="J817">
        <v>640.18121338000003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453.54509899999999</v>
      </c>
      <c r="B818" s="1">
        <f>DATE(2011,7,28) + TIME(13,4,56)</f>
        <v>40752.545092592591</v>
      </c>
      <c r="C818">
        <v>80</v>
      </c>
      <c r="D818">
        <v>79.931167603000006</v>
      </c>
      <c r="E818">
        <v>50</v>
      </c>
      <c r="F818">
        <v>40.615856170999997</v>
      </c>
      <c r="G818">
        <v>1815.4263916</v>
      </c>
      <c r="H818">
        <v>1688.6119385</v>
      </c>
      <c r="I818">
        <v>846.53631591999999</v>
      </c>
      <c r="J818">
        <v>638.66174316000001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454.96751699999999</v>
      </c>
      <c r="B819" s="1">
        <f>DATE(2011,7,29) + TIME(23,13,13)</f>
        <v>40753.967511574076</v>
      </c>
      <c r="C819">
        <v>80</v>
      </c>
      <c r="D819">
        <v>79.931282042999996</v>
      </c>
      <c r="E819">
        <v>50</v>
      </c>
      <c r="F819">
        <v>40.465538025000001</v>
      </c>
      <c r="G819">
        <v>1814.9263916</v>
      </c>
      <c r="H819">
        <v>1688.1180420000001</v>
      </c>
      <c r="I819">
        <v>845.52734375</v>
      </c>
      <c r="J819">
        <v>637.09045409999999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456.400103</v>
      </c>
      <c r="B820" s="1">
        <f>DATE(2011,7,31) + TIME(9,36,8)</f>
        <v>40755.400092592594</v>
      </c>
      <c r="C820">
        <v>80</v>
      </c>
      <c r="D820">
        <v>79.931388854999994</v>
      </c>
      <c r="E820">
        <v>50</v>
      </c>
      <c r="F820">
        <v>40.312244415000002</v>
      </c>
      <c r="G820">
        <v>1814.4197998</v>
      </c>
      <c r="H820">
        <v>1687.6173096</v>
      </c>
      <c r="I820">
        <v>844.49060058999999</v>
      </c>
      <c r="J820">
        <v>635.46850586000005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457</v>
      </c>
      <c r="B821" s="1">
        <f>DATE(2011,8,1) + TIME(0,0,0)</f>
        <v>40756</v>
      </c>
      <c r="C821">
        <v>80</v>
      </c>
      <c r="D821">
        <v>79.931327820000007</v>
      </c>
      <c r="E821">
        <v>50</v>
      </c>
      <c r="F821">
        <v>40.207733154000003</v>
      </c>
      <c r="G821">
        <v>1814.1492920000001</v>
      </c>
      <c r="H821">
        <v>1687.3509521000001</v>
      </c>
      <c r="I821">
        <v>843.63256836000005</v>
      </c>
      <c r="J821">
        <v>634.19409180000002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458.441846</v>
      </c>
      <c r="B822" s="1">
        <f>DATE(2011,8,2) + TIME(10,36,15)</f>
        <v>40757.441840277781</v>
      </c>
      <c r="C822">
        <v>80</v>
      </c>
      <c r="D822">
        <v>79.931518554999997</v>
      </c>
      <c r="E822">
        <v>50</v>
      </c>
      <c r="F822">
        <v>40.076713562000002</v>
      </c>
      <c r="G822">
        <v>1813.6511230000001</v>
      </c>
      <c r="H822">
        <v>1686.8569336</v>
      </c>
      <c r="I822">
        <v>842.91491699000005</v>
      </c>
      <c r="J822">
        <v>632.97119140999996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459.904156</v>
      </c>
      <c r="B823" s="1">
        <f>DATE(2011,8,3) + TIME(21,41,59)</f>
        <v>40758.90415509259</v>
      </c>
      <c r="C823">
        <v>80</v>
      </c>
      <c r="D823">
        <v>79.931663513000004</v>
      </c>
      <c r="E823">
        <v>50</v>
      </c>
      <c r="F823">
        <v>39.926731109999999</v>
      </c>
      <c r="G823">
        <v>1813.1497803</v>
      </c>
      <c r="H823">
        <v>1686.3608397999999</v>
      </c>
      <c r="I823">
        <v>841.87182616999996</v>
      </c>
      <c r="J823">
        <v>631.32788086000005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461.38418200000001</v>
      </c>
      <c r="B824" s="1">
        <f>DATE(2011,8,5) + TIME(9,13,13)</f>
        <v>40760.38417824074</v>
      </c>
      <c r="C824">
        <v>80</v>
      </c>
      <c r="D824">
        <v>79.931777953999998</v>
      </c>
      <c r="E824">
        <v>50</v>
      </c>
      <c r="F824">
        <v>39.767917633000003</v>
      </c>
      <c r="G824">
        <v>1812.6331786999999</v>
      </c>
      <c r="H824">
        <v>1685.8494873</v>
      </c>
      <c r="I824">
        <v>840.76647949000005</v>
      </c>
      <c r="J824">
        <v>629.57458496000004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462.875383</v>
      </c>
      <c r="B825" s="1">
        <f>DATE(2011,8,6) + TIME(21,0,33)</f>
        <v>40761.875381944446</v>
      </c>
      <c r="C825">
        <v>80</v>
      </c>
      <c r="D825">
        <v>79.931884765999996</v>
      </c>
      <c r="E825">
        <v>50</v>
      </c>
      <c r="F825">
        <v>39.604183196999998</v>
      </c>
      <c r="G825">
        <v>1812.1065673999999</v>
      </c>
      <c r="H825">
        <v>1685.328125</v>
      </c>
      <c r="I825">
        <v>839.625</v>
      </c>
      <c r="J825">
        <v>627.75305175999995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464.380314</v>
      </c>
      <c r="B826" s="1">
        <f>DATE(2011,8,8) + TIME(9,7,39)</f>
        <v>40763.380312499998</v>
      </c>
      <c r="C826">
        <v>80</v>
      </c>
      <c r="D826">
        <v>79.931999207000004</v>
      </c>
      <c r="E826">
        <v>50</v>
      </c>
      <c r="F826">
        <v>39.437034607000001</v>
      </c>
      <c r="G826">
        <v>1811.5726318</v>
      </c>
      <c r="H826">
        <v>1684.7993164</v>
      </c>
      <c r="I826">
        <v>838.45593262</v>
      </c>
      <c r="J826">
        <v>625.87756348000005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465.90279299999997</v>
      </c>
      <c r="B827" s="1">
        <f>DATE(2011,8,9) + TIME(21,40,1)</f>
        <v>40764.902789351851</v>
      </c>
      <c r="C827">
        <v>80</v>
      </c>
      <c r="D827">
        <v>79.932113646999994</v>
      </c>
      <c r="E827">
        <v>50</v>
      </c>
      <c r="F827">
        <v>39.266742706000002</v>
      </c>
      <c r="G827">
        <v>1811.0319824000001</v>
      </c>
      <c r="H827">
        <v>1684.2636719</v>
      </c>
      <c r="I827">
        <v>837.25958251999998</v>
      </c>
      <c r="J827">
        <v>623.94927978999999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467.43708800000002</v>
      </c>
      <c r="B828" s="1">
        <f>DATE(2011,8,11) + TIME(10,29,24)</f>
        <v>40766.437083333331</v>
      </c>
      <c r="C828">
        <v>80</v>
      </c>
      <c r="D828">
        <v>79.932228088000002</v>
      </c>
      <c r="E828">
        <v>50</v>
      </c>
      <c r="F828">
        <v>39.093471526999998</v>
      </c>
      <c r="G828">
        <v>1810.4865723</v>
      </c>
      <c r="H828">
        <v>1683.7232666</v>
      </c>
      <c r="I828">
        <v>836.03509521000001</v>
      </c>
      <c r="J828">
        <v>621.96771239999998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468.98417999999998</v>
      </c>
      <c r="B829" s="1">
        <f>DATE(2011,8,12) + TIME(23,37,13)</f>
        <v>40767.984178240738</v>
      </c>
      <c r="C829">
        <v>80</v>
      </c>
      <c r="D829">
        <v>79.932342528999996</v>
      </c>
      <c r="E829">
        <v>50</v>
      </c>
      <c r="F829">
        <v>38.917453766000001</v>
      </c>
      <c r="G829">
        <v>1809.9367675999999</v>
      </c>
      <c r="H829">
        <v>1683.1782227000001</v>
      </c>
      <c r="I829">
        <v>834.78564453000001</v>
      </c>
      <c r="J829">
        <v>619.93676758000004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470.54861399999999</v>
      </c>
      <c r="B830" s="1">
        <f>DATE(2011,8,14) + TIME(13,10,0)</f>
        <v>40769.548611111109</v>
      </c>
      <c r="C830">
        <v>80</v>
      </c>
      <c r="D830">
        <v>79.932464600000003</v>
      </c>
      <c r="E830">
        <v>50</v>
      </c>
      <c r="F830">
        <v>38.738567351999997</v>
      </c>
      <c r="G830">
        <v>1809.3820800999999</v>
      </c>
      <c r="H830">
        <v>1682.6281738</v>
      </c>
      <c r="I830">
        <v>833.51080321999996</v>
      </c>
      <c r="J830">
        <v>617.85528564000003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472.12921</v>
      </c>
      <c r="B831" s="1">
        <f>DATE(2011,8,16) + TIME(3,6,3)</f>
        <v>40771.129201388889</v>
      </c>
      <c r="C831">
        <v>80</v>
      </c>
      <c r="D831">
        <v>79.932579040999997</v>
      </c>
      <c r="E831">
        <v>50</v>
      </c>
      <c r="F831">
        <v>38.556648254000002</v>
      </c>
      <c r="G831">
        <v>1808.8226318</v>
      </c>
      <c r="H831">
        <v>1682.0732422000001</v>
      </c>
      <c r="I831">
        <v>832.20849609000004</v>
      </c>
      <c r="J831">
        <v>615.72015381000006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473.72370899999999</v>
      </c>
      <c r="B832" s="1">
        <f>DATE(2011,8,17) + TIME(17,22,8)</f>
        <v>40772.723703703705</v>
      </c>
      <c r="C832">
        <v>80</v>
      </c>
      <c r="D832">
        <v>79.932701111</v>
      </c>
      <c r="E832">
        <v>50</v>
      </c>
      <c r="F832">
        <v>38.371788025000001</v>
      </c>
      <c r="G832">
        <v>1808.2592772999999</v>
      </c>
      <c r="H832">
        <v>1681.5144043</v>
      </c>
      <c r="I832">
        <v>830.87963866999996</v>
      </c>
      <c r="J832">
        <v>613.53240966999999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475.33605899999998</v>
      </c>
      <c r="B833" s="1">
        <f>DATE(2011,8,19) + TIME(8,3,55)</f>
        <v>40774.336053240739</v>
      </c>
      <c r="C833">
        <v>80</v>
      </c>
      <c r="D833">
        <v>79.932823181000003</v>
      </c>
      <c r="E833">
        <v>50</v>
      </c>
      <c r="F833">
        <v>38.183982849000003</v>
      </c>
      <c r="G833">
        <v>1807.6912841999999</v>
      </c>
      <c r="H833">
        <v>1680.9508057</v>
      </c>
      <c r="I833">
        <v>829.52581786999997</v>
      </c>
      <c r="J833">
        <v>611.29339600000003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476.96263499999998</v>
      </c>
      <c r="B834" s="1">
        <f>DATE(2011,8,20) + TIME(23,6,11)</f>
        <v>40775.962627314817</v>
      </c>
      <c r="C834">
        <v>80</v>
      </c>
      <c r="D834">
        <v>79.932945251000007</v>
      </c>
      <c r="E834">
        <v>50</v>
      </c>
      <c r="F834">
        <v>37.993247986</v>
      </c>
      <c r="G834">
        <v>1807.1196289</v>
      </c>
      <c r="H834">
        <v>1680.3834228999999</v>
      </c>
      <c r="I834">
        <v>828.14575194999998</v>
      </c>
      <c r="J834">
        <v>609.00158691000001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478.59482200000002</v>
      </c>
      <c r="B835" s="1">
        <f>DATE(2011,8,22) + TIME(14,16,32)</f>
        <v>40777.594814814816</v>
      </c>
      <c r="C835">
        <v>80</v>
      </c>
      <c r="D835">
        <v>79.933067321999999</v>
      </c>
      <c r="E835">
        <v>50</v>
      </c>
      <c r="F835">
        <v>37.800113678000002</v>
      </c>
      <c r="G835">
        <v>1806.5466309000001</v>
      </c>
      <c r="H835">
        <v>1679.8144531</v>
      </c>
      <c r="I835">
        <v>826.74328613</v>
      </c>
      <c r="J835">
        <v>606.66296387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480.23692699999998</v>
      </c>
      <c r="B836" s="1">
        <f>DATE(2011,8,24) + TIME(5,41,10)</f>
        <v>40779.236921296295</v>
      </c>
      <c r="C836">
        <v>80</v>
      </c>
      <c r="D836">
        <v>79.933189392000003</v>
      </c>
      <c r="E836">
        <v>50</v>
      </c>
      <c r="F836">
        <v>37.605018616000002</v>
      </c>
      <c r="G836">
        <v>1805.9715576000001</v>
      </c>
      <c r="H836">
        <v>1679.2435303</v>
      </c>
      <c r="I836">
        <v>825.32458496000004</v>
      </c>
      <c r="J836">
        <v>604.28601074000005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481.89351399999998</v>
      </c>
      <c r="B837" s="1">
        <f>DATE(2011,8,25) + TIME(21,26,39)</f>
        <v>40780.893506944441</v>
      </c>
      <c r="C837">
        <v>80</v>
      </c>
      <c r="D837">
        <v>79.933319092000005</v>
      </c>
      <c r="E837">
        <v>50</v>
      </c>
      <c r="F837">
        <v>37.407821654999999</v>
      </c>
      <c r="G837">
        <v>1805.3939209</v>
      </c>
      <c r="H837">
        <v>1678.6697998</v>
      </c>
      <c r="I837">
        <v>823.88854979999996</v>
      </c>
      <c r="J837">
        <v>601.86877441000001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483.56927899999999</v>
      </c>
      <c r="B838" s="1">
        <f>DATE(2011,8,27) + TIME(13,39,45)</f>
        <v>40782.56927083333</v>
      </c>
      <c r="C838">
        <v>80</v>
      </c>
      <c r="D838">
        <v>79.933441161999994</v>
      </c>
      <c r="E838">
        <v>50</v>
      </c>
      <c r="F838">
        <v>37.208187103</v>
      </c>
      <c r="G838">
        <v>1804.8122559000001</v>
      </c>
      <c r="H838">
        <v>1678.0920410000001</v>
      </c>
      <c r="I838">
        <v>822.43280029000005</v>
      </c>
      <c r="J838">
        <v>599.40698241999996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485.26909499999999</v>
      </c>
      <c r="B839" s="1">
        <f>DATE(2011,8,29) + TIME(6,27,29)</f>
        <v>40784.269085648149</v>
      </c>
      <c r="C839">
        <v>80</v>
      </c>
      <c r="D839">
        <v>79.933570861999996</v>
      </c>
      <c r="E839">
        <v>50</v>
      </c>
      <c r="F839">
        <v>37.005714417</v>
      </c>
      <c r="G839">
        <v>1804.2253418</v>
      </c>
      <c r="H839">
        <v>1677.5089111</v>
      </c>
      <c r="I839">
        <v>820.95477295000001</v>
      </c>
      <c r="J839">
        <v>596.89581298999997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486.98773299999999</v>
      </c>
      <c r="B840" s="1">
        <f>DATE(2011,8,30) + TIME(23,42,20)</f>
        <v>40785.98773148148</v>
      </c>
      <c r="C840">
        <v>80</v>
      </c>
      <c r="D840">
        <v>79.933692932</v>
      </c>
      <c r="E840">
        <v>50</v>
      </c>
      <c r="F840">
        <v>36.800365448000001</v>
      </c>
      <c r="G840">
        <v>1803.6341553</v>
      </c>
      <c r="H840">
        <v>1676.9213867000001</v>
      </c>
      <c r="I840">
        <v>819.45275878999996</v>
      </c>
      <c r="J840">
        <v>594.33288574000005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488</v>
      </c>
      <c r="B841" s="1">
        <f>DATE(2011,9,1) + TIME(0,0,0)</f>
        <v>40787</v>
      </c>
      <c r="C841">
        <v>80</v>
      </c>
      <c r="D841">
        <v>79.933708190999994</v>
      </c>
      <c r="E841">
        <v>50</v>
      </c>
      <c r="F841">
        <v>36.629909515000001</v>
      </c>
      <c r="G841">
        <v>1803.2379149999999</v>
      </c>
      <c r="H841">
        <v>1676.5281981999999</v>
      </c>
      <c r="I841">
        <v>818.04754638999998</v>
      </c>
      <c r="J841">
        <v>592.01983643000005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489.73369300000002</v>
      </c>
      <c r="B842" s="1">
        <f>DATE(2011,9,2) + TIME(17,36,31)</f>
        <v>40788.73369212963</v>
      </c>
      <c r="C842">
        <v>80</v>
      </c>
      <c r="D842">
        <v>79.933891295999999</v>
      </c>
      <c r="E842">
        <v>50</v>
      </c>
      <c r="F842">
        <v>36.455181121999999</v>
      </c>
      <c r="G842">
        <v>1802.6561279</v>
      </c>
      <c r="H842">
        <v>1675.9492187999999</v>
      </c>
      <c r="I842">
        <v>816.97088623000002</v>
      </c>
      <c r="J842">
        <v>590.04193114999998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491.47623299999998</v>
      </c>
      <c r="B843" s="1">
        <f>DATE(2011,9,4) + TIME(11,25,46)</f>
        <v>40790.476226851853</v>
      </c>
      <c r="C843">
        <v>80</v>
      </c>
      <c r="D843">
        <v>79.934036254999995</v>
      </c>
      <c r="E843">
        <v>50</v>
      </c>
      <c r="F843">
        <v>36.256240845000001</v>
      </c>
      <c r="G843">
        <v>1802.0753173999999</v>
      </c>
      <c r="H843">
        <v>1675.3718262</v>
      </c>
      <c r="I843">
        <v>815.48974609000004</v>
      </c>
      <c r="J843">
        <v>587.49810791000004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493.228183</v>
      </c>
      <c r="B844" s="1">
        <f>DATE(2011,9,6) + TIME(5,28,35)</f>
        <v>40792.228182870371</v>
      </c>
      <c r="C844">
        <v>80</v>
      </c>
      <c r="D844">
        <v>79.934165954999997</v>
      </c>
      <c r="E844">
        <v>50</v>
      </c>
      <c r="F844">
        <v>36.049316406000003</v>
      </c>
      <c r="G844">
        <v>1801.4869385</v>
      </c>
      <c r="H844">
        <v>1674.7866211</v>
      </c>
      <c r="I844">
        <v>813.96350098000005</v>
      </c>
      <c r="J844">
        <v>584.85479736000002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494.99472800000001</v>
      </c>
      <c r="B845" s="1">
        <f>DATE(2011,9,7) + TIME(23,52,24)</f>
        <v>40793.994722222225</v>
      </c>
      <c r="C845">
        <v>80</v>
      </c>
      <c r="D845">
        <v>79.934288025000001</v>
      </c>
      <c r="E845">
        <v>50</v>
      </c>
      <c r="F845">
        <v>35.839530945</v>
      </c>
      <c r="G845">
        <v>1800.8924560999999</v>
      </c>
      <c r="H845">
        <v>1674.1954346</v>
      </c>
      <c r="I845">
        <v>812.42620850000003</v>
      </c>
      <c r="J845">
        <v>582.17266845999995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496.780868</v>
      </c>
      <c r="B846" s="1">
        <f>DATE(2011,9,9) + TIME(18,44,26)</f>
        <v>40795.780856481484</v>
      </c>
      <c r="C846">
        <v>80</v>
      </c>
      <c r="D846">
        <v>79.934417725000003</v>
      </c>
      <c r="E846">
        <v>50</v>
      </c>
      <c r="F846">
        <v>35.628288269000002</v>
      </c>
      <c r="G846">
        <v>1800.2924805</v>
      </c>
      <c r="H846">
        <v>1673.5987548999999</v>
      </c>
      <c r="I846">
        <v>810.88287353999999</v>
      </c>
      <c r="J846">
        <v>579.46356201000003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498.58515699999998</v>
      </c>
      <c r="B847" s="1">
        <f>DATE(2011,9,11) + TIME(14,2,37)</f>
        <v>40797.585150462961</v>
      </c>
      <c r="C847">
        <v>80</v>
      </c>
      <c r="D847">
        <v>79.934539795000006</v>
      </c>
      <c r="E847">
        <v>50</v>
      </c>
      <c r="F847">
        <v>35.416103362999998</v>
      </c>
      <c r="G847">
        <v>1799.6882324000001</v>
      </c>
      <c r="H847">
        <v>1672.9975586</v>
      </c>
      <c r="I847">
        <v>809.33441161999997</v>
      </c>
      <c r="J847">
        <v>576.73077393000005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500.40795400000002</v>
      </c>
      <c r="B848" s="1">
        <f>DATE(2011,9,13) + TIME(9,47,27)</f>
        <v>40799.407951388886</v>
      </c>
      <c r="C848">
        <v>80</v>
      </c>
      <c r="D848">
        <v>79.934669494999994</v>
      </c>
      <c r="E848">
        <v>50</v>
      </c>
      <c r="F848">
        <v>35.203487396</v>
      </c>
      <c r="G848">
        <v>1799.0795897999999</v>
      </c>
      <c r="H848">
        <v>1672.3920897999999</v>
      </c>
      <c r="I848">
        <v>807.78509521000001</v>
      </c>
      <c r="J848">
        <v>573.98120116999996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502.254098</v>
      </c>
      <c r="B849" s="1">
        <f>DATE(2011,9,15) + TIME(6,5,54)</f>
        <v>40801.25409722222</v>
      </c>
      <c r="C849">
        <v>80</v>
      </c>
      <c r="D849">
        <v>79.934799193999993</v>
      </c>
      <c r="E849">
        <v>50</v>
      </c>
      <c r="F849">
        <v>34.990745543999999</v>
      </c>
      <c r="G849">
        <v>1798.4658202999999</v>
      </c>
      <c r="H849">
        <v>1671.78125</v>
      </c>
      <c r="I849">
        <v>806.23834228999999</v>
      </c>
      <c r="J849">
        <v>571.21972656000003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504.10688499999998</v>
      </c>
      <c r="B850" s="1">
        <f>DATE(2011,9,17) + TIME(2,33,54)</f>
        <v>40803.106874999998</v>
      </c>
      <c r="C850">
        <v>80</v>
      </c>
      <c r="D850">
        <v>79.934928893999995</v>
      </c>
      <c r="E850">
        <v>50</v>
      </c>
      <c r="F850">
        <v>34.778686522999998</v>
      </c>
      <c r="G850">
        <v>1797.8508300999999</v>
      </c>
      <c r="H850">
        <v>1671.1691894999999</v>
      </c>
      <c r="I850">
        <v>804.69586182</v>
      </c>
      <c r="J850">
        <v>568.45202637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505.96671600000002</v>
      </c>
      <c r="B851" s="1">
        <f>DATE(2011,9,18) + TIME(23,12,4)</f>
        <v>40804.96671296296</v>
      </c>
      <c r="C851">
        <v>80</v>
      </c>
      <c r="D851">
        <v>79.935058593999997</v>
      </c>
      <c r="E851">
        <v>50</v>
      </c>
      <c r="F851">
        <v>34.568706511999999</v>
      </c>
      <c r="G851">
        <v>1797.2348632999999</v>
      </c>
      <c r="H851">
        <v>1670.5560303</v>
      </c>
      <c r="I851">
        <v>803.17285156000003</v>
      </c>
      <c r="J851">
        <v>565.70184326000003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507.833958</v>
      </c>
      <c r="B852" s="1">
        <f>DATE(2011,9,20) + TIME(20,0,53)</f>
        <v>40806.83394675926</v>
      </c>
      <c r="C852">
        <v>80</v>
      </c>
      <c r="D852">
        <v>79.935188292999996</v>
      </c>
      <c r="E852">
        <v>50</v>
      </c>
      <c r="F852">
        <v>34.361595154</v>
      </c>
      <c r="G852">
        <v>1796.6181641000001</v>
      </c>
      <c r="H852">
        <v>1669.9421387</v>
      </c>
      <c r="I852">
        <v>801.67425536999997</v>
      </c>
      <c r="J852">
        <v>562.97863770000004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509.71129999999999</v>
      </c>
      <c r="B853" s="1">
        <f>DATE(2011,9,22) + TIME(17,4,16)</f>
        <v>40808.711296296293</v>
      </c>
      <c r="C853">
        <v>80</v>
      </c>
      <c r="D853">
        <v>79.935317992999998</v>
      </c>
      <c r="E853">
        <v>50</v>
      </c>
      <c r="F853">
        <v>34.157917023000003</v>
      </c>
      <c r="G853">
        <v>1796.0001221</v>
      </c>
      <c r="H853">
        <v>1669.3267822</v>
      </c>
      <c r="I853">
        <v>800.20416260000002</v>
      </c>
      <c r="J853">
        <v>560.28997803000004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511.59070300000002</v>
      </c>
      <c r="B854" s="1">
        <f>DATE(2011,9,24) + TIME(14,10,36)</f>
        <v>40810.590694444443</v>
      </c>
      <c r="C854">
        <v>80</v>
      </c>
      <c r="D854">
        <v>79.935447693</v>
      </c>
      <c r="E854">
        <v>50</v>
      </c>
      <c r="F854">
        <v>33.958427428999997</v>
      </c>
      <c r="G854">
        <v>1795.3829346</v>
      </c>
      <c r="H854">
        <v>1668.7121582</v>
      </c>
      <c r="I854">
        <v>798.76550293000003</v>
      </c>
      <c r="J854">
        <v>557.64306640999996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513.47693800000002</v>
      </c>
      <c r="B855" s="1">
        <f>DATE(2011,9,26) + TIME(11,26,47)</f>
        <v>40812.47693287037</v>
      </c>
      <c r="C855">
        <v>80</v>
      </c>
      <c r="D855">
        <v>79.935577393000003</v>
      </c>
      <c r="E855">
        <v>50</v>
      </c>
      <c r="F855">
        <v>33.764022826999998</v>
      </c>
      <c r="G855">
        <v>1794.7652588000001</v>
      </c>
      <c r="H855">
        <v>1668.0970459</v>
      </c>
      <c r="I855">
        <v>797.36737060999997</v>
      </c>
      <c r="J855">
        <v>555.05310058999999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515.37938499999996</v>
      </c>
      <c r="B856" s="1">
        <f>DATE(2011,9,28) + TIME(9,6,18)</f>
        <v>40814.379374999997</v>
      </c>
      <c r="C856">
        <v>80</v>
      </c>
      <c r="D856">
        <v>79.935707092000001</v>
      </c>
      <c r="E856">
        <v>50</v>
      </c>
      <c r="F856">
        <v>33.574989318999997</v>
      </c>
      <c r="G856">
        <v>1794.1448975000001</v>
      </c>
      <c r="H856">
        <v>1667.479126</v>
      </c>
      <c r="I856">
        <v>796.01104736000002</v>
      </c>
      <c r="J856">
        <v>552.52337646000001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517.30992200000003</v>
      </c>
      <c r="B857" s="1">
        <f>DATE(2011,9,30) + TIME(7,26,17)</f>
        <v>40816.309918981482</v>
      </c>
      <c r="C857">
        <v>80</v>
      </c>
      <c r="D857">
        <v>79.935844420999999</v>
      </c>
      <c r="E857">
        <v>50</v>
      </c>
      <c r="F857">
        <v>33.391262054000002</v>
      </c>
      <c r="G857">
        <v>1793.5187988</v>
      </c>
      <c r="H857">
        <v>1666.8554687999999</v>
      </c>
      <c r="I857">
        <v>794.69488524999997</v>
      </c>
      <c r="J857">
        <v>550.05175781000003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518</v>
      </c>
      <c r="B858" s="1">
        <f>DATE(2011,10,1) + TIME(0,0,0)</f>
        <v>40817</v>
      </c>
      <c r="C858">
        <v>80</v>
      </c>
      <c r="D858">
        <v>79.935829162999994</v>
      </c>
      <c r="E858">
        <v>50</v>
      </c>
      <c r="F858">
        <v>33.273220062</v>
      </c>
      <c r="G858">
        <v>1793.2580565999999</v>
      </c>
      <c r="H858">
        <v>1666.5963135</v>
      </c>
      <c r="I858">
        <v>793.55407715000001</v>
      </c>
      <c r="J858">
        <v>548.11486816000001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519.94692599999996</v>
      </c>
      <c r="B859" s="1">
        <f>DATE(2011,10,2) + TIME(22,43,34)</f>
        <v>40818.946921296294</v>
      </c>
      <c r="C859">
        <v>80</v>
      </c>
      <c r="D859">
        <v>79.936004639000004</v>
      </c>
      <c r="E859">
        <v>50</v>
      </c>
      <c r="F859">
        <v>33.137313843000001</v>
      </c>
      <c r="G859">
        <v>1792.6309814000001</v>
      </c>
      <c r="H859">
        <v>1665.9709473</v>
      </c>
      <c r="I859">
        <v>792.91802978999999</v>
      </c>
      <c r="J859">
        <v>546.65765381000006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521.904856</v>
      </c>
      <c r="B860" s="1">
        <f>DATE(2011,10,4) + TIME(21,42,59)</f>
        <v>40820.904849537037</v>
      </c>
      <c r="C860">
        <v>80</v>
      </c>
      <c r="D860">
        <v>79.936157226999995</v>
      </c>
      <c r="E860">
        <v>50</v>
      </c>
      <c r="F860">
        <v>32.981052398999999</v>
      </c>
      <c r="G860">
        <v>1792.0118408000001</v>
      </c>
      <c r="H860">
        <v>1665.3540039</v>
      </c>
      <c r="I860">
        <v>791.76910399999997</v>
      </c>
      <c r="J860">
        <v>544.48535156000003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523.86497399999996</v>
      </c>
      <c r="B861" s="1">
        <f>DATE(2011,10,6) + TIME(20,45,33)</f>
        <v>40822.864965277775</v>
      </c>
      <c r="C861">
        <v>80</v>
      </c>
      <c r="D861">
        <v>79.936286925999994</v>
      </c>
      <c r="E861">
        <v>50</v>
      </c>
      <c r="F861">
        <v>32.825759888</v>
      </c>
      <c r="G861">
        <v>1791.3880615</v>
      </c>
      <c r="H861">
        <v>1664.7324219</v>
      </c>
      <c r="I861">
        <v>790.63201904000005</v>
      </c>
      <c r="J861">
        <v>542.31750488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525.83311300000003</v>
      </c>
      <c r="B862" s="1">
        <f>DATE(2011,10,8) + TIME(19,59,40)</f>
        <v>40824.833101851851</v>
      </c>
      <c r="C862">
        <v>80</v>
      </c>
      <c r="D862">
        <v>79.936416625999996</v>
      </c>
      <c r="E862">
        <v>50</v>
      </c>
      <c r="F862">
        <v>32.678390503000003</v>
      </c>
      <c r="G862">
        <v>1790.7598877</v>
      </c>
      <c r="H862">
        <v>1664.1064452999999</v>
      </c>
      <c r="I862">
        <v>789.55493163999995</v>
      </c>
      <c r="J862">
        <v>540.24584961000005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527.81593899999996</v>
      </c>
      <c r="B863" s="1">
        <f>DATE(2011,10,10) + TIME(19,34,57)</f>
        <v>40826.815937500003</v>
      </c>
      <c r="C863">
        <v>80</v>
      </c>
      <c r="D863">
        <v>79.936538696</v>
      </c>
      <c r="E863">
        <v>50</v>
      </c>
      <c r="F863">
        <v>32.541141510000003</v>
      </c>
      <c r="G863">
        <v>1790.1271973</v>
      </c>
      <c r="H863">
        <v>1663.4758300999999</v>
      </c>
      <c r="I863">
        <v>788.54486083999996</v>
      </c>
      <c r="J863">
        <v>538.29034423999997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529.82163600000001</v>
      </c>
      <c r="B864" s="1">
        <f>DATE(2011,10,12) + TIME(19,43,9)</f>
        <v>40828.821631944447</v>
      </c>
      <c r="C864">
        <v>80</v>
      </c>
      <c r="D864">
        <v>79.936668396000002</v>
      </c>
      <c r="E864">
        <v>50</v>
      </c>
      <c r="F864">
        <v>32.414871216000002</v>
      </c>
      <c r="G864">
        <v>1789.4888916</v>
      </c>
      <c r="H864">
        <v>1662.8395995999999</v>
      </c>
      <c r="I864">
        <v>787.60290526999995</v>
      </c>
      <c r="J864">
        <v>536.45727538999995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531.82982900000002</v>
      </c>
      <c r="B865" s="1">
        <f>DATE(2011,10,14) + TIME(19,54,57)</f>
        <v>40830.829826388886</v>
      </c>
      <c r="C865">
        <v>80</v>
      </c>
      <c r="D865">
        <v>79.936798096000004</v>
      </c>
      <c r="E865">
        <v>50</v>
      </c>
      <c r="F865">
        <v>32.300586699999997</v>
      </c>
      <c r="G865">
        <v>1788.8498535000001</v>
      </c>
      <c r="H865">
        <v>1662.2026367000001</v>
      </c>
      <c r="I865">
        <v>786.72851562000005</v>
      </c>
      <c r="J865">
        <v>534.75195312000005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533.84584600000005</v>
      </c>
      <c r="B866" s="1">
        <f>DATE(2011,10,16) + TIME(20,18,1)</f>
        <v>40832.84584490741</v>
      </c>
      <c r="C866">
        <v>80</v>
      </c>
      <c r="D866">
        <v>79.936927795000003</v>
      </c>
      <c r="E866">
        <v>50</v>
      </c>
      <c r="F866">
        <v>32.199493408000002</v>
      </c>
      <c r="G866">
        <v>1788.2094727000001</v>
      </c>
      <c r="H866">
        <v>1661.5640868999999</v>
      </c>
      <c r="I866">
        <v>785.93231201000003</v>
      </c>
      <c r="J866">
        <v>533.19384765999996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535.87625500000001</v>
      </c>
      <c r="B867" s="1">
        <f>DATE(2011,10,18) + TIME(21,1,48)</f>
        <v>40834.876250000001</v>
      </c>
      <c r="C867">
        <v>80</v>
      </c>
      <c r="D867">
        <v>79.937057495000005</v>
      </c>
      <c r="E867">
        <v>50</v>
      </c>
      <c r="F867">
        <v>32.112110137999998</v>
      </c>
      <c r="G867">
        <v>1787.5661620999999</v>
      </c>
      <c r="H867">
        <v>1660.9228516000001</v>
      </c>
      <c r="I867">
        <v>785.21392821999996</v>
      </c>
      <c r="J867">
        <v>531.78564453000001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537.92726000000005</v>
      </c>
      <c r="B868" s="1">
        <f>DATE(2011,10,20) + TIME(22,15,15)</f>
        <v>40836.927256944444</v>
      </c>
      <c r="C868">
        <v>80</v>
      </c>
      <c r="D868">
        <v>79.937187195000007</v>
      </c>
      <c r="E868">
        <v>50</v>
      </c>
      <c r="F868">
        <v>32.038799286</v>
      </c>
      <c r="G868">
        <v>1786.9188231999999</v>
      </c>
      <c r="H868">
        <v>1660.2772216999999</v>
      </c>
      <c r="I868">
        <v>784.57183838000003</v>
      </c>
      <c r="J868">
        <v>530.52740478999999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540.00130000000001</v>
      </c>
      <c r="B869" s="1">
        <f>DATE(2011,10,23) + TIME(0,1,52)</f>
        <v>40839.001296296294</v>
      </c>
      <c r="C869">
        <v>80</v>
      </c>
      <c r="D869">
        <v>79.937324524000005</v>
      </c>
      <c r="E869">
        <v>50</v>
      </c>
      <c r="F869">
        <v>31.979955672999999</v>
      </c>
      <c r="G869">
        <v>1786.2666016000001</v>
      </c>
      <c r="H869">
        <v>1659.6268310999999</v>
      </c>
      <c r="I869">
        <v>784.00451659999999</v>
      </c>
      <c r="J869">
        <v>529.41912841999999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541.04431499999998</v>
      </c>
      <c r="B870" s="1">
        <f>DATE(2011,10,24) + TIME(1,3,48)</f>
        <v>40840.044305555559</v>
      </c>
      <c r="C870">
        <v>80</v>
      </c>
      <c r="D870">
        <v>79.937339782999999</v>
      </c>
      <c r="E870">
        <v>50</v>
      </c>
      <c r="F870">
        <v>31.945394516</v>
      </c>
      <c r="G870">
        <v>1785.9018555</v>
      </c>
      <c r="H870">
        <v>1659.2634277</v>
      </c>
      <c r="I870">
        <v>783.49035645000004</v>
      </c>
      <c r="J870">
        <v>528.50561522999999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542.086005</v>
      </c>
      <c r="B871" s="1">
        <f>DATE(2011,10,25) + TIME(2,3,50)</f>
        <v>40841.085995370369</v>
      </c>
      <c r="C871">
        <v>80</v>
      </c>
      <c r="D871">
        <v>79.937377929999997</v>
      </c>
      <c r="E871">
        <v>50</v>
      </c>
      <c r="F871">
        <v>31.924314499000001</v>
      </c>
      <c r="G871">
        <v>1785.5354004000001</v>
      </c>
      <c r="H871">
        <v>1658.8980713000001</v>
      </c>
      <c r="I871">
        <v>783.23382568</v>
      </c>
      <c r="J871">
        <v>528.01165771000001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543.12769500000002</v>
      </c>
      <c r="B872" s="1">
        <f>DATE(2011,10,26) + TIME(3,3,52)</f>
        <v>40842.127685185187</v>
      </c>
      <c r="C872">
        <v>80</v>
      </c>
      <c r="D872">
        <v>79.937438964999998</v>
      </c>
      <c r="E872">
        <v>50</v>
      </c>
      <c r="F872">
        <v>31.911083220999998</v>
      </c>
      <c r="G872">
        <v>1785.1767577999999</v>
      </c>
      <c r="H872">
        <v>1658.5402832</v>
      </c>
      <c r="I872">
        <v>783.03857421999999</v>
      </c>
      <c r="J872">
        <v>527.62731933999999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544.16938500000003</v>
      </c>
      <c r="B873" s="1">
        <f>DATE(2011,10,27) + TIME(4,3,54)</f>
        <v>40843.169374999998</v>
      </c>
      <c r="C873">
        <v>80</v>
      </c>
      <c r="D873">
        <v>79.937515258999994</v>
      </c>
      <c r="E873">
        <v>50</v>
      </c>
      <c r="F873">
        <v>31.903345108</v>
      </c>
      <c r="G873">
        <v>1784.8255615</v>
      </c>
      <c r="H873">
        <v>1658.1900635</v>
      </c>
      <c r="I873">
        <v>782.87316895000004</v>
      </c>
      <c r="J873">
        <v>527.30334473000005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545.21107500000005</v>
      </c>
      <c r="B874" s="1">
        <f>DATE(2011,10,28) + TIME(5,3,56)</f>
        <v>40844.211064814815</v>
      </c>
      <c r="C874">
        <v>80</v>
      </c>
      <c r="D874">
        <v>79.937591553000004</v>
      </c>
      <c r="E874">
        <v>50</v>
      </c>
      <c r="F874">
        <v>31.900085448999999</v>
      </c>
      <c r="G874">
        <v>1784.4803466999999</v>
      </c>
      <c r="H874">
        <v>1657.8457031</v>
      </c>
      <c r="I874">
        <v>782.72888183999999</v>
      </c>
      <c r="J874">
        <v>527.02447510000002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546.25276499999995</v>
      </c>
      <c r="B875" s="1">
        <f>DATE(2011,10,29) + TIME(6,3,58)</f>
        <v>40845.252754629626</v>
      </c>
      <c r="C875">
        <v>80</v>
      </c>
      <c r="D875">
        <v>79.937667847</v>
      </c>
      <c r="E875">
        <v>50</v>
      </c>
      <c r="F875">
        <v>31.900846480999999</v>
      </c>
      <c r="G875">
        <v>1784.1394043</v>
      </c>
      <c r="H875">
        <v>1657.5056152</v>
      </c>
      <c r="I875">
        <v>782.60247803000004</v>
      </c>
      <c r="J875">
        <v>526.78479003999996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548.33614399999999</v>
      </c>
      <c r="B876" s="1">
        <f>DATE(2011,10,31) + TIME(8,4,2)</f>
        <v>40847.336134259262</v>
      </c>
      <c r="C876">
        <v>80</v>
      </c>
      <c r="D876">
        <v>79.937866210999999</v>
      </c>
      <c r="E876">
        <v>50</v>
      </c>
      <c r="F876">
        <v>31.906288147000001</v>
      </c>
      <c r="G876">
        <v>1783.5352783000001</v>
      </c>
      <c r="H876">
        <v>1656.9024658000001</v>
      </c>
      <c r="I876">
        <v>782.55541991999996</v>
      </c>
      <c r="J876">
        <v>526.63867187999995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549</v>
      </c>
      <c r="B877" s="1">
        <f>DATE(2011,11,1) + TIME(0,0,0)</f>
        <v>40848</v>
      </c>
      <c r="C877">
        <v>80</v>
      </c>
      <c r="D877">
        <v>79.937873839999995</v>
      </c>
      <c r="E877">
        <v>50</v>
      </c>
      <c r="F877">
        <v>31.917722701999999</v>
      </c>
      <c r="G877">
        <v>1783.3172606999999</v>
      </c>
      <c r="H877">
        <v>1656.6854248</v>
      </c>
      <c r="I877">
        <v>782.33013916000004</v>
      </c>
      <c r="J877">
        <v>526.27075194999998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549.000001</v>
      </c>
      <c r="B878" s="1">
        <f>DATE(2011,11,1) + TIME(0,0,0)</f>
        <v>40848</v>
      </c>
      <c r="C878">
        <v>80</v>
      </c>
      <c r="D878">
        <v>79.937843322999996</v>
      </c>
      <c r="E878">
        <v>50</v>
      </c>
      <c r="F878">
        <v>31.917753220000002</v>
      </c>
      <c r="G878">
        <v>1656.6754149999999</v>
      </c>
      <c r="H878">
        <v>1530.1519774999999</v>
      </c>
      <c r="I878">
        <v>1038.2821045000001</v>
      </c>
      <c r="J878">
        <v>782.33953856999995</v>
      </c>
      <c r="K878">
        <v>0</v>
      </c>
      <c r="L878">
        <v>2400</v>
      </c>
      <c r="M878">
        <v>2400</v>
      </c>
      <c r="N878">
        <v>0</v>
      </c>
    </row>
    <row r="879" spans="1:14" x14ac:dyDescent="0.25">
      <c r="A879">
        <v>549.00000399999999</v>
      </c>
      <c r="B879" s="1">
        <f>DATE(2011,11,1) + TIME(0,0,0)</f>
        <v>40848</v>
      </c>
      <c r="C879">
        <v>80</v>
      </c>
      <c r="D879">
        <v>79.937751770000006</v>
      </c>
      <c r="E879">
        <v>50</v>
      </c>
      <c r="F879">
        <v>31.917850494</v>
      </c>
      <c r="G879">
        <v>1656.6453856999999</v>
      </c>
      <c r="H879">
        <v>1530.1218262</v>
      </c>
      <c r="I879">
        <v>1038.3110352000001</v>
      </c>
      <c r="J879">
        <v>782.36767578000001</v>
      </c>
      <c r="K879">
        <v>0</v>
      </c>
      <c r="L879">
        <v>2400</v>
      </c>
      <c r="M879">
        <v>2400</v>
      </c>
      <c r="N879">
        <v>0</v>
      </c>
    </row>
    <row r="880" spans="1:14" x14ac:dyDescent="0.25">
      <c r="A880">
        <v>549.00001299999997</v>
      </c>
      <c r="B880" s="1">
        <f>DATE(2011,11,1) + TIME(0,0,1)</f>
        <v>40848.000011574077</v>
      </c>
      <c r="C880">
        <v>80</v>
      </c>
      <c r="D880">
        <v>79.937477111999996</v>
      </c>
      <c r="E880">
        <v>50</v>
      </c>
      <c r="F880">
        <v>31.918140411</v>
      </c>
      <c r="G880">
        <v>1656.5552978999999</v>
      </c>
      <c r="H880">
        <v>1530.03125</v>
      </c>
      <c r="I880">
        <v>1038.3979492000001</v>
      </c>
      <c r="J880">
        <v>782.45214843999997</v>
      </c>
      <c r="K880">
        <v>0</v>
      </c>
      <c r="L880">
        <v>2400</v>
      </c>
      <c r="M880">
        <v>2400</v>
      </c>
      <c r="N880">
        <v>0</v>
      </c>
    </row>
    <row r="881" spans="1:14" x14ac:dyDescent="0.25">
      <c r="A881">
        <v>549.00004000000001</v>
      </c>
      <c r="B881" s="1">
        <f>DATE(2011,11,1) + TIME(0,0,3)</f>
        <v>40848.000034722223</v>
      </c>
      <c r="C881">
        <v>80</v>
      </c>
      <c r="D881">
        <v>79.936653136999993</v>
      </c>
      <c r="E881">
        <v>50</v>
      </c>
      <c r="F881">
        <v>31.919010161999999</v>
      </c>
      <c r="G881">
        <v>1656.2856445</v>
      </c>
      <c r="H881">
        <v>1529.7602539</v>
      </c>
      <c r="I881">
        <v>1038.6582031</v>
      </c>
      <c r="J881">
        <v>782.70532227000001</v>
      </c>
      <c r="K881">
        <v>0</v>
      </c>
      <c r="L881">
        <v>2400</v>
      </c>
      <c r="M881">
        <v>2400</v>
      </c>
      <c r="N881">
        <v>0</v>
      </c>
    </row>
    <row r="882" spans="1:14" x14ac:dyDescent="0.25">
      <c r="A882">
        <v>549.00012100000004</v>
      </c>
      <c r="B882" s="1">
        <f>DATE(2011,11,1) + TIME(0,0,10)</f>
        <v>40848.000115740739</v>
      </c>
      <c r="C882">
        <v>80</v>
      </c>
      <c r="D882">
        <v>79.934188843000001</v>
      </c>
      <c r="E882">
        <v>50</v>
      </c>
      <c r="F882">
        <v>31.921617508000001</v>
      </c>
      <c r="G882">
        <v>1655.4815673999999</v>
      </c>
      <c r="H882">
        <v>1528.9519043</v>
      </c>
      <c r="I882">
        <v>1039.4368896000001</v>
      </c>
      <c r="J882">
        <v>783.46307373000002</v>
      </c>
      <c r="K882">
        <v>0</v>
      </c>
      <c r="L882">
        <v>2400</v>
      </c>
      <c r="M882">
        <v>2400</v>
      </c>
      <c r="N882">
        <v>0</v>
      </c>
    </row>
    <row r="883" spans="1:14" x14ac:dyDescent="0.25">
      <c r="A883">
        <v>549.00036399999999</v>
      </c>
      <c r="B883" s="1">
        <f>DATE(2011,11,1) + TIME(0,0,31)</f>
        <v>40848.000358796293</v>
      </c>
      <c r="C883">
        <v>80</v>
      </c>
      <c r="D883">
        <v>79.926918029999996</v>
      </c>
      <c r="E883">
        <v>50</v>
      </c>
      <c r="F883">
        <v>31.929422378999998</v>
      </c>
      <c r="G883">
        <v>1653.1108397999999</v>
      </c>
      <c r="H883">
        <v>1526.5688477000001</v>
      </c>
      <c r="I883">
        <v>1041.7532959</v>
      </c>
      <c r="J883">
        <v>785.71997069999998</v>
      </c>
      <c r="K883">
        <v>0</v>
      </c>
      <c r="L883">
        <v>2400</v>
      </c>
      <c r="M883">
        <v>2400</v>
      </c>
      <c r="N883">
        <v>0</v>
      </c>
    </row>
    <row r="884" spans="1:14" x14ac:dyDescent="0.25">
      <c r="A884">
        <v>549.00109299999997</v>
      </c>
      <c r="B884" s="1">
        <f>DATE(2011,11,1) + TIME(0,1,34)</f>
        <v>40848.001087962963</v>
      </c>
      <c r="C884">
        <v>80</v>
      </c>
      <c r="D884">
        <v>79.906188964999998</v>
      </c>
      <c r="E884">
        <v>50</v>
      </c>
      <c r="F884">
        <v>31.952697753999999</v>
      </c>
      <c r="G884">
        <v>1646.3496094</v>
      </c>
      <c r="H884">
        <v>1519.7728271000001</v>
      </c>
      <c r="I884">
        <v>1048.5295410000001</v>
      </c>
      <c r="J884">
        <v>792.34838866999996</v>
      </c>
      <c r="K884">
        <v>0</v>
      </c>
      <c r="L884">
        <v>2400</v>
      </c>
      <c r="M884">
        <v>2400</v>
      </c>
      <c r="N884">
        <v>0</v>
      </c>
    </row>
    <row r="885" spans="1:14" x14ac:dyDescent="0.25">
      <c r="A885">
        <v>549.00328000000002</v>
      </c>
      <c r="B885" s="1">
        <f>DATE(2011,11,1) + TIME(0,4,43)</f>
        <v>40848.003275462965</v>
      </c>
      <c r="C885">
        <v>80</v>
      </c>
      <c r="D885">
        <v>79.852005004999995</v>
      </c>
      <c r="E885">
        <v>50</v>
      </c>
      <c r="F885">
        <v>32.021389008</v>
      </c>
      <c r="G885">
        <v>1628.6860352000001</v>
      </c>
      <c r="H885">
        <v>1502.020874</v>
      </c>
      <c r="I885">
        <v>1067.4472656</v>
      </c>
      <c r="J885">
        <v>811.03314208999996</v>
      </c>
      <c r="K885">
        <v>0</v>
      </c>
      <c r="L885">
        <v>2400</v>
      </c>
      <c r="M885">
        <v>2400</v>
      </c>
      <c r="N885">
        <v>0</v>
      </c>
    </row>
    <row r="886" spans="1:14" x14ac:dyDescent="0.25">
      <c r="A886">
        <v>549.00984100000005</v>
      </c>
      <c r="B886" s="1">
        <f>DATE(2011,11,1) + TIME(0,14,10)</f>
        <v>40848.009837962964</v>
      </c>
      <c r="C886">
        <v>80</v>
      </c>
      <c r="D886">
        <v>79.735206603999998</v>
      </c>
      <c r="E886">
        <v>50</v>
      </c>
      <c r="F886">
        <v>32.218486786</v>
      </c>
      <c r="G886">
        <v>1590.6593018000001</v>
      </c>
      <c r="H886">
        <v>1463.8127440999999</v>
      </c>
      <c r="I886">
        <v>1114.3681641000001</v>
      </c>
      <c r="J886">
        <v>858.22595215000001</v>
      </c>
      <c r="K886">
        <v>0</v>
      </c>
      <c r="L886">
        <v>2400</v>
      </c>
      <c r="M886">
        <v>2400</v>
      </c>
      <c r="N886">
        <v>0</v>
      </c>
    </row>
    <row r="887" spans="1:14" x14ac:dyDescent="0.25">
      <c r="A887">
        <v>549.02952400000004</v>
      </c>
      <c r="B887" s="1">
        <f>DATE(2011,11,1) + TIME(0,42,30)</f>
        <v>40848.029513888891</v>
      </c>
      <c r="C887">
        <v>80</v>
      </c>
      <c r="D887">
        <v>79.550804138000004</v>
      </c>
      <c r="E887">
        <v>50</v>
      </c>
      <c r="F887">
        <v>32.752857208000002</v>
      </c>
      <c r="G887">
        <v>1530.4421387</v>
      </c>
      <c r="H887">
        <v>1403.3388672000001</v>
      </c>
      <c r="I887">
        <v>1205.7413329999999</v>
      </c>
      <c r="J887">
        <v>952.28900146000001</v>
      </c>
      <c r="K887">
        <v>0</v>
      </c>
      <c r="L887">
        <v>2400</v>
      </c>
      <c r="M887">
        <v>2400</v>
      </c>
      <c r="N887">
        <v>0</v>
      </c>
    </row>
    <row r="888" spans="1:14" x14ac:dyDescent="0.25">
      <c r="A888">
        <v>549.066104</v>
      </c>
      <c r="B888" s="1">
        <f>DATE(2011,11,1) + TIME(1,35,11)</f>
        <v>40848.066099537034</v>
      </c>
      <c r="C888">
        <v>80</v>
      </c>
      <c r="D888">
        <v>79.389732361</v>
      </c>
      <c r="E888">
        <v>50</v>
      </c>
      <c r="F888">
        <v>33.620437621999997</v>
      </c>
      <c r="G888">
        <v>1476.3892822</v>
      </c>
      <c r="H888">
        <v>1349.0759277</v>
      </c>
      <c r="I888">
        <v>1300.6043701000001</v>
      </c>
      <c r="J888">
        <v>1051.8909911999999</v>
      </c>
      <c r="K888">
        <v>0</v>
      </c>
      <c r="L888">
        <v>2400</v>
      </c>
      <c r="M888">
        <v>2400</v>
      </c>
      <c r="N888">
        <v>0</v>
      </c>
    </row>
    <row r="889" spans="1:14" x14ac:dyDescent="0.25">
      <c r="A889">
        <v>549.10662600000001</v>
      </c>
      <c r="B889" s="1">
        <f>DATE(2011,11,1) + TIME(2,33,32)</f>
        <v>40848.106620370374</v>
      </c>
      <c r="C889">
        <v>80</v>
      </c>
      <c r="D889">
        <v>79.290176392000006</v>
      </c>
      <c r="E889">
        <v>50</v>
      </c>
      <c r="F889">
        <v>34.479183196999998</v>
      </c>
      <c r="G889">
        <v>1441.8081055</v>
      </c>
      <c r="H889">
        <v>1314.371582</v>
      </c>
      <c r="I889">
        <v>1364.0977783000001</v>
      </c>
      <c r="J889">
        <v>1119.6535644999999</v>
      </c>
      <c r="K889">
        <v>0</v>
      </c>
      <c r="L889">
        <v>2400</v>
      </c>
      <c r="M889">
        <v>2400</v>
      </c>
      <c r="N889">
        <v>0</v>
      </c>
    </row>
    <row r="890" spans="1:14" x14ac:dyDescent="0.25">
      <c r="A890">
        <v>549.15105700000004</v>
      </c>
      <c r="B890" s="1">
        <f>DATE(2011,11,1) + TIME(3,37,31)</f>
        <v>40848.151053240741</v>
      </c>
      <c r="C890">
        <v>80</v>
      </c>
      <c r="D890">
        <v>79.220726013000004</v>
      </c>
      <c r="E890">
        <v>50</v>
      </c>
      <c r="F890">
        <v>35.338237761999999</v>
      </c>
      <c r="G890">
        <v>1416.7401123</v>
      </c>
      <c r="H890">
        <v>1289.2246094</v>
      </c>
      <c r="I890">
        <v>1409.7568358999999</v>
      </c>
      <c r="J890">
        <v>1169.2143555</v>
      </c>
      <c r="K890">
        <v>0</v>
      </c>
      <c r="L890">
        <v>2400</v>
      </c>
      <c r="M890">
        <v>2400</v>
      </c>
      <c r="N890">
        <v>0</v>
      </c>
    </row>
    <row r="891" spans="1:14" x14ac:dyDescent="0.25">
      <c r="A891">
        <v>549.199026</v>
      </c>
      <c r="B891" s="1">
        <f>DATE(2011,11,1) + TIME(4,46,35)</f>
        <v>40848.199016203704</v>
      </c>
      <c r="C891">
        <v>80</v>
      </c>
      <c r="D891">
        <v>79.168304442999997</v>
      </c>
      <c r="E891">
        <v>50</v>
      </c>
      <c r="F891">
        <v>36.193134307999998</v>
      </c>
      <c r="G891">
        <v>1397.1282959</v>
      </c>
      <c r="H891">
        <v>1269.5578613</v>
      </c>
      <c r="I891">
        <v>1444.5806885</v>
      </c>
      <c r="J891">
        <v>1207.6607666</v>
      </c>
      <c r="K891">
        <v>0</v>
      </c>
      <c r="L891">
        <v>2400</v>
      </c>
      <c r="M891">
        <v>2400</v>
      </c>
      <c r="N891">
        <v>0</v>
      </c>
    </row>
    <row r="892" spans="1:14" x14ac:dyDescent="0.25">
      <c r="A892">
        <v>549.25039000000004</v>
      </c>
      <c r="B892" s="1">
        <f>DATE(2011,11,1) + TIME(6,0,33)</f>
        <v>40848.250381944446</v>
      </c>
      <c r="C892">
        <v>80</v>
      </c>
      <c r="D892">
        <v>79.126403808999996</v>
      </c>
      <c r="E892">
        <v>50</v>
      </c>
      <c r="F892">
        <v>37.040615082000002</v>
      </c>
      <c r="G892">
        <v>1380.9648437999999</v>
      </c>
      <c r="H892">
        <v>1253.3537598</v>
      </c>
      <c r="I892">
        <v>1472.5026855000001</v>
      </c>
      <c r="J892">
        <v>1238.9822998</v>
      </c>
      <c r="K892">
        <v>0</v>
      </c>
      <c r="L892">
        <v>2400</v>
      </c>
      <c r="M892">
        <v>2400</v>
      </c>
      <c r="N892">
        <v>0</v>
      </c>
    </row>
    <row r="893" spans="1:14" x14ac:dyDescent="0.25">
      <c r="A893">
        <v>549.30519000000004</v>
      </c>
      <c r="B893" s="1">
        <f>DATE(2011,11,1) + TIME(7,19,28)</f>
        <v>40848.305185185185</v>
      </c>
      <c r="C893">
        <v>80</v>
      </c>
      <c r="D893">
        <v>79.091392517000003</v>
      </c>
      <c r="E893">
        <v>50</v>
      </c>
      <c r="F893">
        <v>37.878547668000003</v>
      </c>
      <c r="G893">
        <v>1367.1387939000001</v>
      </c>
      <c r="H893">
        <v>1239.4967041</v>
      </c>
      <c r="I893">
        <v>1495.7993164</v>
      </c>
      <c r="J893">
        <v>1265.4895019999999</v>
      </c>
      <c r="K893">
        <v>0</v>
      </c>
      <c r="L893">
        <v>2400</v>
      </c>
      <c r="M893">
        <v>2400</v>
      </c>
      <c r="N893">
        <v>0</v>
      </c>
    </row>
    <row r="894" spans="1:14" x14ac:dyDescent="0.25">
      <c r="A894">
        <v>549.36360999999999</v>
      </c>
      <c r="B894" s="1">
        <f>DATE(2011,11,1) + TIME(8,43,35)</f>
        <v>40848.363599537035</v>
      </c>
      <c r="C894">
        <v>80</v>
      </c>
      <c r="D894">
        <v>79.061065674000005</v>
      </c>
      <c r="E894">
        <v>50</v>
      </c>
      <c r="F894">
        <v>38.705558777</v>
      </c>
      <c r="G894">
        <v>1354.9764404</v>
      </c>
      <c r="H894">
        <v>1227.3096923999999</v>
      </c>
      <c r="I894">
        <v>1515.8602295000001</v>
      </c>
      <c r="J894">
        <v>1288.5958252</v>
      </c>
      <c r="K894">
        <v>0</v>
      </c>
      <c r="L894">
        <v>2400</v>
      </c>
      <c r="M894">
        <v>2400</v>
      </c>
      <c r="N894">
        <v>0</v>
      </c>
    </row>
    <row r="895" spans="1:14" x14ac:dyDescent="0.25">
      <c r="A895">
        <v>549.42595200000005</v>
      </c>
      <c r="B895" s="1">
        <f>DATE(2011,11,1) + TIME(10,13,22)</f>
        <v>40848.425949074073</v>
      </c>
      <c r="C895">
        <v>80</v>
      </c>
      <c r="D895">
        <v>79.033966063999998</v>
      </c>
      <c r="E895">
        <v>50</v>
      </c>
      <c r="F895">
        <v>39.520629882999998</v>
      </c>
      <c r="G895">
        <v>1344.0383300999999</v>
      </c>
      <c r="H895">
        <v>1216.3515625</v>
      </c>
      <c r="I895">
        <v>1533.5820312000001</v>
      </c>
      <c r="J895">
        <v>1309.2139893000001</v>
      </c>
      <c r="K895">
        <v>0</v>
      </c>
      <c r="L895">
        <v>2400</v>
      </c>
      <c r="M895">
        <v>2400</v>
      </c>
      <c r="N895">
        <v>0</v>
      </c>
    </row>
    <row r="896" spans="1:14" x14ac:dyDescent="0.25">
      <c r="A896">
        <v>549.49261999999999</v>
      </c>
      <c r="B896" s="1">
        <f>DATE(2011,11,1) + TIME(11,49,22)</f>
        <v>40848.492615740739</v>
      </c>
      <c r="C896">
        <v>80</v>
      </c>
      <c r="D896">
        <v>79.009040833</v>
      </c>
      <c r="E896">
        <v>50</v>
      </c>
      <c r="F896">
        <v>40.322948455999999</v>
      </c>
      <c r="G896">
        <v>1334.0216064000001</v>
      </c>
      <c r="H896">
        <v>1206.3178711</v>
      </c>
      <c r="I896">
        <v>1549.5766602000001</v>
      </c>
      <c r="J896">
        <v>1327.9686279</v>
      </c>
      <c r="K896">
        <v>0</v>
      </c>
      <c r="L896">
        <v>2400</v>
      </c>
      <c r="M896">
        <v>2400</v>
      </c>
      <c r="N896">
        <v>0</v>
      </c>
    </row>
    <row r="897" spans="1:14" x14ac:dyDescent="0.25">
      <c r="A897">
        <v>549.56413899999995</v>
      </c>
      <c r="B897" s="1">
        <f>DATE(2011,11,1) + TIME(13,32,21)</f>
        <v>40848.564131944448</v>
      </c>
      <c r="C897">
        <v>80</v>
      </c>
      <c r="D897">
        <v>78.985519409000005</v>
      </c>
      <c r="E897">
        <v>50</v>
      </c>
      <c r="F897">
        <v>41.111686706999997</v>
      </c>
      <c r="G897">
        <v>1324.7055664</v>
      </c>
      <c r="H897">
        <v>1196.9873047000001</v>
      </c>
      <c r="I897">
        <v>1564.2828368999999</v>
      </c>
      <c r="J897">
        <v>1345.309082</v>
      </c>
      <c r="K897">
        <v>0</v>
      </c>
      <c r="L897">
        <v>2400</v>
      </c>
      <c r="M897">
        <v>2400</v>
      </c>
      <c r="N897">
        <v>0</v>
      </c>
    </row>
    <row r="898" spans="1:14" x14ac:dyDescent="0.25">
      <c r="A898">
        <v>549.641164</v>
      </c>
      <c r="B898" s="1">
        <f>DATE(2011,11,1) + TIME(15,23,16)</f>
        <v>40848.641157407408</v>
      </c>
      <c r="C898">
        <v>80</v>
      </c>
      <c r="D898">
        <v>78.962776184000006</v>
      </c>
      <c r="E898">
        <v>50</v>
      </c>
      <c r="F898">
        <v>41.885879516999999</v>
      </c>
      <c r="G898">
        <v>1315.9221190999999</v>
      </c>
      <c r="H898">
        <v>1188.1905518000001</v>
      </c>
      <c r="I898">
        <v>1578.0306396000001</v>
      </c>
      <c r="J898">
        <v>1361.5733643000001</v>
      </c>
      <c r="K898">
        <v>0</v>
      </c>
      <c r="L898">
        <v>2400</v>
      </c>
      <c r="M898">
        <v>2400</v>
      </c>
      <c r="N898">
        <v>0</v>
      </c>
    </row>
    <row r="899" spans="1:14" x14ac:dyDescent="0.25">
      <c r="A899">
        <v>549.72452299999998</v>
      </c>
      <c r="B899" s="1">
        <f>DATE(2011,11,1) + TIME(17,23,18)</f>
        <v>40848.72451388889</v>
      </c>
      <c r="C899">
        <v>80</v>
      </c>
      <c r="D899">
        <v>78.940269470000004</v>
      </c>
      <c r="E899">
        <v>50</v>
      </c>
      <c r="F899">
        <v>42.644515990999999</v>
      </c>
      <c r="G899">
        <v>1307.5361327999999</v>
      </c>
      <c r="H899">
        <v>1179.7923584</v>
      </c>
      <c r="I899">
        <v>1591.0808105000001</v>
      </c>
      <c r="J899">
        <v>1377.0283202999999</v>
      </c>
      <c r="K899">
        <v>0</v>
      </c>
      <c r="L899">
        <v>2400</v>
      </c>
      <c r="M899">
        <v>2400</v>
      </c>
      <c r="N899">
        <v>0</v>
      </c>
    </row>
    <row r="900" spans="1:14" x14ac:dyDescent="0.25">
      <c r="A900">
        <v>549.81525999999997</v>
      </c>
      <c r="B900" s="1">
        <f>DATE(2011,11,1) + TIME(19,33,58)</f>
        <v>40848.815254629626</v>
      </c>
      <c r="C900">
        <v>80</v>
      </c>
      <c r="D900">
        <v>78.917510985999996</v>
      </c>
      <c r="E900">
        <v>50</v>
      </c>
      <c r="F900">
        <v>43.386371613000001</v>
      </c>
      <c r="G900">
        <v>1299.4338379000001</v>
      </c>
      <c r="H900">
        <v>1171.6783447</v>
      </c>
      <c r="I900">
        <v>1603.6492920000001</v>
      </c>
      <c r="J900">
        <v>1391.8937988</v>
      </c>
      <c r="K900">
        <v>0</v>
      </c>
      <c r="L900">
        <v>2400</v>
      </c>
      <c r="M900">
        <v>2400</v>
      </c>
      <c r="N900">
        <v>0</v>
      </c>
    </row>
    <row r="901" spans="1:14" x14ac:dyDescent="0.25">
      <c r="A901">
        <v>549.91469099999995</v>
      </c>
      <c r="B901" s="1">
        <f>DATE(2011,11,1) + TIME(21,57,9)</f>
        <v>40848.914687500001</v>
      </c>
      <c r="C901">
        <v>80</v>
      </c>
      <c r="D901">
        <v>78.894012450999995</v>
      </c>
      <c r="E901">
        <v>50</v>
      </c>
      <c r="F901">
        <v>44.109905243</v>
      </c>
      <c r="G901">
        <v>1291.5150146000001</v>
      </c>
      <c r="H901">
        <v>1163.7474365</v>
      </c>
      <c r="I901">
        <v>1615.9228516000001</v>
      </c>
      <c r="J901">
        <v>1406.3597411999999</v>
      </c>
      <c r="K901">
        <v>0</v>
      </c>
      <c r="L901">
        <v>2400</v>
      </c>
      <c r="M901">
        <v>2400</v>
      </c>
      <c r="N901">
        <v>0</v>
      </c>
    </row>
    <row r="902" spans="1:14" x14ac:dyDescent="0.25">
      <c r="A902">
        <v>550.02456700000005</v>
      </c>
      <c r="B902" s="1">
        <f>DATE(2011,11,2) + TIME(0,35,22)</f>
        <v>40849.024560185186</v>
      </c>
      <c r="C902">
        <v>80</v>
      </c>
      <c r="D902">
        <v>78.869247436999999</v>
      </c>
      <c r="E902">
        <v>50</v>
      </c>
      <c r="F902">
        <v>44.813541411999999</v>
      </c>
      <c r="G902">
        <v>1283.6812743999999</v>
      </c>
      <c r="H902">
        <v>1155.9013672000001</v>
      </c>
      <c r="I902">
        <v>1628.0778809000001</v>
      </c>
      <c r="J902">
        <v>1420.6044922000001</v>
      </c>
      <c r="K902">
        <v>0</v>
      </c>
      <c r="L902">
        <v>2400</v>
      </c>
      <c r="M902">
        <v>2400</v>
      </c>
      <c r="N902">
        <v>0</v>
      </c>
    </row>
    <row r="903" spans="1:14" x14ac:dyDescent="0.25">
      <c r="A903">
        <v>550.14721699999996</v>
      </c>
      <c r="B903" s="1">
        <f>DATE(2011,11,2) + TIME(3,31,59)</f>
        <v>40849.147210648145</v>
      </c>
      <c r="C903">
        <v>80</v>
      </c>
      <c r="D903">
        <v>78.842658997000001</v>
      </c>
      <c r="E903">
        <v>50</v>
      </c>
      <c r="F903">
        <v>45.495380402000002</v>
      </c>
      <c r="G903">
        <v>1275.8327637</v>
      </c>
      <c r="H903">
        <v>1148.0396728999999</v>
      </c>
      <c r="I903">
        <v>1640.2883300999999</v>
      </c>
      <c r="J903">
        <v>1434.8031006000001</v>
      </c>
      <c r="K903">
        <v>0</v>
      </c>
      <c r="L903">
        <v>2400</v>
      </c>
      <c r="M903">
        <v>2400</v>
      </c>
      <c r="N903">
        <v>0</v>
      </c>
    </row>
    <row r="904" spans="1:14" x14ac:dyDescent="0.25">
      <c r="A904">
        <v>550.28581599999995</v>
      </c>
      <c r="B904" s="1">
        <f>DATE(2011,11,2) + TIME(6,51,34)</f>
        <v>40849.285810185182</v>
      </c>
      <c r="C904">
        <v>80</v>
      </c>
      <c r="D904">
        <v>78.813537597999996</v>
      </c>
      <c r="E904">
        <v>50</v>
      </c>
      <c r="F904">
        <v>46.153026580999999</v>
      </c>
      <c r="G904">
        <v>1267.8608397999999</v>
      </c>
      <c r="H904">
        <v>1140.0532227000001</v>
      </c>
      <c r="I904">
        <v>1652.7397461</v>
      </c>
      <c r="J904">
        <v>1449.1402588000001</v>
      </c>
      <c r="K904">
        <v>0</v>
      </c>
      <c r="L904">
        <v>2400</v>
      </c>
      <c r="M904">
        <v>2400</v>
      </c>
      <c r="N904">
        <v>0</v>
      </c>
    </row>
    <row r="905" spans="1:14" x14ac:dyDescent="0.25">
      <c r="A905">
        <v>550.44483400000001</v>
      </c>
      <c r="B905" s="1">
        <f>DATE(2011,11,2) + TIME(10,40,33)</f>
        <v>40849.444826388892</v>
      </c>
      <c r="C905">
        <v>80</v>
      </c>
      <c r="D905">
        <v>78.781013489000003</v>
      </c>
      <c r="E905">
        <v>50</v>
      </c>
      <c r="F905">
        <v>46.783477783000002</v>
      </c>
      <c r="G905">
        <v>1259.6379394999999</v>
      </c>
      <c r="H905">
        <v>1131.8140868999999</v>
      </c>
      <c r="I905">
        <v>1665.6441649999999</v>
      </c>
      <c r="J905">
        <v>1463.8255615</v>
      </c>
      <c r="K905">
        <v>0</v>
      </c>
      <c r="L905">
        <v>2400</v>
      </c>
      <c r="M905">
        <v>2400</v>
      </c>
      <c r="N905">
        <v>0</v>
      </c>
    </row>
    <row r="906" spans="1:14" x14ac:dyDescent="0.25">
      <c r="A906">
        <v>550.62795400000005</v>
      </c>
      <c r="B906" s="1">
        <f>DATE(2011,11,2) + TIME(15,4,15)</f>
        <v>40849.627951388888</v>
      </c>
      <c r="C906">
        <v>80</v>
      </c>
      <c r="D906">
        <v>78.744369507000002</v>
      </c>
      <c r="E906">
        <v>50</v>
      </c>
      <c r="F906">
        <v>47.375328064000001</v>
      </c>
      <c r="G906">
        <v>1251.1243896000001</v>
      </c>
      <c r="H906">
        <v>1123.2822266000001</v>
      </c>
      <c r="I906">
        <v>1679.0644531</v>
      </c>
      <c r="J906">
        <v>1478.895874</v>
      </c>
      <c r="K906">
        <v>0</v>
      </c>
      <c r="L906">
        <v>2400</v>
      </c>
      <c r="M906">
        <v>2400</v>
      </c>
      <c r="N906">
        <v>0</v>
      </c>
    </row>
    <row r="907" spans="1:14" x14ac:dyDescent="0.25">
      <c r="A907">
        <v>550.81510400000002</v>
      </c>
      <c r="B907" s="1">
        <f>DATE(2011,11,2) + TIME(19,33,44)</f>
        <v>40849.815092592595</v>
      </c>
      <c r="C907">
        <v>80</v>
      </c>
      <c r="D907">
        <v>78.706428528000004</v>
      </c>
      <c r="E907">
        <v>50</v>
      </c>
      <c r="F907">
        <v>47.866241455000001</v>
      </c>
      <c r="G907">
        <v>1243.2160644999999</v>
      </c>
      <c r="H907">
        <v>1115.355957</v>
      </c>
      <c r="I907">
        <v>1691.5114745999999</v>
      </c>
      <c r="J907">
        <v>1492.6940918</v>
      </c>
      <c r="K907">
        <v>0</v>
      </c>
      <c r="L907">
        <v>2400</v>
      </c>
      <c r="M907">
        <v>2400</v>
      </c>
      <c r="N907">
        <v>0</v>
      </c>
    </row>
    <row r="908" spans="1:14" x14ac:dyDescent="0.25">
      <c r="A908">
        <v>551.00900100000001</v>
      </c>
      <c r="B908" s="1">
        <f>DATE(2011,11,3) + TIME(0,12,57)</f>
        <v>40850.008993055555</v>
      </c>
      <c r="C908">
        <v>80</v>
      </c>
      <c r="D908">
        <v>78.666893005000006</v>
      </c>
      <c r="E908">
        <v>50</v>
      </c>
      <c r="F908">
        <v>48.276340484999999</v>
      </c>
      <c r="G908">
        <v>1235.7182617000001</v>
      </c>
      <c r="H908">
        <v>1107.8388672000001</v>
      </c>
      <c r="I908">
        <v>1703.3155518000001</v>
      </c>
      <c r="J908">
        <v>1505.6199951000001</v>
      </c>
      <c r="K908">
        <v>0</v>
      </c>
      <c r="L908">
        <v>2400</v>
      </c>
      <c r="M908">
        <v>2400</v>
      </c>
      <c r="N908">
        <v>0</v>
      </c>
    </row>
    <row r="909" spans="1:14" x14ac:dyDescent="0.25">
      <c r="A909">
        <v>551.20790599999998</v>
      </c>
      <c r="B909" s="1">
        <f>DATE(2011,11,3) + TIME(4,59,23)</f>
        <v>40850.207905092589</v>
      </c>
      <c r="C909">
        <v>80</v>
      </c>
      <c r="D909">
        <v>78.626121521000002</v>
      </c>
      <c r="E909">
        <v>50</v>
      </c>
      <c r="F909">
        <v>48.613876343000001</v>
      </c>
      <c r="G909">
        <v>1228.6320800999999</v>
      </c>
      <c r="H909">
        <v>1100.7329102000001</v>
      </c>
      <c r="I909">
        <v>1714.4619141000001</v>
      </c>
      <c r="J909">
        <v>1517.6859131000001</v>
      </c>
      <c r="K909">
        <v>0</v>
      </c>
      <c r="L909">
        <v>2400</v>
      </c>
      <c r="M909">
        <v>2400</v>
      </c>
      <c r="N909">
        <v>0</v>
      </c>
    </row>
    <row r="910" spans="1:14" x14ac:dyDescent="0.25">
      <c r="A910">
        <v>551.41388500000005</v>
      </c>
      <c r="B910" s="1">
        <f>DATE(2011,11,3) + TIME(9,55,59)</f>
        <v>40850.413877314815</v>
      </c>
      <c r="C910">
        <v>80</v>
      </c>
      <c r="D910">
        <v>78.583908081000004</v>
      </c>
      <c r="E910">
        <v>50</v>
      </c>
      <c r="F910">
        <v>48.892406463999997</v>
      </c>
      <c r="G910">
        <v>1221.8394774999999</v>
      </c>
      <c r="H910">
        <v>1093.9196777</v>
      </c>
      <c r="I910">
        <v>1725.1340332</v>
      </c>
      <c r="J910">
        <v>1529.1162108999999</v>
      </c>
      <c r="K910">
        <v>0</v>
      </c>
      <c r="L910">
        <v>2400</v>
      </c>
      <c r="M910">
        <v>2400</v>
      </c>
      <c r="N910">
        <v>0</v>
      </c>
    </row>
    <row r="911" spans="1:14" x14ac:dyDescent="0.25">
      <c r="A911">
        <v>551.62880900000005</v>
      </c>
      <c r="B911" s="1">
        <f>DATE(2011,11,3) + TIME(15,5,29)</f>
        <v>40850.628807870373</v>
      </c>
      <c r="C911">
        <v>80</v>
      </c>
      <c r="D911">
        <v>78.540039062000005</v>
      </c>
      <c r="E911">
        <v>50</v>
      </c>
      <c r="F911">
        <v>49.121982574</v>
      </c>
      <c r="G911">
        <v>1215.2563477000001</v>
      </c>
      <c r="H911">
        <v>1087.3149414</v>
      </c>
      <c r="I911">
        <v>1735.4547118999999</v>
      </c>
      <c r="J911">
        <v>1540.0626221</v>
      </c>
      <c r="K911">
        <v>0</v>
      </c>
      <c r="L911">
        <v>2400</v>
      </c>
      <c r="M911">
        <v>2400</v>
      </c>
      <c r="N911">
        <v>0</v>
      </c>
    </row>
    <row r="912" spans="1:14" x14ac:dyDescent="0.25">
      <c r="A912">
        <v>551.85477600000002</v>
      </c>
      <c r="B912" s="1">
        <f>DATE(2011,11,3) + TIME(20,30,52)</f>
        <v>40850.854768518519</v>
      </c>
      <c r="C912">
        <v>80</v>
      </c>
      <c r="D912">
        <v>78.494285583000007</v>
      </c>
      <c r="E912">
        <v>50</v>
      </c>
      <c r="F912">
        <v>49.310619354000004</v>
      </c>
      <c r="G912">
        <v>1208.8128661999999</v>
      </c>
      <c r="H912">
        <v>1080.8491211</v>
      </c>
      <c r="I912">
        <v>1745.5229492000001</v>
      </c>
      <c r="J912">
        <v>1550.6468506000001</v>
      </c>
      <c r="K912">
        <v>0</v>
      </c>
      <c r="L912">
        <v>2400</v>
      </c>
      <c r="M912">
        <v>2400</v>
      </c>
      <c r="N912">
        <v>0</v>
      </c>
    </row>
    <row r="913" spans="1:14" x14ac:dyDescent="0.25">
      <c r="A913">
        <v>552.09420399999999</v>
      </c>
      <c r="B913" s="1">
        <f>DATE(2011,11,4) + TIME(2,15,39)</f>
        <v>40851.094201388885</v>
      </c>
      <c r="C913">
        <v>80</v>
      </c>
      <c r="D913">
        <v>78.446334839000002</v>
      </c>
      <c r="E913">
        <v>50</v>
      </c>
      <c r="F913">
        <v>49.464820862000003</v>
      </c>
      <c r="G913">
        <v>1202.4484863</v>
      </c>
      <c r="H913">
        <v>1074.4614257999999</v>
      </c>
      <c r="I913">
        <v>1755.4222411999999</v>
      </c>
      <c r="J913">
        <v>1560.9705810999999</v>
      </c>
      <c r="K913">
        <v>0</v>
      </c>
      <c r="L913">
        <v>2400</v>
      </c>
      <c r="M913">
        <v>2400</v>
      </c>
      <c r="N913">
        <v>0</v>
      </c>
    </row>
    <row r="914" spans="1:14" x14ac:dyDescent="0.25">
      <c r="A914">
        <v>552.34997999999996</v>
      </c>
      <c r="B914" s="1">
        <f>DATE(2011,11,4) + TIME(8,23,58)</f>
        <v>40851.349976851852</v>
      </c>
      <c r="C914">
        <v>80</v>
      </c>
      <c r="D914">
        <v>78.395812988000003</v>
      </c>
      <c r="E914">
        <v>50</v>
      </c>
      <c r="F914">
        <v>49.589931487999998</v>
      </c>
      <c r="G914">
        <v>1196.1081543</v>
      </c>
      <c r="H914">
        <v>1068.0965576000001</v>
      </c>
      <c r="I914">
        <v>1765.2269286999999</v>
      </c>
      <c r="J914">
        <v>1571.1228027</v>
      </c>
      <c r="K914">
        <v>0</v>
      </c>
      <c r="L914">
        <v>2400</v>
      </c>
      <c r="M914">
        <v>2400</v>
      </c>
      <c r="N914">
        <v>0</v>
      </c>
    </row>
    <row r="915" spans="1:14" x14ac:dyDescent="0.25">
      <c r="A915">
        <v>552.62558999999999</v>
      </c>
      <c r="B915" s="1">
        <f>DATE(2011,11,4) + TIME(15,0,51)</f>
        <v>40851.625590277778</v>
      </c>
      <c r="C915">
        <v>80</v>
      </c>
      <c r="D915">
        <v>78.342277526999993</v>
      </c>
      <c r="E915">
        <v>50</v>
      </c>
      <c r="F915">
        <v>49.690422058000003</v>
      </c>
      <c r="G915">
        <v>1189.7392577999999</v>
      </c>
      <c r="H915">
        <v>1061.7020264</v>
      </c>
      <c r="I915">
        <v>1775.005249</v>
      </c>
      <c r="J915">
        <v>1581.1837158000001</v>
      </c>
      <c r="K915">
        <v>0</v>
      </c>
      <c r="L915">
        <v>2400</v>
      </c>
      <c r="M915">
        <v>2400</v>
      </c>
      <c r="N915">
        <v>0</v>
      </c>
    </row>
    <row r="916" spans="1:14" x14ac:dyDescent="0.25">
      <c r="A916">
        <v>552.92317100000002</v>
      </c>
      <c r="B916" s="1">
        <f>DATE(2011,11,4) + TIME(22,9,21)</f>
        <v>40851.923159722224</v>
      </c>
      <c r="C916">
        <v>80</v>
      </c>
      <c r="D916">
        <v>78.285438537999994</v>
      </c>
      <c r="E916">
        <v>50</v>
      </c>
      <c r="F916">
        <v>49.769630432</v>
      </c>
      <c r="G916">
        <v>1183.333374</v>
      </c>
      <c r="H916">
        <v>1055.2692870999999</v>
      </c>
      <c r="I916">
        <v>1784.7520752</v>
      </c>
      <c r="J916">
        <v>1591.1573486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553.24733700000002</v>
      </c>
      <c r="B917" s="1">
        <f>DATE(2011,11,5) + TIME(5,56,9)</f>
        <v>40852.24732638889</v>
      </c>
      <c r="C917">
        <v>80</v>
      </c>
      <c r="D917">
        <v>78.224708557</v>
      </c>
      <c r="E917">
        <v>50</v>
      </c>
      <c r="F917">
        <v>49.831077575999998</v>
      </c>
      <c r="G917">
        <v>1176.8428954999999</v>
      </c>
      <c r="H917">
        <v>1048.7504882999999</v>
      </c>
      <c r="I917">
        <v>1794.5279541</v>
      </c>
      <c r="J917">
        <v>1601.1136475000001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553.60429399999998</v>
      </c>
      <c r="B918" s="1">
        <f>DATE(2011,11,5) + TIME(14,30,11)</f>
        <v>40852.60429398148</v>
      </c>
      <c r="C918">
        <v>80</v>
      </c>
      <c r="D918">
        <v>78.159294127999999</v>
      </c>
      <c r="E918">
        <v>50</v>
      </c>
      <c r="F918">
        <v>49.877807617000002</v>
      </c>
      <c r="G918">
        <v>1170.2109375</v>
      </c>
      <c r="H918">
        <v>1042.0883789</v>
      </c>
      <c r="I918">
        <v>1804.4023437999999</v>
      </c>
      <c r="J918">
        <v>1611.1303711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553.98036300000001</v>
      </c>
      <c r="B919" s="1">
        <f>DATE(2011,11,5) + TIME(23,31,43)</f>
        <v>40852.980358796296</v>
      </c>
      <c r="C919">
        <v>80</v>
      </c>
      <c r="D919">
        <v>78.090728760000005</v>
      </c>
      <c r="E919">
        <v>50</v>
      </c>
      <c r="F919">
        <v>49.911113739000001</v>
      </c>
      <c r="G919">
        <v>1163.7199707</v>
      </c>
      <c r="H919">
        <v>1035.5670166</v>
      </c>
      <c r="I919">
        <v>1813.9042969</v>
      </c>
      <c r="J919">
        <v>1620.7403564000001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554.36642900000004</v>
      </c>
      <c r="B920" s="1">
        <f>DATE(2011,11,6) + TIME(8,47,39)</f>
        <v>40853.366423611114</v>
      </c>
      <c r="C920">
        <v>80</v>
      </c>
      <c r="D920">
        <v>78.020248413000004</v>
      </c>
      <c r="E920">
        <v>50</v>
      </c>
      <c r="F920">
        <v>49.933933258000003</v>
      </c>
      <c r="G920">
        <v>1157.515625</v>
      </c>
      <c r="H920">
        <v>1029.3321533000001</v>
      </c>
      <c r="I920">
        <v>1822.8300781</v>
      </c>
      <c r="J920">
        <v>1629.7471923999999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554.76685099999997</v>
      </c>
      <c r="B921" s="1">
        <f>DATE(2011,11,6) + TIME(18,24,15)</f>
        <v>40853.766840277778</v>
      </c>
      <c r="C921">
        <v>80</v>
      </c>
      <c r="D921">
        <v>77.947662354000002</v>
      </c>
      <c r="E921">
        <v>50</v>
      </c>
      <c r="F921">
        <v>49.949436188</v>
      </c>
      <c r="G921">
        <v>1151.5175781</v>
      </c>
      <c r="H921">
        <v>1023.3027344</v>
      </c>
      <c r="I921">
        <v>1831.3311768000001</v>
      </c>
      <c r="J921">
        <v>1638.3103027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555.17902200000003</v>
      </c>
      <c r="B922" s="1">
        <f>DATE(2011,11,7) + TIME(4,17,47)</f>
        <v>40854.179016203707</v>
      </c>
      <c r="C922">
        <v>80</v>
      </c>
      <c r="D922">
        <v>77.873405457000004</v>
      </c>
      <c r="E922">
        <v>50</v>
      </c>
      <c r="F922">
        <v>49.959659576</v>
      </c>
      <c r="G922">
        <v>1145.7524414</v>
      </c>
      <c r="H922">
        <v>1017.5059814</v>
      </c>
      <c r="I922">
        <v>1839.3712158000001</v>
      </c>
      <c r="J922">
        <v>1646.3989257999999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555.60535400000003</v>
      </c>
      <c r="B923" s="1">
        <f>DATE(2011,11,7) + TIME(14,31,42)</f>
        <v>40854.605347222219</v>
      </c>
      <c r="C923">
        <v>80</v>
      </c>
      <c r="D923">
        <v>77.797363281000003</v>
      </c>
      <c r="E923">
        <v>50</v>
      </c>
      <c r="F923">
        <v>49.966228485000002</v>
      </c>
      <c r="G923">
        <v>1140.1784668</v>
      </c>
      <c r="H923">
        <v>1011.8998413</v>
      </c>
      <c r="I923">
        <v>1847.0242920000001</v>
      </c>
      <c r="J923">
        <v>1654.0911865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556.05012699999997</v>
      </c>
      <c r="B924" s="1">
        <f>DATE(2011,11,8) + TIME(1,12,10)</f>
        <v>40855.050115740742</v>
      </c>
      <c r="C924">
        <v>80</v>
      </c>
      <c r="D924">
        <v>77.719131469999994</v>
      </c>
      <c r="E924">
        <v>50</v>
      </c>
      <c r="F924">
        <v>49.970279693999998</v>
      </c>
      <c r="G924">
        <v>1134.7407227000001</v>
      </c>
      <c r="H924">
        <v>1006.4293213</v>
      </c>
      <c r="I924">
        <v>1854.3754882999999</v>
      </c>
      <c r="J924">
        <v>1661.4753418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556.51803900000004</v>
      </c>
      <c r="B925" s="1">
        <f>DATE(2011,11,8) + TIME(12,25,58)</f>
        <v>40855.51803240741</v>
      </c>
      <c r="C925">
        <v>80</v>
      </c>
      <c r="D925">
        <v>77.638175963999998</v>
      </c>
      <c r="E925">
        <v>50</v>
      </c>
      <c r="F925">
        <v>49.972599029999998</v>
      </c>
      <c r="G925">
        <v>1129.3924560999999</v>
      </c>
      <c r="H925">
        <v>1001.0473633</v>
      </c>
      <c r="I925">
        <v>1861.4919434000001</v>
      </c>
      <c r="J925">
        <v>1668.6207274999999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557.01455799999997</v>
      </c>
      <c r="B926" s="1">
        <f>DATE(2011,11,9) + TIME(0,20,57)</f>
        <v>40856.014548611114</v>
      </c>
      <c r="C926">
        <v>80</v>
      </c>
      <c r="D926">
        <v>77.553855896000002</v>
      </c>
      <c r="E926">
        <v>50</v>
      </c>
      <c r="F926">
        <v>49.973731995000001</v>
      </c>
      <c r="G926">
        <v>1124.0909423999999</v>
      </c>
      <c r="H926">
        <v>995.71112060999997</v>
      </c>
      <c r="I926">
        <v>1868.4311522999999</v>
      </c>
      <c r="J926">
        <v>1675.5865478999999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557.546199</v>
      </c>
      <c r="B927" s="1">
        <f>DATE(2011,11,9) + TIME(13,6,31)</f>
        <v>40856.54619212963</v>
      </c>
      <c r="C927">
        <v>80</v>
      </c>
      <c r="D927">
        <v>77.465362549000005</v>
      </c>
      <c r="E927">
        <v>50</v>
      </c>
      <c r="F927">
        <v>49.974048615000001</v>
      </c>
      <c r="G927">
        <v>1118.7960204999999</v>
      </c>
      <c r="H927">
        <v>990.38000488</v>
      </c>
      <c r="I927">
        <v>1875.2440185999999</v>
      </c>
      <c r="J927">
        <v>1682.4249268000001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558.12133100000005</v>
      </c>
      <c r="B928" s="1">
        <f>DATE(2011,11,10) + TIME(2,54,43)</f>
        <v>40857.121331018519</v>
      </c>
      <c r="C928">
        <v>80</v>
      </c>
      <c r="D928">
        <v>77.371704101999995</v>
      </c>
      <c r="E928">
        <v>50</v>
      </c>
      <c r="F928">
        <v>49.973819732999999</v>
      </c>
      <c r="G928">
        <v>1113.4643555</v>
      </c>
      <c r="H928">
        <v>985.01049805000002</v>
      </c>
      <c r="I928">
        <v>1881.9818115</v>
      </c>
      <c r="J928">
        <v>1689.1881103999999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558.73648200000002</v>
      </c>
      <c r="B929" s="1">
        <f>DATE(2011,11,10) + TIME(17,40,32)</f>
        <v>40857.736481481479</v>
      </c>
      <c r="C929">
        <v>80</v>
      </c>
      <c r="D929">
        <v>77.272834778000004</v>
      </c>
      <c r="E929">
        <v>50</v>
      </c>
      <c r="F929">
        <v>49.973228454999997</v>
      </c>
      <c r="G929">
        <v>1108.1621094</v>
      </c>
      <c r="H929">
        <v>979.66900635000002</v>
      </c>
      <c r="I929">
        <v>1888.5423584</v>
      </c>
      <c r="J929">
        <v>1695.7745361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559.36474299999998</v>
      </c>
      <c r="B930" s="1">
        <f>DATE(2011,11,11) + TIME(8,45,13)</f>
        <v>40858.364733796298</v>
      </c>
      <c r="C930">
        <v>80</v>
      </c>
      <c r="D930">
        <v>77.171012877999999</v>
      </c>
      <c r="E930">
        <v>50</v>
      </c>
      <c r="F930">
        <v>49.972446441999999</v>
      </c>
      <c r="G930">
        <v>1103.1148682</v>
      </c>
      <c r="H930">
        <v>974.58239746000004</v>
      </c>
      <c r="I930">
        <v>1894.6278076000001</v>
      </c>
      <c r="J930">
        <v>1701.8869629000001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560.01293799999996</v>
      </c>
      <c r="B931" s="1">
        <f>DATE(2011,11,12) + TIME(0,18,37)</f>
        <v>40859.012928240743</v>
      </c>
      <c r="C931">
        <v>80</v>
      </c>
      <c r="D931">
        <v>77.066535950000002</v>
      </c>
      <c r="E931">
        <v>50</v>
      </c>
      <c r="F931">
        <v>49.971595764</v>
      </c>
      <c r="G931">
        <v>1098.2604980000001</v>
      </c>
      <c r="H931">
        <v>969.68731689000003</v>
      </c>
      <c r="I931">
        <v>1900.3601074000001</v>
      </c>
      <c r="J931">
        <v>1707.645874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560.68797400000005</v>
      </c>
      <c r="B932" s="1">
        <f>DATE(2011,11,12) + TIME(16,30,40)</f>
        <v>40859.687962962962</v>
      </c>
      <c r="C932">
        <v>80</v>
      </c>
      <c r="D932">
        <v>76.959129333000007</v>
      </c>
      <c r="E932">
        <v>50</v>
      </c>
      <c r="F932">
        <v>49.970733643000003</v>
      </c>
      <c r="G932">
        <v>1093.546875</v>
      </c>
      <c r="H932">
        <v>964.93176270000004</v>
      </c>
      <c r="I932">
        <v>1905.8154297000001</v>
      </c>
      <c r="J932">
        <v>1713.1280518000001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561.38165500000002</v>
      </c>
      <c r="B933" s="1">
        <f>DATE(2011,11,13) + TIME(9,9,34)</f>
        <v>40860.381643518522</v>
      </c>
      <c r="C933">
        <v>80</v>
      </c>
      <c r="D933">
        <v>76.849411011000001</v>
      </c>
      <c r="E933">
        <v>50</v>
      </c>
      <c r="F933">
        <v>49.969890593999999</v>
      </c>
      <c r="G933">
        <v>1089.0236815999999</v>
      </c>
      <c r="H933">
        <v>960.36621093999997</v>
      </c>
      <c r="I933">
        <v>1910.9320068</v>
      </c>
      <c r="J933">
        <v>1718.2714844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562.10090000000002</v>
      </c>
      <c r="B934" s="1">
        <f>DATE(2011,11,14) + TIME(2,25,17)</f>
        <v>40861.100891203707</v>
      </c>
      <c r="C934">
        <v>80</v>
      </c>
      <c r="D934">
        <v>76.737113953000005</v>
      </c>
      <c r="E934">
        <v>50</v>
      </c>
      <c r="F934">
        <v>49.969085692999997</v>
      </c>
      <c r="G934">
        <v>1084.644043</v>
      </c>
      <c r="H934">
        <v>955.94305420000001</v>
      </c>
      <c r="I934">
        <v>1915.7822266000001</v>
      </c>
      <c r="J934">
        <v>1723.1485596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562.85306700000001</v>
      </c>
      <c r="B935" s="1">
        <f>DATE(2011,11,14) + TIME(20,28,25)</f>
        <v>40861.853067129632</v>
      </c>
      <c r="C935">
        <v>80</v>
      </c>
      <c r="D935">
        <v>76.621627808</v>
      </c>
      <c r="E935">
        <v>50</v>
      </c>
      <c r="F935">
        <v>49.968326568999998</v>
      </c>
      <c r="G935">
        <v>1080.3679199000001</v>
      </c>
      <c r="H935">
        <v>951.62207031000003</v>
      </c>
      <c r="I935">
        <v>1920.4172363</v>
      </c>
      <c r="J935">
        <v>1727.8104248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563.64359300000001</v>
      </c>
      <c r="B936" s="1">
        <f>DATE(2011,11,15) + TIME(15,26,46)</f>
        <v>40862.643587962964</v>
      </c>
      <c r="C936">
        <v>80</v>
      </c>
      <c r="D936">
        <v>76.502273560000006</v>
      </c>
      <c r="E936">
        <v>50</v>
      </c>
      <c r="F936">
        <v>49.967609406000001</v>
      </c>
      <c r="G936">
        <v>1076.1739502</v>
      </c>
      <c r="H936">
        <v>947.38189696999996</v>
      </c>
      <c r="I936">
        <v>1924.8608397999999</v>
      </c>
      <c r="J936">
        <v>1732.2811279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564.47944900000005</v>
      </c>
      <c r="B937" s="1">
        <f>DATE(2011,11,16) + TIME(11,30,24)</f>
        <v>40863.479444444441</v>
      </c>
      <c r="C937">
        <v>80</v>
      </c>
      <c r="D937">
        <v>76.378265381000006</v>
      </c>
      <c r="E937">
        <v>50</v>
      </c>
      <c r="F937">
        <v>49.966934203999998</v>
      </c>
      <c r="G937">
        <v>1072.0399170000001</v>
      </c>
      <c r="H937">
        <v>943.19976807</v>
      </c>
      <c r="I937">
        <v>1929.1370850000001</v>
      </c>
      <c r="J937">
        <v>1736.5848389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565.37330299999996</v>
      </c>
      <c r="B938" s="1">
        <f>DATE(2011,11,17) + TIME(8,57,33)</f>
        <v>40864.373298611114</v>
      </c>
      <c r="C938">
        <v>80</v>
      </c>
      <c r="D938">
        <v>76.248405457000004</v>
      </c>
      <c r="E938">
        <v>50</v>
      </c>
      <c r="F938">
        <v>49.966297150000003</v>
      </c>
      <c r="G938">
        <v>1067.9262695</v>
      </c>
      <c r="H938">
        <v>939.03570557</v>
      </c>
      <c r="I938">
        <v>1933.2877197</v>
      </c>
      <c r="J938">
        <v>1740.7633057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566.30127900000002</v>
      </c>
      <c r="B939" s="1">
        <f>DATE(2011,11,18) + TIME(7,13,50)</f>
        <v>40865.30127314815</v>
      </c>
      <c r="C939">
        <v>80</v>
      </c>
      <c r="D939">
        <v>76.113578795999999</v>
      </c>
      <c r="E939">
        <v>50</v>
      </c>
      <c r="F939">
        <v>49.965702057000001</v>
      </c>
      <c r="G939">
        <v>1063.9466553</v>
      </c>
      <c r="H939">
        <v>935.00433350000003</v>
      </c>
      <c r="I939">
        <v>1937.1743164</v>
      </c>
      <c r="J939">
        <v>1744.6784668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567.25185199999999</v>
      </c>
      <c r="B940" s="1">
        <f>DATE(2011,11,19) + TIME(6,2,39)</f>
        <v>40866.251840277779</v>
      </c>
      <c r="C940">
        <v>80</v>
      </c>
      <c r="D940">
        <v>75.975318908999995</v>
      </c>
      <c r="E940">
        <v>50</v>
      </c>
      <c r="F940">
        <v>49.96516037</v>
      </c>
      <c r="G940">
        <v>1060.1444091999999</v>
      </c>
      <c r="H940">
        <v>931.14855956999997</v>
      </c>
      <c r="I940">
        <v>1940.7670897999999</v>
      </c>
      <c r="J940">
        <v>1748.2996826000001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568.21212800000001</v>
      </c>
      <c r="B941" s="1">
        <f>DATE(2011,11,20) + TIME(5,5,27)</f>
        <v>40867.212118055555</v>
      </c>
      <c r="C941">
        <v>80</v>
      </c>
      <c r="D941">
        <v>75.835372925000001</v>
      </c>
      <c r="E941">
        <v>50</v>
      </c>
      <c r="F941">
        <v>49.964675903</v>
      </c>
      <c r="G941">
        <v>1056.5540771000001</v>
      </c>
      <c r="H941">
        <v>927.50378418000003</v>
      </c>
      <c r="I941">
        <v>1944.0456543</v>
      </c>
      <c r="J941">
        <v>1751.6060791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569.19385499999999</v>
      </c>
      <c r="B942" s="1">
        <f>DATE(2011,11,21) + TIME(4,39,9)</f>
        <v>40868.193854166668</v>
      </c>
      <c r="C942">
        <v>80</v>
      </c>
      <c r="D942">
        <v>75.694007873999993</v>
      </c>
      <c r="E942">
        <v>50</v>
      </c>
      <c r="F942">
        <v>49.964248656999999</v>
      </c>
      <c r="G942">
        <v>1053.1230469</v>
      </c>
      <c r="H942">
        <v>924.01678466999999</v>
      </c>
      <c r="I942">
        <v>1947.0842285000001</v>
      </c>
      <c r="J942">
        <v>1754.6715088000001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570.20885699999997</v>
      </c>
      <c r="B943" s="1">
        <f>DATE(2011,11,22) + TIME(5,0,45)</f>
        <v>40869.208854166667</v>
      </c>
      <c r="C943">
        <v>80</v>
      </c>
      <c r="D943">
        <v>75.550437927000004</v>
      </c>
      <c r="E943">
        <v>50</v>
      </c>
      <c r="F943">
        <v>49.963867188000002</v>
      </c>
      <c r="G943">
        <v>1049.8073730000001</v>
      </c>
      <c r="H943">
        <v>920.64355468999997</v>
      </c>
      <c r="I943">
        <v>1949.9310303</v>
      </c>
      <c r="J943">
        <v>1757.5445557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571.26999000000001</v>
      </c>
      <c r="B944" s="1">
        <f>DATE(2011,11,23) + TIME(6,28,47)</f>
        <v>40870.269988425927</v>
      </c>
      <c r="C944">
        <v>80</v>
      </c>
      <c r="D944">
        <v>75.403396606000001</v>
      </c>
      <c r="E944">
        <v>50</v>
      </c>
      <c r="F944">
        <v>49.963523864999999</v>
      </c>
      <c r="G944">
        <v>1046.5700684000001</v>
      </c>
      <c r="H944">
        <v>917.34643555000002</v>
      </c>
      <c r="I944">
        <v>1952.6210937999999</v>
      </c>
      <c r="J944">
        <v>1760.260376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572.389546</v>
      </c>
      <c r="B945" s="1">
        <f>DATE(2011,11,24) + TIME(9,20,56)</f>
        <v>40871.389537037037</v>
      </c>
      <c r="C945">
        <v>80</v>
      </c>
      <c r="D945">
        <v>75.251457213999998</v>
      </c>
      <c r="E945">
        <v>50</v>
      </c>
      <c r="F945">
        <v>49.963207245</v>
      </c>
      <c r="G945">
        <v>1043.3842772999999</v>
      </c>
      <c r="H945">
        <v>914.09802246000004</v>
      </c>
      <c r="I945">
        <v>1955.1748047000001</v>
      </c>
      <c r="J945">
        <v>1762.8395995999999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573.56561599999998</v>
      </c>
      <c r="B946" s="1">
        <f>DATE(2011,11,25) + TIME(13,34,29)</f>
        <v>40872.565613425926</v>
      </c>
      <c r="C946">
        <v>80</v>
      </c>
      <c r="D946">
        <v>75.093849182</v>
      </c>
      <c r="E946">
        <v>50</v>
      </c>
      <c r="F946">
        <v>49.962917328000003</v>
      </c>
      <c r="G946">
        <v>1040.2637939000001</v>
      </c>
      <c r="H946">
        <v>910.91174316000001</v>
      </c>
      <c r="I946">
        <v>1957.5717772999999</v>
      </c>
      <c r="J946">
        <v>1765.2620850000001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574.18108500000005</v>
      </c>
      <c r="B947" s="1">
        <f>DATE(2011,11,26) + TIME(4,20,45)</f>
        <v>40873.181076388886</v>
      </c>
      <c r="C947">
        <v>80</v>
      </c>
      <c r="D947">
        <v>74.975639342999997</v>
      </c>
      <c r="E947">
        <v>50</v>
      </c>
      <c r="F947">
        <v>49.962627411</v>
      </c>
      <c r="G947">
        <v>1038.6079102000001</v>
      </c>
      <c r="H947">
        <v>909.21862793000003</v>
      </c>
      <c r="I947">
        <v>1958.5773925999999</v>
      </c>
      <c r="J947">
        <v>1766.2905272999999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575.41202399999997</v>
      </c>
      <c r="B948" s="1">
        <f>DATE(2011,11,27) + TIME(9,53,18)</f>
        <v>40874.41201388889</v>
      </c>
      <c r="C948">
        <v>80</v>
      </c>
      <c r="D948">
        <v>74.832778931000007</v>
      </c>
      <c r="E948">
        <v>50</v>
      </c>
      <c r="F948">
        <v>49.962524414000001</v>
      </c>
      <c r="G948">
        <v>1035.7259521000001</v>
      </c>
      <c r="H948">
        <v>906.25811768000005</v>
      </c>
      <c r="I948">
        <v>1960.78125</v>
      </c>
      <c r="J948">
        <v>1768.5111084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576.64331100000004</v>
      </c>
      <c r="B949" s="1">
        <f>DATE(2011,11,28) + TIME(15,26,22)</f>
        <v>40875.643310185187</v>
      </c>
      <c r="C949">
        <v>80</v>
      </c>
      <c r="D949">
        <v>74.674667357999994</v>
      </c>
      <c r="E949">
        <v>50</v>
      </c>
      <c r="F949">
        <v>49.962322235000002</v>
      </c>
      <c r="G949">
        <v>1032.973999</v>
      </c>
      <c r="H949">
        <v>903.43975829999999</v>
      </c>
      <c r="I949">
        <v>1962.6644286999999</v>
      </c>
      <c r="J949">
        <v>1770.4173584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577.89472799999999</v>
      </c>
      <c r="B950" s="1">
        <f>DATE(2011,11,29) + TIME(21,28,24)</f>
        <v>40876.89472222222</v>
      </c>
      <c r="C950">
        <v>80</v>
      </c>
      <c r="D950">
        <v>74.510719299000002</v>
      </c>
      <c r="E950">
        <v>50</v>
      </c>
      <c r="F950">
        <v>49.962127686000002</v>
      </c>
      <c r="G950">
        <v>1030.3510742000001</v>
      </c>
      <c r="H950">
        <v>900.74389647999999</v>
      </c>
      <c r="I950">
        <v>1964.3388672000001</v>
      </c>
      <c r="J950">
        <v>1772.1147461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579</v>
      </c>
      <c r="B951" s="1">
        <f>DATE(2011,12,1) + TIME(0,0,0)</f>
        <v>40878</v>
      </c>
      <c r="C951">
        <v>80</v>
      </c>
      <c r="D951">
        <v>74.352783203000001</v>
      </c>
      <c r="E951">
        <v>50</v>
      </c>
      <c r="F951">
        <v>49.961940765000001</v>
      </c>
      <c r="G951">
        <v>1028.1311035000001</v>
      </c>
      <c r="H951">
        <v>898.45355225000003</v>
      </c>
      <c r="I951">
        <v>1965.6102295000001</v>
      </c>
      <c r="J951">
        <v>1773.4077147999999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580.28570500000001</v>
      </c>
      <c r="B952" s="1">
        <f>DATE(2011,12,2) + TIME(6,51,24)</f>
        <v>40879.285694444443</v>
      </c>
      <c r="C952">
        <v>80</v>
      </c>
      <c r="D952">
        <v>74.192359924000002</v>
      </c>
      <c r="E952">
        <v>50</v>
      </c>
      <c r="F952">
        <v>49.961830139</v>
      </c>
      <c r="G952">
        <v>1025.7541504000001</v>
      </c>
      <c r="H952">
        <v>895.99639893000005</v>
      </c>
      <c r="I952">
        <v>1966.9927978999999</v>
      </c>
      <c r="J952">
        <v>1774.8096923999999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581.67652899999996</v>
      </c>
      <c r="B953" s="1">
        <f>DATE(2011,12,3) + TIME(16,14,12)</f>
        <v>40880.676527777781</v>
      </c>
      <c r="C953">
        <v>80</v>
      </c>
      <c r="D953">
        <v>74.021827697999996</v>
      </c>
      <c r="E953">
        <v>50</v>
      </c>
      <c r="F953">
        <v>49.961715697999999</v>
      </c>
      <c r="G953">
        <v>1023.3438721</v>
      </c>
      <c r="H953">
        <v>893.50238036999997</v>
      </c>
      <c r="I953">
        <v>1968.2991943</v>
      </c>
      <c r="J953">
        <v>1776.1363524999999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583.14687000000004</v>
      </c>
      <c r="B954" s="1">
        <f>DATE(2011,12,5) + TIME(3,31,29)</f>
        <v>40882.146863425929</v>
      </c>
      <c r="C954">
        <v>80</v>
      </c>
      <c r="D954">
        <v>73.841026306000003</v>
      </c>
      <c r="E954">
        <v>50</v>
      </c>
      <c r="F954">
        <v>49.961605071999998</v>
      </c>
      <c r="G954">
        <v>1020.9563599000001</v>
      </c>
      <c r="H954">
        <v>891.02374268000005</v>
      </c>
      <c r="I954">
        <v>1969.479126</v>
      </c>
      <c r="J954">
        <v>1777.3370361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584.63022000000001</v>
      </c>
      <c r="B955" s="1">
        <f>DATE(2011,12,6) + TIME(15,7,31)</f>
        <v>40883.630219907405</v>
      </c>
      <c r="C955">
        <v>80</v>
      </c>
      <c r="D955">
        <v>73.653770446999999</v>
      </c>
      <c r="E955">
        <v>50</v>
      </c>
      <c r="F955">
        <v>49.961498259999999</v>
      </c>
      <c r="G955">
        <v>1018.6837158</v>
      </c>
      <c r="H955">
        <v>888.65374756000006</v>
      </c>
      <c r="I955">
        <v>1970.4746094</v>
      </c>
      <c r="J955">
        <v>1778.3531493999999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586.12483299999997</v>
      </c>
      <c r="B956" s="1">
        <f>DATE(2011,12,8) + TIME(2,59,45)</f>
        <v>40885.124826388892</v>
      </c>
      <c r="C956">
        <v>80</v>
      </c>
      <c r="D956">
        <v>73.464233398000005</v>
      </c>
      <c r="E956">
        <v>50</v>
      </c>
      <c r="F956">
        <v>49.961414337000001</v>
      </c>
      <c r="G956">
        <v>1016.5249634</v>
      </c>
      <c r="H956">
        <v>886.39166260000002</v>
      </c>
      <c r="I956">
        <v>1971.3157959</v>
      </c>
      <c r="J956">
        <v>1779.2139893000001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587.64867800000002</v>
      </c>
      <c r="B957" s="1">
        <f>DATE(2011,12,9) + TIME(15,34,5)</f>
        <v>40886.648668981485</v>
      </c>
      <c r="C957">
        <v>80</v>
      </c>
      <c r="D957">
        <v>73.273101807000003</v>
      </c>
      <c r="E957">
        <v>50</v>
      </c>
      <c r="F957">
        <v>49.961353301999999</v>
      </c>
      <c r="G957">
        <v>1014.4511108</v>
      </c>
      <c r="H957">
        <v>884.20880126999998</v>
      </c>
      <c r="I957">
        <v>1972.0338135</v>
      </c>
      <c r="J957">
        <v>1779.9505615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589.21990500000004</v>
      </c>
      <c r="B958" s="1">
        <f>DATE(2011,12,11) + TIME(5,16,39)</f>
        <v>40888.219895833332</v>
      </c>
      <c r="C958">
        <v>80</v>
      </c>
      <c r="D958">
        <v>73.079101562000005</v>
      </c>
      <c r="E958">
        <v>50</v>
      </c>
      <c r="F958">
        <v>49.961311340000002</v>
      </c>
      <c r="G958">
        <v>1012.4355469</v>
      </c>
      <c r="H958">
        <v>882.07769774999997</v>
      </c>
      <c r="I958">
        <v>1972.6456298999999</v>
      </c>
      <c r="J958">
        <v>1780.5803223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590.85824300000002</v>
      </c>
      <c r="B959" s="1">
        <f>DATE(2011,12,12) + TIME(20,35,52)</f>
        <v>40889.858240740738</v>
      </c>
      <c r="C959">
        <v>80</v>
      </c>
      <c r="D959">
        <v>72.880264281999999</v>
      </c>
      <c r="E959">
        <v>50</v>
      </c>
      <c r="F959">
        <v>49.961280823000003</v>
      </c>
      <c r="G959">
        <v>1010.4542236</v>
      </c>
      <c r="H959">
        <v>879.97259521000001</v>
      </c>
      <c r="I959">
        <v>1973.1613769999999</v>
      </c>
      <c r="J959">
        <v>1781.1134033000001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592.57784400000003</v>
      </c>
      <c r="B960" s="1">
        <f>DATE(2011,12,14) + TIME(13,52,5)</f>
        <v>40891.577835648146</v>
      </c>
      <c r="C960">
        <v>80</v>
      </c>
      <c r="D960">
        <v>72.674522400000001</v>
      </c>
      <c r="E960">
        <v>50</v>
      </c>
      <c r="F960">
        <v>49.961265564000001</v>
      </c>
      <c r="G960">
        <v>1008.4913330000001</v>
      </c>
      <c r="H960">
        <v>877.87567138999998</v>
      </c>
      <c r="I960">
        <v>1973.583374</v>
      </c>
      <c r="J960">
        <v>1781.5522461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594.34792900000002</v>
      </c>
      <c r="B961" s="1">
        <f>DATE(2011,12,16) + TIME(8,21,1)</f>
        <v>40893.347928240742</v>
      </c>
      <c r="C961">
        <v>80</v>
      </c>
      <c r="D961">
        <v>72.461647033999995</v>
      </c>
      <c r="E961">
        <v>50</v>
      </c>
      <c r="F961">
        <v>49.961257934999999</v>
      </c>
      <c r="G961">
        <v>1006.5692749</v>
      </c>
      <c r="H961">
        <v>875.80847168000003</v>
      </c>
      <c r="I961">
        <v>1973.8972168</v>
      </c>
      <c r="J961">
        <v>1781.8826904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596.12821899999994</v>
      </c>
      <c r="B962" s="1">
        <f>DATE(2011,12,18) + TIME(3,4,38)</f>
        <v>40895.128217592595</v>
      </c>
      <c r="C962">
        <v>80</v>
      </c>
      <c r="D962">
        <v>72.244415282999995</v>
      </c>
      <c r="E962">
        <v>50</v>
      </c>
      <c r="F962">
        <v>49.961257934999999</v>
      </c>
      <c r="G962">
        <v>1004.7168579</v>
      </c>
      <c r="H962">
        <v>873.80041503999996</v>
      </c>
      <c r="I962">
        <v>1974.1019286999999</v>
      </c>
      <c r="J962">
        <v>1782.1032714999999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597.94051400000001</v>
      </c>
      <c r="B963" s="1">
        <f>DATE(2011,12,19) + TIME(22,34,20)</f>
        <v>40896.940509259257</v>
      </c>
      <c r="C963">
        <v>80</v>
      </c>
      <c r="D963">
        <v>72.024726868000002</v>
      </c>
      <c r="E963">
        <v>50</v>
      </c>
      <c r="F963">
        <v>49.961273192999997</v>
      </c>
      <c r="G963">
        <v>1002.9158936</v>
      </c>
      <c r="H963">
        <v>871.83312988</v>
      </c>
      <c r="I963">
        <v>1974.2214355000001</v>
      </c>
      <c r="J963">
        <v>1782.2379149999999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599.80143299999997</v>
      </c>
      <c r="B964" s="1">
        <f>DATE(2011,12,21) + TIME(19,14,3)</f>
        <v>40898.801423611112</v>
      </c>
      <c r="C964">
        <v>80</v>
      </c>
      <c r="D964">
        <v>71.801429748999993</v>
      </c>
      <c r="E964">
        <v>50</v>
      </c>
      <c r="F964">
        <v>49.961299896</v>
      </c>
      <c r="G964">
        <v>1001.1461792</v>
      </c>
      <c r="H964">
        <v>869.88531493999994</v>
      </c>
      <c r="I964">
        <v>1974.2658690999999</v>
      </c>
      <c r="J964">
        <v>1782.2967529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601.71401900000001</v>
      </c>
      <c r="B965" s="1">
        <f>DATE(2011,12,23) + TIME(17,8,11)</f>
        <v>40900.714016203703</v>
      </c>
      <c r="C965">
        <v>80</v>
      </c>
      <c r="D965">
        <v>71.573150635000005</v>
      </c>
      <c r="E965">
        <v>50</v>
      </c>
      <c r="F965">
        <v>49.961334229000002</v>
      </c>
      <c r="G965">
        <v>999.39764404000005</v>
      </c>
      <c r="H965">
        <v>867.94506836000005</v>
      </c>
      <c r="I965">
        <v>1974.2390137</v>
      </c>
      <c r="J965">
        <v>1782.2836914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603.70068600000002</v>
      </c>
      <c r="B966" s="1">
        <f>DATE(2011,12,25) + TIME(16,48,59)</f>
        <v>40902.700682870367</v>
      </c>
      <c r="C966">
        <v>80</v>
      </c>
      <c r="D966">
        <v>71.338455199999999</v>
      </c>
      <c r="E966">
        <v>50</v>
      </c>
      <c r="F966">
        <v>49.961383820000002</v>
      </c>
      <c r="G966">
        <v>997.65112305000002</v>
      </c>
      <c r="H966">
        <v>865.99066161999997</v>
      </c>
      <c r="I966">
        <v>1974.1469727000001</v>
      </c>
      <c r="J966">
        <v>1782.2049560999999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605.75027</v>
      </c>
      <c r="B967" s="1">
        <f>DATE(2011,12,27) + TIME(18,0,23)</f>
        <v>40904.7502662037</v>
      </c>
      <c r="C967">
        <v>80</v>
      </c>
      <c r="D967">
        <v>71.095985412999994</v>
      </c>
      <c r="E967">
        <v>50</v>
      </c>
      <c r="F967">
        <v>49.961437224999997</v>
      </c>
      <c r="G967">
        <v>995.90405272999999</v>
      </c>
      <c r="H967">
        <v>864.01721191000001</v>
      </c>
      <c r="I967">
        <v>1973.989624</v>
      </c>
      <c r="J967">
        <v>1782.0604248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607.82590400000004</v>
      </c>
      <c r="B968" s="1">
        <f>DATE(2011,12,29) + TIME(19,49,18)</f>
        <v>40906.825902777775</v>
      </c>
      <c r="C968">
        <v>80</v>
      </c>
      <c r="D968">
        <v>70.846954346000004</v>
      </c>
      <c r="E968">
        <v>50</v>
      </c>
      <c r="F968">
        <v>49.961494446000003</v>
      </c>
      <c r="G968">
        <v>994.17071533000001</v>
      </c>
      <c r="H968">
        <v>862.03851318</v>
      </c>
      <c r="I968">
        <v>1973.7707519999999</v>
      </c>
      <c r="J968">
        <v>1781.8538818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608.91295200000002</v>
      </c>
      <c r="B969" s="1">
        <f>DATE(2011,12,30) + TIME(21,54,39)</f>
        <v>40907.912951388891</v>
      </c>
      <c r="C969">
        <v>80</v>
      </c>
      <c r="D969">
        <v>70.645088196000003</v>
      </c>
      <c r="E969">
        <v>50</v>
      </c>
      <c r="F969">
        <v>49.961452483999999</v>
      </c>
      <c r="G969">
        <v>992.99768066000001</v>
      </c>
      <c r="H969">
        <v>860.65899658000001</v>
      </c>
      <c r="I969">
        <v>1973.5253906</v>
      </c>
      <c r="J969">
        <v>1781.6185303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610</v>
      </c>
      <c r="B970" s="1">
        <f>DATE(2012,1,1) + TIME(0,0,0)</f>
        <v>40909</v>
      </c>
      <c r="C970">
        <v>80</v>
      </c>
      <c r="D970">
        <v>70.482452393000003</v>
      </c>
      <c r="E970">
        <v>50</v>
      </c>
      <c r="F970">
        <v>49.961483002000001</v>
      </c>
      <c r="G970">
        <v>992.01245116999996</v>
      </c>
      <c r="H970">
        <v>859.49285888999998</v>
      </c>
      <c r="I970">
        <v>1973.3179932</v>
      </c>
      <c r="J970">
        <v>1781.4180908000001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612.17409599999996</v>
      </c>
      <c r="B971" s="1">
        <f>DATE(2012,1,3) + TIME(4,10,41)</f>
        <v>40911.174085648148</v>
      </c>
      <c r="C971">
        <v>80</v>
      </c>
      <c r="D971">
        <v>70.297088622999993</v>
      </c>
      <c r="E971">
        <v>50</v>
      </c>
      <c r="F971">
        <v>49.961666106999999</v>
      </c>
      <c r="G971">
        <v>990.55072021000001</v>
      </c>
      <c r="H971">
        <v>857.82019043000003</v>
      </c>
      <c r="I971">
        <v>1973.1218262</v>
      </c>
      <c r="J971">
        <v>1781.2288818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614.391211</v>
      </c>
      <c r="B972" s="1">
        <f>DATE(2012,1,5) + TIME(9,23,20)</f>
        <v>40913.391203703701</v>
      </c>
      <c r="C972">
        <v>80</v>
      </c>
      <c r="D972">
        <v>70.050323485999996</v>
      </c>
      <c r="E972">
        <v>50</v>
      </c>
      <c r="F972">
        <v>49.961746216000002</v>
      </c>
      <c r="G972">
        <v>988.85662841999999</v>
      </c>
      <c r="H972">
        <v>855.84271239999998</v>
      </c>
      <c r="I972">
        <v>1972.8125</v>
      </c>
      <c r="J972">
        <v>1780.9294434000001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616.70746399999996</v>
      </c>
      <c r="B973" s="1">
        <f>DATE(2012,1,7) + TIME(16,58,44)</f>
        <v>40915.707453703704</v>
      </c>
      <c r="C973">
        <v>80</v>
      </c>
      <c r="D973">
        <v>69.780082703000005</v>
      </c>
      <c r="E973">
        <v>50</v>
      </c>
      <c r="F973">
        <v>49.961826324</v>
      </c>
      <c r="G973">
        <v>987.09100341999999</v>
      </c>
      <c r="H973">
        <v>853.74707031000003</v>
      </c>
      <c r="I973">
        <v>1972.4343262</v>
      </c>
      <c r="J973">
        <v>1780.5614014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619.04542800000002</v>
      </c>
      <c r="B974" s="1">
        <f>DATE(2012,1,10) + TIME(1,5,24)</f>
        <v>40918.045416666668</v>
      </c>
      <c r="C974">
        <v>80</v>
      </c>
      <c r="D974">
        <v>69.495368958</v>
      </c>
      <c r="E974">
        <v>50</v>
      </c>
      <c r="F974">
        <v>49.961910248000002</v>
      </c>
      <c r="G974">
        <v>985.28637694999998</v>
      </c>
      <c r="H974">
        <v>851.57617187999995</v>
      </c>
      <c r="I974">
        <v>1972.0109863</v>
      </c>
      <c r="J974">
        <v>1780.1478271000001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621.41349500000001</v>
      </c>
      <c r="B975" s="1">
        <f>DATE(2012,1,12) + TIME(9,55,25)</f>
        <v>40920.413483796299</v>
      </c>
      <c r="C975">
        <v>80</v>
      </c>
      <c r="D975">
        <v>69.202873229999994</v>
      </c>
      <c r="E975">
        <v>50</v>
      </c>
      <c r="F975">
        <v>49.962001801</v>
      </c>
      <c r="G975">
        <v>983.45745850000003</v>
      </c>
      <c r="H975">
        <v>849.35089111000002</v>
      </c>
      <c r="I975">
        <v>1971.5592041</v>
      </c>
      <c r="J975">
        <v>1779.7054443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623.81954800000005</v>
      </c>
      <c r="B976" s="1">
        <f>DATE(2012,1,14) + TIME(19,40,8)</f>
        <v>40922.819537037038</v>
      </c>
      <c r="C976">
        <v>80</v>
      </c>
      <c r="D976">
        <v>68.903221130000006</v>
      </c>
      <c r="E976">
        <v>50</v>
      </c>
      <c r="F976">
        <v>49.962100982999999</v>
      </c>
      <c r="G976">
        <v>981.59796143000005</v>
      </c>
      <c r="H976">
        <v>847.06457520000004</v>
      </c>
      <c r="I976">
        <v>1971.0864257999999</v>
      </c>
      <c r="J976">
        <v>1779.2414550999999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626.28702099999998</v>
      </c>
      <c r="B977" s="1">
        <f>DATE(2012,1,17) + TIME(6,53,18)</f>
        <v>40925.28701388889</v>
      </c>
      <c r="C977">
        <v>80</v>
      </c>
      <c r="D977">
        <v>68.595100403000004</v>
      </c>
      <c r="E977">
        <v>50</v>
      </c>
      <c r="F977">
        <v>49.962203979000002</v>
      </c>
      <c r="G977">
        <v>979.69299316000001</v>
      </c>
      <c r="H977">
        <v>844.69903564000003</v>
      </c>
      <c r="I977">
        <v>1970.5946045000001</v>
      </c>
      <c r="J977">
        <v>1778.7580565999999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628.84114999999997</v>
      </c>
      <c r="B978" s="1">
        <f>DATE(2012,1,19) + TIME(20,11,15)</f>
        <v>40927.841145833336</v>
      </c>
      <c r="C978">
        <v>80</v>
      </c>
      <c r="D978">
        <v>68.275489807</v>
      </c>
      <c r="E978">
        <v>50</v>
      </c>
      <c r="F978">
        <v>49.962318420000003</v>
      </c>
      <c r="G978">
        <v>977.72125243999994</v>
      </c>
      <c r="H978">
        <v>842.22650146000001</v>
      </c>
      <c r="I978">
        <v>1970.0830077999999</v>
      </c>
      <c r="J978">
        <v>1778.2543945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631.41976499999998</v>
      </c>
      <c r="B979" s="1">
        <f>DATE(2012,1,22) + TIME(10,4,27)</f>
        <v>40930.419756944444</v>
      </c>
      <c r="C979">
        <v>80</v>
      </c>
      <c r="D979">
        <v>67.943138122999997</v>
      </c>
      <c r="E979">
        <v>50</v>
      </c>
      <c r="F979">
        <v>49.962429047000001</v>
      </c>
      <c r="G979">
        <v>975.68621826000003</v>
      </c>
      <c r="H979">
        <v>839.64605713000003</v>
      </c>
      <c r="I979">
        <v>1969.5568848</v>
      </c>
      <c r="J979">
        <v>1777.7360839999999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634.01567899999998</v>
      </c>
      <c r="B980" s="1">
        <f>DATE(2012,1,25) + TIME(0,22,34)</f>
        <v>40933.0156712963</v>
      </c>
      <c r="C980">
        <v>80</v>
      </c>
      <c r="D980">
        <v>67.601669311999999</v>
      </c>
      <c r="E980">
        <v>50</v>
      </c>
      <c r="F980">
        <v>49.962539673000002</v>
      </c>
      <c r="G980">
        <v>973.60382079999999</v>
      </c>
      <c r="H980">
        <v>836.97747803000004</v>
      </c>
      <c r="I980">
        <v>1969.0239257999999</v>
      </c>
      <c r="J980">
        <v>1777.2103271000001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636.653593</v>
      </c>
      <c r="B981" s="1">
        <f>DATE(2012,1,27) + TIME(15,41,10)</f>
        <v>40935.653587962966</v>
      </c>
      <c r="C981">
        <v>80</v>
      </c>
      <c r="D981">
        <v>67.251258849999999</v>
      </c>
      <c r="E981">
        <v>50</v>
      </c>
      <c r="F981">
        <v>49.962654114000003</v>
      </c>
      <c r="G981">
        <v>971.46734618999994</v>
      </c>
      <c r="H981">
        <v>834.21331786999997</v>
      </c>
      <c r="I981">
        <v>1968.4862060999999</v>
      </c>
      <c r="J981">
        <v>1776.6794434000001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639.35889599999996</v>
      </c>
      <c r="B982" s="1">
        <f>DATE(2012,1,30) + TIME(8,36,48)</f>
        <v>40938.358888888892</v>
      </c>
      <c r="C982">
        <v>80</v>
      </c>
      <c r="D982">
        <v>66.888870238999999</v>
      </c>
      <c r="E982">
        <v>50</v>
      </c>
      <c r="F982">
        <v>49.962776183999999</v>
      </c>
      <c r="G982">
        <v>969.25610352000001</v>
      </c>
      <c r="H982">
        <v>831.32617187999995</v>
      </c>
      <c r="I982">
        <v>1967.9421387</v>
      </c>
      <c r="J982">
        <v>1776.1419678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641</v>
      </c>
      <c r="B983" s="1">
        <f>DATE(2012,2,1) + TIME(0,0,0)</f>
        <v>40940</v>
      </c>
      <c r="C983">
        <v>80</v>
      </c>
      <c r="D983">
        <v>66.561241150000001</v>
      </c>
      <c r="E983">
        <v>50</v>
      </c>
      <c r="F983">
        <v>49.962802887000002</v>
      </c>
      <c r="G983">
        <v>967.33734131000006</v>
      </c>
      <c r="H983">
        <v>828.76226807</v>
      </c>
      <c r="I983">
        <v>1967.5257568</v>
      </c>
      <c r="J983">
        <v>1775.7308350000001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643.75448800000004</v>
      </c>
      <c r="B984" s="1">
        <f>DATE(2012,2,3) + TIME(18,6,27)</f>
        <v>40942.754479166666</v>
      </c>
      <c r="C984">
        <v>80</v>
      </c>
      <c r="D984">
        <v>66.255355835000003</v>
      </c>
      <c r="E984">
        <v>50</v>
      </c>
      <c r="F984">
        <v>49.962974547999998</v>
      </c>
      <c r="G984">
        <v>965.44952393000005</v>
      </c>
      <c r="H984">
        <v>826.27148437999995</v>
      </c>
      <c r="I984">
        <v>1967.0289307</v>
      </c>
      <c r="J984">
        <v>1775.2387695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646.53555700000004</v>
      </c>
      <c r="B985" s="1">
        <f>DATE(2012,2,6) + TIME(12,51,12)</f>
        <v>40945.535555555558</v>
      </c>
      <c r="C985">
        <v>80</v>
      </c>
      <c r="D985">
        <v>65.876991271999998</v>
      </c>
      <c r="E985">
        <v>50</v>
      </c>
      <c r="F985">
        <v>49.963100433000001</v>
      </c>
      <c r="G985">
        <v>963.10131836000005</v>
      </c>
      <c r="H985">
        <v>823.14556885000002</v>
      </c>
      <c r="I985">
        <v>1966.5073242000001</v>
      </c>
      <c r="J985">
        <v>1774.7224120999999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649.33002899999997</v>
      </c>
      <c r="B986" s="1">
        <f>DATE(2012,2,9) + TIME(7,55,14)</f>
        <v>40948.330023148148</v>
      </c>
      <c r="C986">
        <v>80</v>
      </c>
      <c r="D986">
        <v>65.472648621000005</v>
      </c>
      <c r="E986">
        <v>50</v>
      </c>
      <c r="F986">
        <v>49.963214874000002</v>
      </c>
      <c r="G986">
        <v>960.63745116999996</v>
      </c>
      <c r="H986">
        <v>819.81994628999996</v>
      </c>
      <c r="I986">
        <v>1965.9737548999999</v>
      </c>
      <c r="J986">
        <v>1774.1942139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652.14181799999994</v>
      </c>
      <c r="B987" s="1">
        <f>DATE(2012,2,12) + TIME(3,24,13)</f>
        <v>40951.141817129632</v>
      </c>
      <c r="C987">
        <v>80</v>
      </c>
      <c r="D987">
        <v>65.053802489999995</v>
      </c>
      <c r="E987">
        <v>50</v>
      </c>
      <c r="F987">
        <v>49.963336945000002</v>
      </c>
      <c r="G987">
        <v>958.09490966999999</v>
      </c>
      <c r="H987">
        <v>816.35516356999995</v>
      </c>
      <c r="I987">
        <v>1965.4407959</v>
      </c>
      <c r="J987">
        <v>1773.6662598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654.97562800000003</v>
      </c>
      <c r="B988" s="1">
        <f>DATE(2012,2,14) + TIME(23,24,54)</f>
        <v>40953.975624999999</v>
      </c>
      <c r="C988">
        <v>80</v>
      </c>
      <c r="D988">
        <v>64.622383118000002</v>
      </c>
      <c r="E988">
        <v>50</v>
      </c>
      <c r="F988">
        <v>49.963455199999999</v>
      </c>
      <c r="G988">
        <v>955.47570800999995</v>
      </c>
      <c r="H988">
        <v>812.75598145000004</v>
      </c>
      <c r="I988">
        <v>1964.9121094</v>
      </c>
      <c r="J988">
        <v>1773.1423339999999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657.82799799999998</v>
      </c>
      <c r="B989" s="1">
        <f>DATE(2012,2,17) + TIME(19,52,19)</f>
        <v>40956.827997685185</v>
      </c>
      <c r="C989">
        <v>80</v>
      </c>
      <c r="D989">
        <v>64.178100585999999</v>
      </c>
      <c r="E989">
        <v>50</v>
      </c>
      <c r="F989">
        <v>49.963577270999998</v>
      </c>
      <c r="G989">
        <v>952.77801513999998</v>
      </c>
      <c r="H989">
        <v>809.01892090000001</v>
      </c>
      <c r="I989">
        <v>1964.3894043</v>
      </c>
      <c r="J989">
        <v>1772.6241454999999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660.69623799999999</v>
      </c>
      <c r="B990" s="1">
        <f>DATE(2012,2,20) + TIME(16,42,34)</f>
        <v>40959.696226851855</v>
      </c>
      <c r="C990">
        <v>80</v>
      </c>
      <c r="D990">
        <v>63.720886229999998</v>
      </c>
      <c r="E990">
        <v>50</v>
      </c>
      <c r="F990">
        <v>49.963699341000002</v>
      </c>
      <c r="G990">
        <v>950.00225829999999</v>
      </c>
      <c r="H990">
        <v>805.14318848000005</v>
      </c>
      <c r="I990">
        <v>1963.8736572</v>
      </c>
      <c r="J990">
        <v>1772.1125488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663.58526099999995</v>
      </c>
      <c r="B991" s="1">
        <f>DATE(2012,2,23) + TIME(14,2,46)</f>
        <v>40962.58525462963</v>
      </c>
      <c r="C991">
        <v>80</v>
      </c>
      <c r="D991">
        <v>63.250621795999997</v>
      </c>
      <c r="E991">
        <v>50</v>
      </c>
      <c r="F991">
        <v>49.963821410999998</v>
      </c>
      <c r="G991">
        <v>947.14776611000002</v>
      </c>
      <c r="H991">
        <v>801.12689208999996</v>
      </c>
      <c r="I991">
        <v>1963.3648682</v>
      </c>
      <c r="J991">
        <v>1771.6076660000001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666.49329699999998</v>
      </c>
      <c r="B992" s="1">
        <f>DATE(2012,2,26) + TIME(11,50,20)</f>
        <v>40965.493287037039</v>
      </c>
      <c r="C992">
        <v>80</v>
      </c>
      <c r="D992">
        <v>62.766395568999997</v>
      </c>
      <c r="E992">
        <v>50</v>
      </c>
      <c r="F992">
        <v>49.963943481000001</v>
      </c>
      <c r="G992">
        <v>944.21099853999999</v>
      </c>
      <c r="H992">
        <v>796.96362305000002</v>
      </c>
      <c r="I992">
        <v>1962.8629149999999</v>
      </c>
      <c r="J992">
        <v>1771.1096190999999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669.42086600000005</v>
      </c>
      <c r="B993" s="1">
        <f>DATE(2012,2,29) + TIME(10,6,2)</f>
        <v>40968.420856481483</v>
      </c>
      <c r="C993">
        <v>80</v>
      </c>
      <c r="D993">
        <v>62.267940521</v>
      </c>
      <c r="E993">
        <v>50</v>
      </c>
      <c r="F993">
        <v>49.964061737000002</v>
      </c>
      <c r="G993">
        <v>941.19152831999997</v>
      </c>
      <c r="H993">
        <v>792.65173340000001</v>
      </c>
      <c r="I993">
        <v>1962.3677978999999</v>
      </c>
      <c r="J993">
        <v>1770.6180420000001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670</v>
      </c>
      <c r="B994" s="1">
        <f>DATE(2012,3,1) + TIME(0,0,0)</f>
        <v>40969</v>
      </c>
      <c r="C994">
        <v>80</v>
      </c>
      <c r="D994">
        <v>61.989437103</v>
      </c>
      <c r="E994">
        <v>50</v>
      </c>
      <c r="F994">
        <v>49.964046478</v>
      </c>
      <c r="G994">
        <v>939.22021484000004</v>
      </c>
      <c r="H994">
        <v>789.87438965000001</v>
      </c>
      <c r="I994">
        <v>1962.2237548999999</v>
      </c>
      <c r="J994">
        <v>1770.4757079999999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672.95252600000003</v>
      </c>
      <c r="B995" s="1">
        <f>DATE(2012,3,3) + TIME(22,51,38)</f>
        <v>40971.952523148146</v>
      </c>
      <c r="C995">
        <v>80</v>
      </c>
      <c r="D995">
        <v>61.612743377999998</v>
      </c>
      <c r="E995">
        <v>50</v>
      </c>
      <c r="F995">
        <v>49.964202880999999</v>
      </c>
      <c r="G995">
        <v>937.32092284999999</v>
      </c>
      <c r="H995">
        <v>787.03576659999999</v>
      </c>
      <c r="I995">
        <v>1961.7520752</v>
      </c>
      <c r="J995">
        <v>1770.0065918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675.92617399999995</v>
      </c>
      <c r="B996" s="1">
        <f>DATE(2012,3,6) + TIME(22,13,41)</f>
        <v>40974.926168981481</v>
      </c>
      <c r="C996">
        <v>80</v>
      </c>
      <c r="D996">
        <v>61.112007140999999</v>
      </c>
      <c r="E996">
        <v>50</v>
      </c>
      <c r="F996">
        <v>49.964332581000001</v>
      </c>
      <c r="G996">
        <v>934.22332763999998</v>
      </c>
      <c r="H996">
        <v>782.57995604999996</v>
      </c>
      <c r="I996">
        <v>1961.2904053</v>
      </c>
      <c r="J996">
        <v>1769.5478516000001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678.91648899999996</v>
      </c>
      <c r="B997" s="1">
        <f>DATE(2012,3,9) + TIME(21,59,44)</f>
        <v>40977.916481481479</v>
      </c>
      <c r="C997">
        <v>80</v>
      </c>
      <c r="D997">
        <v>60.57125473</v>
      </c>
      <c r="E997">
        <v>50</v>
      </c>
      <c r="F997">
        <v>49.964450835999997</v>
      </c>
      <c r="G997">
        <v>930.95532227000001</v>
      </c>
      <c r="H997">
        <v>777.81427001999998</v>
      </c>
      <c r="I997">
        <v>1960.8233643000001</v>
      </c>
      <c r="J997">
        <v>1769.0837402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681.92365500000005</v>
      </c>
      <c r="B998" s="1">
        <f>DATE(2012,3,12) + TIME(22,10,3)</f>
        <v>40980.923645833333</v>
      </c>
      <c r="C998">
        <v>80</v>
      </c>
      <c r="D998">
        <v>60.011005402000002</v>
      </c>
      <c r="E998">
        <v>50</v>
      </c>
      <c r="F998">
        <v>49.964569091999998</v>
      </c>
      <c r="G998">
        <v>927.59179687999995</v>
      </c>
      <c r="H998">
        <v>772.86968993999994</v>
      </c>
      <c r="I998">
        <v>1960.3576660000001</v>
      </c>
      <c r="J998">
        <v>1768.6209716999999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684.95192999999995</v>
      </c>
      <c r="B999" s="1">
        <f>DATE(2012,3,15) + TIME(22,50,46)</f>
        <v>40983.951921296299</v>
      </c>
      <c r="C999">
        <v>80</v>
      </c>
      <c r="D999">
        <v>59.434066772000001</v>
      </c>
      <c r="E999">
        <v>50</v>
      </c>
      <c r="F999">
        <v>49.964687347000002</v>
      </c>
      <c r="G999">
        <v>924.14422606999995</v>
      </c>
      <c r="H999">
        <v>767.76696776999995</v>
      </c>
      <c r="I999">
        <v>1959.8959961</v>
      </c>
      <c r="J999">
        <v>1768.1618652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687.99883599999998</v>
      </c>
      <c r="B1000" s="1">
        <f>DATE(2012,3,18) + TIME(23,58,19)</f>
        <v>40986.998831018522</v>
      </c>
      <c r="C1000">
        <v>80</v>
      </c>
      <c r="D1000">
        <v>58.841869354000004</v>
      </c>
      <c r="E1000">
        <v>50</v>
      </c>
      <c r="F1000">
        <v>49.964805603000002</v>
      </c>
      <c r="G1000">
        <v>920.61389159999999</v>
      </c>
      <c r="H1000">
        <v>762.50854491999996</v>
      </c>
      <c r="I1000">
        <v>1959.4389647999999</v>
      </c>
      <c r="J1000">
        <v>1767.7073975000001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691.06839300000001</v>
      </c>
      <c r="B1001" s="1">
        <f>DATE(2012,3,22) + TIME(1,38,29)</f>
        <v>40990.068391203706</v>
      </c>
      <c r="C1001">
        <v>80</v>
      </c>
      <c r="D1001">
        <v>58.235084534000002</v>
      </c>
      <c r="E1001">
        <v>50</v>
      </c>
      <c r="F1001">
        <v>49.964923859000002</v>
      </c>
      <c r="G1001">
        <v>917.00433350000003</v>
      </c>
      <c r="H1001">
        <v>757.09887694999998</v>
      </c>
      <c r="I1001">
        <v>1958.9863281</v>
      </c>
      <c r="J1001">
        <v>1767.2572021000001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694.15687400000002</v>
      </c>
      <c r="B1002" s="1">
        <f>DATE(2012,3,25) + TIME(3,45,53)</f>
        <v>40993.156863425924</v>
      </c>
      <c r="C1002">
        <v>80</v>
      </c>
      <c r="D1002">
        <v>57.613864898999999</v>
      </c>
      <c r="E1002">
        <v>50</v>
      </c>
      <c r="F1002">
        <v>49.965042113999999</v>
      </c>
      <c r="G1002">
        <v>913.31573486000002</v>
      </c>
      <c r="H1002">
        <v>751.53759765999996</v>
      </c>
      <c r="I1002">
        <v>1958.5379639</v>
      </c>
      <c r="J1002">
        <v>1766.8112793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697.27036199999998</v>
      </c>
      <c r="B1003" s="1">
        <f>DATE(2012,3,28) + TIME(6,29,19)</f>
        <v>40996.270358796297</v>
      </c>
      <c r="C1003">
        <v>80</v>
      </c>
      <c r="D1003">
        <v>56.978958130000002</v>
      </c>
      <c r="E1003">
        <v>50</v>
      </c>
      <c r="F1003">
        <v>49.96516037</v>
      </c>
      <c r="G1003">
        <v>909.55218506000006</v>
      </c>
      <c r="H1003">
        <v>745.82977295000001</v>
      </c>
      <c r="I1003">
        <v>1958.0932617000001</v>
      </c>
      <c r="J1003">
        <v>1766.3686522999999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700.40912700000001</v>
      </c>
      <c r="B1004" s="1">
        <f>DATE(2012,3,31) + TIME(9,49,8)</f>
        <v>40999.409120370372</v>
      </c>
      <c r="C1004">
        <v>80</v>
      </c>
      <c r="D1004">
        <v>56.330493926999999</v>
      </c>
      <c r="E1004">
        <v>50</v>
      </c>
      <c r="F1004">
        <v>49.965274811</v>
      </c>
      <c r="G1004">
        <v>905.71215819999998</v>
      </c>
      <c r="H1004">
        <v>739.97277831999997</v>
      </c>
      <c r="I1004">
        <v>1957.6513672000001</v>
      </c>
      <c r="J1004">
        <v>1765.9289550999999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701</v>
      </c>
      <c r="B1005" s="1">
        <f>DATE(2012,4,1) + TIME(0,0,0)</f>
        <v>41000</v>
      </c>
      <c r="C1005">
        <v>80</v>
      </c>
      <c r="D1005">
        <v>55.969318389999998</v>
      </c>
      <c r="E1005">
        <v>50</v>
      </c>
      <c r="F1005">
        <v>49.965267181000002</v>
      </c>
      <c r="G1005">
        <v>903.04931640999996</v>
      </c>
      <c r="H1005">
        <v>736.09246826000003</v>
      </c>
      <c r="I1005">
        <v>1957.5363769999999</v>
      </c>
      <c r="J1005">
        <v>1765.8148193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704.15547900000001</v>
      </c>
      <c r="B1006" s="1">
        <f>DATE(2012,4,4) + TIME(3,43,53)</f>
        <v>41003.155474537038</v>
      </c>
      <c r="C1006">
        <v>80</v>
      </c>
      <c r="D1006">
        <v>55.496646880999997</v>
      </c>
      <c r="E1006">
        <v>50</v>
      </c>
      <c r="F1006">
        <v>49.965408324999999</v>
      </c>
      <c r="G1006">
        <v>900.89288329999999</v>
      </c>
      <c r="H1006">
        <v>732.50769043000003</v>
      </c>
      <c r="I1006">
        <v>1957.1043701000001</v>
      </c>
      <c r="J1006">
        <v>1765.3843993999999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707.33596899999998</v>
      </c>
      <c r="B1007" s="1">
        <f>DATE(2012,4,7) + TIME(8,3,47)</f>
        <v>41006.335960648146</v>
      </c>
      <c r="C1007">
        <v>80</v>
      </c>
      <c r="D1007">
        <v>54.862388611</v>
      </c>
      <c r="E1007">
        <v>50</v>
      </c>
      <c r="F1007">
        <v>49.965534210000001</v>
      </c>
      <c r="G1007">
        <v>897.04473876999998</v>
      </c>
      <c r="H1007">
        <v>726.62292479999996</v>
      </c>
      <c r="I1007">
        <v>1956.6833495999999</v>
      </c>
      <c r="J1007">
        <v>1764.9652100000001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710.54466100000002</v>
      </c>
      <c r="B1008" s="1">
        <f>DATE(2012,4,10) + TIME(13,4,18)</f>
        <v>41009.544652777775</v>
      </c>
      <c r="C1008">
        <v>80</v>
      </c>
      <c r="D1008">
        <v>54.186271667</v>
      </c>
      <c r="E1008">
        <v>50</v>
      </c>
      <c r="F1008">
        <v>49.965648651000002</v>
      </c>
      <c r="G1008">
        <v>893.0234375</v>
      </c>
      <c r="H1008">
        <v>720.39141845999995</v>
      </c>
      <c r="I1008">
        <v>1956.2554932</v>
      </c>
      <c r="J1008">
        <v>1764.5391846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713.78401299999996</v>
      </c>
      <c r="B1009" s="1">
        <f>DATE(2012,4,13) + TIME(18,48,58)</f>
        <v>41012.784004629626</v>
      </c>
      <c r="C1009">
        <v>80</v>
      </c>
      <c r="D1009">
        <v>53.495040893999999</v>
      </c>
      <c r="E1009">
        <v>50</v>
      </c>
      <c r="F1009">
        <v>49.965763092000003</v>
      </c>
      <c r="G1009">
        <v>888.92315673999997</v>
      </c>
      <c r="H1009">
        <v>713.99426270000004</v>
      </c>
      <c r="I1009">
        <v>1955.8243408000001</v>
      </c>
      <c r="J1009">
        <v>1764.1096190999999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717.05472799999995</v>
      </c>
      <c r="B1010" s="1">
        <f>DATE(2012,4,17) + TIME(1,18,48)</f>
        <v>41016.054722222223</v>
      </c>
      <c r="C1010">
        <v>80</v>
      </c>
      <c r="D1010">
        <v>52.793941498000002</v>
      </c>
      <c r="E1010">
        <v>50</v>
      </c>
      <c r="F1010">
        <v>49.965877532999997</v>
      </c>
      <c r="G1010">
        <v>884.75750731999995</v>
      </c>
      <c r="H1010">
        <v>707.45989989999998</v>
      </c>
      <c r="I1010">
        <v>1955.3914795000001</v>
      </c>
      <c r="J1010">
        <v>1763.6783447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720.36289099999999</v>
      </c>
      <c r="B1011" s="1">
        <f>DATE(2012,4,20) + TIME(8,42,33)</f>
        <v>41019.362881944442</v>
      </c>
      <c r="C1011">
        <v>80</v>
      </c>
      <c r="D1011">
        <v>52.085289001</v>
      </c>
      <c r="E1011">
        <v>50</v>
      </c>
      <c r="F1011">
        <v>49.965991973999998</v>
      </c>
      <c r="G1011">
        <v>880.53363036999997</v>
      </c>
      <c r="H1011">
        <v>700.80163574000005</v>
      </c>
      <c r="I1011">
        <v>1954.9569091999999</v>
      </c>
      <c r="J1011">
        <v>1763.2453613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723.69777799999997</v>
      </c>
      <c r="B1012" s="1">
        <f>DATE(2012,4,23) + TIME(16,44,48)</f>
        <v>41022.697777777779</v>
      </c>
      <c r="C1012">
        <v>80</v>
      </c>
      <c r="D1012">
        <v>51.370407104000002</v>
      </c>
      <c r="E1012">
        <v>50</v>
      </c>
      <c r="F1012">
        <v>49.966106414999999</v>
      </c>
      <c r="G1012">
        <v>876.25427246000004</v>
      </c>
      <c r="H1012">
        <v>694.02392578000001</v>
      </c>
      <c r="I1012">
        <v>1954.5212402</v>
      </c>
      <c r="J1012">
        <v>1762.8111572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727.067994</v>
      </c>
      <c r="B1013" s="1">
        <f>DATE(2012,4,27) + TIME(1,37,54)</f>
        <v>41026.067986111113</v>
      </c>
      <c r="C1013">
        <v>80</v>
      </c>
      <c r="D1013">
        <v>50.651973724000001</v>
      </c>
      <c r="E1013">
        <v>50</v>
      </c>
      <c r="F1013">
        <v>49.966220856</v>
      </c>
      <c r="G1013">
        <v>871.93481444999998</v>
      </c>
      <c r="H1013">
        <v>687.15039062000005</v>
      </c>
      <c r="I1013">
        <v>1954.0836182</v>
      </c>
      <c r="J1013">
        <v>1762.3751221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730.48224200000004</v>
      </c>
      <c r="B1014" s="1">
        <f>DATE(2012,4,30) + TIME(11,34,25)</f>
        <v>41029.482233796298</v>
      </c>
      <c r="C1014">
        <v>80</v>
      </c>
      <c r="D1014">
        <v>49.930850982999999</v>
      </c>
      <c r="E1014">
        <v>50</v>
      </c>
      <c r="F1014">
        <v>49.966335297000001</v>
      </c>
      <c r="G1014">
        <v>867.57318114999998</v>
      </c>
      <c r="H1014">
        <v>680.17864989999998</v>
      </c>
      <c r="I1014">
        <v>1953.6430664</v>
      </c>
      <c r="J1014">
        <v>1761.9357910000001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731</v>
      </c>
      <c r="B1015" s="1">
        <f>DATE(2012,5,1) + TIME(0,0,0)</f>
        <v>41030</v>
      </c>
      <c r="C1015">
        <v>80</v>
      </c>
      <c r="D1015">
        <v>49.566558837999999</v>
      </c>
      <c r="E1015">
        <v>50</v>
      </c>
      <c r="F1015">
        <v>49.966335297000001</v>
      </c>
      <c r="G1015">
        <v>864.59039307</v>
      </c>
      <c r="H1015">
        <v>675.78625488</v>
      </c>
      <c r="I1015">
        <v>1953.5565185999999</v>
      </c>
      <c r="J1015">
        <v>1761.8497314000001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731.000001</v>
      </c>
      <c r="B1016" s="1">
        <f>DATE(2012,5,1) + TIME(0,0,0)</f>
        <v>41030</v>
      </c>
      <c r="C1016">
        <v>80</v>
      </c>
      <c r="D1016">
        <v>49.566612243999998</v>
      </c>
      <c r="E1016">
        <v>50</v>
      </c>
      <c r="F1016">
        <v>49.966320037999999</v>
      </c>
      <c r="G1016">
        <v>1053.0059814000001</v>
      </c>
      <c r="H1016">
        <v>864.59997558999999</v>
      </c>
      <c r="I1016">
        <v>1761.8398437999999</v>
      </c>
      <c r="J1016">
        <v>1570.1466064000001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731.00000399999999</v>
      </c>
      <c r="B1017" s="1">
        <f>DATE(2012,5,1) + TIME(0,0,0)</f>
        <v>41030</v>
      </c>
      <c r="C1017">
        <v>80</v>
      </c>
      <c r="D1017">
        <v>49.566783905000001</v>
      </c>
      <c r="E1017">
        <v>50</v>
      </c>
      <c r="F1017">
        <v>49.966274261000002</v>
      </c>
      <c r="G1017">
        <v>1053.0351562000001</v>
      </c>
      <c r="H1017">
        <v>864.62884521000001</v>
      </c>
      <c r="I1017">
        <v>1761.8104248</v>
      </c>
      <c r="J1017">
        <v>1570.1169434000001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731.00001299999997</v>
      </c>
      <c r="B1018" s="1">
        <f>DATE(2012,5,1) + TIME(0,0,1)</f>
        <v>41030.000011574077</v>
      </c>
      <c r="C1018">
        <v>80</v>
      </c>
      <c r="D1018">
        <v>49.567291259999998</v>
      </c>
      <c r="E1018">
        <v>50</v>
      </c>
      <c r="F1018">
        <v>49.966140746999997</v>
      </c>
      <c r="G1018">
        <v>1053.1225586</v>
      </c>
      <c r="H1018">
        <v>864.71533203000001</v>
      </c>
      <c r="I1018">
        <v>1761.7220459</v>
      </c>
      <c r="J1018">
        <v>1570.0280762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731.00004000000001</v>
      </c>
      <c r="B1019" s="1">
        <f>DATE(2012,5,1) + TIME(0,0,3)</f>
        <v>41030.000034722223</v>
      </c>
      <c r="C1019">
        <v>80</v>
      </c>
      <c r="D1019">
        <v>49.568813323999997</v>
      </c>
      <c r="E1019">
        <v>50</v>
      </c>
      <c r="F1019">
        <v>49.965740203999999</v>
      </c>
      <c r="G1019">
        <v>1053.3846435999999</v>
      </c>
      <c r="H1019">
        <v>864.97448729999996</v>
      </c>
      <c r="I1019">
        <v>1761.4572754000001</v>
      </c>
      <c r="J1019">
        <v>1569.7619629000001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731.00012100000004</v>
      </c>
      <c r="B1020" s="1">
        <f>DATE(2012,5,1) + TIME(0,0,10)</f>
        <v>41030.000115740739</v>
      </c>
      <c r="C1020">
        <v>80</v>
      </c>
      <c r="D1020">
        <v>49.573383331000002</v>
      </c>
      <c r="E1020">
        <v>50</v>
      </c>
      <c r="F1020">
        <v>49.964542389000002</v>
      </c>
      <c r="G1020">
        <v>1054.1677245999999</v>
      </c>
      <c r="H1020">
        <v>865.74926758000004</v>
      </c>
      <c r="I1020">
        <v>1760.6657714999999</v>
      </c>
      <c r="J1020">
        <v>1568.9665527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731.00036399999999</v>
      </c>
      <c r="B1021" s="1">
        <f>DATE(2012,5,1) + TIME(0,0,31)</f>
        <v>41030.000358796293</v>
      </c>
      <c r="C1021">
        <v>80</v>
      </c>
      <c r="D1021">
        <v>49.587051391999999</v>
      </c>
      <c r="E1021">
        <v>50</v>
      </c>
      <c r="F1021">
        <v>49.960998535000002</v>
      </c>
      <c r="G1021">
        <v>1056.489624</v>
      </c>
      <c r="H1021">
        <v>868.04992675999995</v>
      </c>
      <c r="I1021">
        <v>1758.3183594</v>
      </c>
      <c r="J1021">
        <v>1566.6071777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731.00109299999997</v>
      </c>
      <c r="B1022" s="1">
        <f>DATE(2012,5,1) + TIME(0,1,34)</f>
        <v>41030.001087962963</v>
      </c>
      <c r="C1022">
        <v>80</v>
      </c>
      <c r="D1022">
        <v>49.627761841000002</v>
      </c>
      <c r="E1022">
        <v>50</v>
      </c>
      <c r="F1022">
        <v>49.950714111000003</v>
      </c>
      <c r="G1022">
        <v>1063.2220459</v>
      </c>
      <c r="H1022">
        <v>874.74572753999996</v>
      </c>
      <c r="I1022">
        <v>1751.5072021000001</v>
      </c>
      <c r="J1022">
        <v>1559.7618408000001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731.00328000000002</v>
      </c>
      <c r="B1023" s="1">
        <f>DATE(2012,5,1) + TIME(0,4,43)</f>
        <v>41030.003275462965</v>
      </c>
      <c r="C1023">
        <v>80</v>
      </c>
      <c r="D1023">
        <v>49.746871947999999</v>
      </c>
      <c r="E1023">
        <v>50</v>
      </c>
      <c r="F1023">
        <v>49.922603606999999</v>
      </c>
      <c r="G1023">
        <v>1081.5716553</v>
      </c>
      <c r="H1023">
        <v>893.15441895000004</v>
      </c>
      <c r="I1023">
        <v>1732.9063721</v>
      </c>
      <c r="J1023">
        <v>1541.0687256000001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731.00984100000005</v>
      </c>
      <c r="B1024" s="1">
        <f>DATE(2012,5,1) + TIME(0,14,10)</f>
        <v>41030.009837962964</v>
      </c>
      <c r="C1024">
        <v>80</v>
      </c>
      <c r="D1024">
        <v>50.083999634000001</v>
      </c>
      <c r="E1024">
        <v>50</v>
      </c>
      <c r="F1024">
        <v>49.856258392000001</v>
      </c>
      <c r="G1024">
        <v>1124.6545410000001</v>
      </c>
      <c r="H1024">
        <v>937.02178954999999</v>
      </c>
      <c r="I1024">
        <v>1689.0097656</v>
      </c>
      <c r="J1024">
        <v>1496.9598389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731.02930200000003</v>
      </c>
      <c r="B1025" s="1">
        <f>DATE(2012,5,1) + TIME(0,42,11)</f>
        <v>41030.029293981483</v>
      </c>
      <c r="C1025">
        <v>80</v>
      </c>
      <c r="D1025">
        <v>50.977527618000003</v>
      </c>
      <c r="E1025">
        <v>50</v>
      </c>
      <c r="F1025">
        <v>49.737602234000001</v>
      </c>
      <c r="G1025">
        <v>1200.5186768000001</v>
      </c>
      <c r="H1025">
        <v>1015.7520752</v>
      </c>
      <c r="I1025">
        <v>1610.4206543</v>
      </c>
      <c r="J1025">
        <v>1418.0102539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731.05108299999995</v>
      </c>
      <c r="B1026" s="1">
        <f>DATE(2012,5,1) + TIME(1,13,33)</f>
        <v>41030.051076388889</v>
      </c>
      <c r="C1026">
        <v>80</v>
      </c>
      <c r="D1026">
        <v>51.880477904999999</v>
      </c>
      <c r="E1026">
        <v>50</v>
      </c>
      <c r="F1026">
        <v>49.654117583999998</v>
      </c>
      <c r="G1026">
        <v>1252.9771728999999</v>
      </c>
      <c r="H1026">
        <v>1070.9921875</v>
      </c>
      <c r="I1026">
        <v>1554.6362305</v>
      </c>
      <c r="J1026">
        <v>1361.9858397999999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731.07485299999996</v>
      </c>
      <c r="B1027" s="1">
        <f>DATE(2012,5,1) + TIME(1,47,47)</f>
        <v>41030.074849537035</v>
      </c>
      <c r="C1027">
        <v>80</v>
      </c>
      <c r="D1027">
        <v>52.792953490999999</v>
      </c>
      <c r="E1027">
        <v>50</v>
      </c>
      <c r="F1027">
        <v>49.593818665000001</v>
      </c>
      <c r="G1027">
        <v>1290.5242920000001</v>
      </c>
      <c r="H1027">
        <v>1111.1516113</v>
      </c>
      <c r="I1027">
        <v>1513.4815673999999</v>
      </c>
      <c r="J1027">
        <v>1320.6640625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731.10018200000002</v>
      </c>
      <c r="B1028" s="1">
        <f>DATE(2012,5,1) + TIME(2,24,15)</f>
        <v>41030.100173611114</v>
      </c>
      <c r="C1028">
        <v>80</v>
      </c>
      <c r="D1028">
        <v>53.707183837999999</v>
      </c>
      <c r="E1028">
        <v>50</v>
      </c>
      <c r="F1028">
        <v>49.548786163000003</v>
      </c>
      <c r="G1028">
        <v>1318.5113524999999</v>
      </c>
      <c r="H1028">
        <v>1141.5944824000001</v>
      </c>
      <c r="I1028">
        <v>1481.8435059000001</v>
      </c>
      <c r="J1028">
        <v>1288.9049072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731.12685999999997</v>
      </c>
      <c r="B1029" s="1">
        <f>DATE(2012,5,1) + TIME(3,2,40)</f>
        <v>41030.126851851855</v>
      </c>
      <c r="C1029">
        <v>80</v>
      </c>
      <c r="D1029">
        <v>54.620574951000002</v>
      </c>
      <c r="E1029">
        <v>50</v>
      </c>
      <c r="F1029">
        <v>49.513786316000001</v>
      </c>
      <c r="G1029">
        <v>1340.3457031</v>
      </c>
      <c r="H1029">
        <v>1165.7615966999999</v>
      </c>
      <c r="I1029">
        <v>1456.4246826000001</v>
      </c>
      <c r="J1029">
        <v>1263.3948975000001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731.15475700000002</v>
      </c>
      <c r="B1030" s="1">
        <f>DATE(2012,5,1) + TIME(3,42,51)</f>
        <v>41030.154756944445</v>
      </c>
      <c r="C1030">
        <v>80</v>
      </c>
      <c r="D1030">
        <v>55.530830383000001</v>
      </c>
      <c r="E1030">
        <v>50</v>
      </c>
      <c r="F1030">
        <v>49.485618590999998</v>
      </c>
      <c r="G1030">
        <v>1358.0527344</v>
      </c>
      <c r="H1030">
        <v>1185.6981201000001</v>
      </c>
      <c r="I1030">
        <v>1435.2419434000001</v>
      </c>
      <c r="J1030">
        <v>1242.1409911999999</v>
      </c>
      <c r="K1030">
        <v>2400</v>
      </c>
      <c r="L1030">
        <v>0</v>
      </c>
      <c r="M1030">
        <v>0</v>
      </c>
      <c r="N1030">
        <v>2400</v>
      </c>
    </row>
    <row r="1031" spans="1:14" x14ac:dyDescent="0.25">
      <c r="A1031">
        <v>731.18380999999999</v>
      </c>
      <c r="B1031" s="1">
        <f>DATE(2012,5,1) + TIME(4,24,41)</f>
        <v>41030.183807870373</v>
      </c>
      <c r="C1031">
        <v>80</v>
      </c>
      <c r="D1031">
        <v>56.436405182000001</v>
      </c>
      <c r="E1031">
        <v>50</v>
      </c>
      <c r="F1031">
        <v>49.462295531999999</v>
      </c>
      <c r="G1031">
        <v>1372.8712158000001</v>
      </c>
      <c r="H1031">
        <v>1202.6546631000001</v>
      </c>
      <c r="I1031">
        <v>1417.0686035000001</v>
      </c>
      <c r="J1031">
        <v>1223.9106445</v>
      </c>
      <c r="K1031">
        <v>2400</v>
      </c>
      <c r="L1031">
        <v>0</v>
      </c>
      <c r="M1031">
        <v>0</v>
      </c>
      <c r="N1031">
        <v>2400</v>
      </c>
    </row>
    <row r="1032" spans="1:14" x14ac:dyDescent="0.25">
      <c r="A1032">
        <v>731.21399699999995</v>
      </c>
      <c r="B1032" s="1">
        <f>DATE(2012,5,1) + TIME(5,8,9)</f>
        <v>41030.213993055557</v>
      </c>
      <c r="C1032">
        <v>80</v>
      </c>
      <c r="D1032">
        <v>57.336318970000001</v>
      </c>
      <c r="E1032">
        <v>50</v>
      </c>
      <c r="F1032">
        <v>49.442535399999997</v>
      </c>
      <c r="G1032">
        <v>1385.5874022999999</v>
      </c>
      <c r="H1032">
        <v>1217.4262695</v>
      </c>
      <c r="I1032">
        <v>1401.1174315999999</v>
      </c>
      <c r="J1032">
        <v>1207.9130858999999</v>
      </c>
      <c r="K1032">
        <v>2400</v>
      </c>
      <c r="L1032">
        <v>0</v>
      </c>
      <c r="M1032">
        <v>0</v>
      </c>
      <c r="N1032">
        <v>2400</v>
      </c>
    </row>
    <row r="1033" spans="1:14" x14ac:dyDescent="0.25">
      <c r="A1033">
        <v>731.24534300000005</v>
      </c>
      <c r="B1033" s="1">
        <f>DATE(2012,5,1) + TIME(5,53,17)</f>
        <v>41030.245335648149</v>
      </c>
      <c r="C1033">
        <v>80</v>
      </c>
      <c r="D1033">
        <v>58.230255127</v>
      </c>
      <c r="E1033">
        <v>50</v>
      </c>
      <c r="F1033">
        <v>49.425460815000001</v>
      </c>
      <c r="G1033">
        <v>1396.7264404</v>
      </c>
      <c r="H1033">
        <v>1230.5458983999999</v>
      </c>
      <c r="I1033">
        <v>1386.8571777</v>
      </c>
      <c r="J1033">
        <v>1193.6141356999999</v>
      </c>
      <c r="K1033">
        <v>2400</v>
      </c>
      <c r="L1033">
        <v>0</v>
      </c>
      <c r="M1033">
        <v>0</v>
      </c>
      <c r="N1033">
        <v>2400</v>
      </c>
    </row>
    <row r="1034" spans="1:14" x14ac:dyDescent="0.25">
      <c r="A1034">
        <v>731.277871</v>
      </c>
      <c r="B1034" s="1">
        <f>DATE(2012,5,1) + TIME(6,40,8)</f>
        <v>41030.277870370373</v>
      </c>
      <c r="C1034">
        <v>80</v>
      </c>
      <c r="D1034">
        <v>59.117465973000002</v>
      </c>
      <c r="E1034">
        <v>50</v>
      </c>
      <c r="F1034">
        <v>49.410484314000001</v>
      </c>
      <c r="G1034">
        <v>1406.6452637</v>
      </c>
      <c r="H1034">
        <v>1242.3753661999999</v>
      </c>
      <c r="I1034">
        <v>1373.9257812000001</v>
      </c>
      <c r="J1034">
        <v>1180.6505127</v>
      </c>
      <c r="K1034">
        <v>2400</v>
      </c>
      <c r="L1034">
        <v>0</v>
      </c>
      <c r="M1034">
        <v>0</v>
      </c>
      <c r="N1034">
        <v>2400</v>
      </c>
    </row>
    <row r="1035" spans="1:14" x14ac:dyDescent="0.25">
      <c r="A1035">
        <v>731.31162700000004</v>
      </c>
      <c r="B1035" s="1">
        <f>DATE(2012,5,1) + TIME(7,28,44)</f>
        <v>41030.311620370368</v>
      </c>
      <c r="C1035">
        <v>80</v>
      </c>
      <c r="D1035">
        <v>59.997482300000001</v>
      </c>
      <c r="E1035">
        <v>50</v>
      </c>
      <c r="F1035">
        <v>49.397163390999999</v>
      </c>
      <c r="G1035">
        <v>1415.6024170000001</v>
      </c>
      <c r="H1035">
        <v>1253.1778564000001</v>
      </c>
      <c r="I1035">
        <v>1362.0600586</v>
      </c>
      <c r="J1035">
        <v>1168.7573242000001</v>
      </c>
      <c r="K1035">
        <v>2400</v>
      </c>
      <c r="L1035">
        <v>0</v>
      </c>
      <c r="M1035">
        <v>0</v>
      </c>
      <c r="N1035">
        <v>2400</v>
      </c>
    </row>
    <row r="1036" spans="1:14" x14ac:dyDescent="0.25">
      <c r="A1036">
        <v>731.34667300000001</v>
      </c>
      <c r="B1036" s="1">
        <f>DATE(2012,5,1) + TIME(8,19,12)</f>
        <v>41030.346666666665</v>
      </c>
      <c r="C1036">
        <v>80</v>
      </c>
      <c r="D1036">
        <v>60.869365692000002</v>
      </c>
      <c r="E1036">
        <v>50</v>
      </c>
      <c r="F1036">
        <v>49.385169982999997</v>
      </c>
      <c r="G1036">
        <v>1423.7901611</v>
      </c>
      <c r="H1036">
        <v>1263.1497803</v>
      </c>
      <c r="I1036">
        <v>1351.0627440999999</v>
      </c>
      <c r="J1036">
        <v>1157.7365723</v>
      </c>
      <c r="K1036">
        <v>2400</v>
      </c>
      <c r="L1036">
        <v>0</v>
      </c>
      <c r="M1036">
        <v>0</v>
      </c>
      <c r="N1036">
        <v>2400</v>
      </c>
    </row>
    <row r="1037" spans="1:14" x14ac:dyDescent="0.25">
      <c r="A1037">
        <v>731.38308400000005</v>
      </c>
      <c r="B1037" s="1">
        <f>DATE(2012,5,1) + TIME(9,11,38)</f>
        <v>41030.3830787037</v>
      </c>
      <c r="C1037">
        <v>80</v>
      </c>
      <c r="D1037">
        <v>61.733322143999999</v>
      </c>
      <c r="E1037">
        <v>50</v>
      </c>
      <c r="F1037">
        <v>49.374248504999997</v>
      </c>
      <c r="G1037">
        <v>1431.3555908000001</v>
      </c>
      <c r="H1037">
        <v>1272.4416504000001</v>
      </c>
      <c r="I1037">
        <v>1340.7828368999999</v>
      </c>
      <c r="J1037">
        <v>1147.4365233999999</v>
      </c>
      <c r="K1037">
        <v>2400</v>
      </c>
      <c r="L1037">
        <v>0</v>
      </c>
      <c r="M1037">
        <v>0</v>
      </c>
      <c r="N1037">
        <v>2400</v>
      </c>
    </row>
    <row r="1038" spans="1:14" x14ac:dyDescent="0.25">
      <c r="A1038">
        <v>731.42094999999995</v>
      </c>
      <c r="B1038" s="1">
        <f>DATE(2012,5,1) + TIME(10,6,10)</f>
        <v>41030.420949074076</v>
      </c>
      <c r="C1038">
        <v>80</v>
      </c>
      <c r="D1038">
        <v>62.589012146000002</v>
      </c>
      <c r="E1038">
        <v>50</v>
      </c>
      <c r="F1038">
        <v>49.364204407000003</v>
      </c>
      <c r="G1038">
        <v>1438.4132079999999</v>
      </c>
      <c r="H1038">
        <v>1281.1707764</v>
      </c>
      <c r="I1038">
        <v>1331.1016846</v>
      </c>
      <c r="J1038">
        <v>1137.7380370999999</v>
      </c>
      <c r="K1038">
        <v>2400</v>
      </c>
      <c r="L1038">
        <v>0</v>
      </c>
      <c r="M1038">
        <v>0</v>
      </c>
      <c r="N1038">
        <v>2400</v>
      </c>
    </row>
    <row r="1039" spans="1:14" x14ac:dyDescent="0.25">
      <c r="A1039">
        <v>731.46037100000001</v>
      </c>
      <c r="B1039" s="1">
        <f>DATE(2012,5,1) + TIME(11,2,56)</f>
        <v>41030.460370370369</v>
      </c>
      <c r="C1039">
        <v>80</v>
      </c>
      <c r="D1039">
        <v>63.436107634999999</v>
      </c>
      <c r="E1039">
        <v>50</v>
      </c>
      <c r="F1039">
        <v>49.354866028000004</v>
      </c>
      <c r="G1039">
        <v>1445.0549315999999</v>
      </c>
      <c r="H1039">
        <v>1289.4315185999999</v>
      </c>
      <c r="I1039">
        <v>1321.9241943</v>
      </c>
      <c r="J1039">
        <v>1128.5454102000001</v>
      </c>
      <c r="K1039">
        <v>2400</v>
      </c>
      <c r="L1039">
        <v>0</v>
      </c>
      <c r="M1039">
        <v>0</v>
      </c>
      <c r="N1039">
        <v>2400</v>
      </c>
    </row>
    <row r="1040" spans="1:14" x14ac:dyDescent="0.25">
      <c r="A1040">
        <v>731.50146600000005</v>
      </c>
      <c r="B1040" s="1">
        <f>DATE(2012,5,1) + TIME(12,2,6)</f>
        <v>41030.501458333332</v>
      </c>
      <c r="C1040">
        <v>80</v>
      </c>
      <c r="D1040">
        <v>64.274253845000004</v>
      </c>
      <c r="E1040">
        <v>50</v>
      </c>
      <c r="F1040">
        <v>49.346103667999998</v>
      </c>
      <c r="G1040">
        <v>1451.3555908000001</v>
      </c>
      <c r="H1040">
        <v>1297.3009033000001</v>
      </c>
      <c r="I1040">
        <v>1313.1724853999999</v>
      </c>
      <c r="J1040">
        <v>1119.7806396000001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731.54436699999997</v>
      </c>
      <c r="B1041" s="1">
        <f>DATE(2012,5,1) + TIME(13,3,53)</f>
        <v>41030.544363425928</v>
      </c>
      <c r="C1041">
        <v>80</v>
      </c>
      <c r="D1041">
        <v>65.103050232000001</v>
      </c>
      <c r="E1041">
        <v>50</v>
      </c>
      <c r="F1041">
        <v>49.337799072000003</v>
      </c>
      <c r="G1041">
        <v>1457.3771973</v>
      </c>
      <c r="H1041">
        <v>1304.8427733999999</v>
      </c>
      <c r="I1041">
        <v>1304.7821045000001</v>
      </c>
      <c r="J1041">
        <v>1111.3786620999999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731.58922800000005</v>
      </c>
      <c r="B1042" s="1">
        <f>DATE(2012,5,1) + TIME(14,8,29)</f>
        <v>41030.589224537034</v>
      </c>
      <c r="C1042">
        <v>80</v>
      </c>
      <c r="D1042">
        <v>65.922271729000002</v>
      </c>
      <c r="E1042">
        <v>50</v>
      </c>
      <c r="F1042">
        <v>49.329849242999998</v>
      </c>
      <c r="G1042">
        <v>1463.1724853999999</v>
      </c>
      <c r="H1042">
        <v>1312.1118164</v>
      </c>
      <c r="I1042">
        <v>1296.6976318</v>
      </c>
      <c r="J1042">
        <v>1103.2840576000001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731.63624300000004</v>
      </c>
      <c r="B1043" s="1">
        <f>DATE(2012,5,1) + TIME(15,16,11)</f>
        <v>41030.636238425926</v>
      </c>
      <c r="C1043">
        <v>80</v>
      </c>
      <c r="D1043">
        <v>66.731613159000005</v>
      </c>
      <c r="E1043">
        <v>50</v>
      </c>
      <c r="F1043">
        <v>49.322166443</v>
      </c>
      <c r="G1043">
        <v>1468.7891846</v>
      </c>
      <c r="H1043">
        <v>1319.1574707</v>
      </c>
      <c r="I1043">
        <v>1288.8688964999999</v>
      </c>
      <c r="J1043">
        <v>1095.4462891000001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731.68562799999995</v>
      </c>
      <c r="B1044" s="1">
        <f>DATE(2012,5,1) + TIME(16,27,18)</f>
        <v>41030.685624999998</v>
      </c>
      <c r="C1044">
        <v>80</v>
      </c>
      <c r="D1044">
        <v>67.530761718999997</v>
      </c>
      <c r="E1044">
        <v>50</v>
      </c>
      <c r="F1044">
        <v>49.314662933000001</v>
      </c>
      <c r="G1044">
        <v>1474.2684326000001</v>
      </c>
      <c r="H1044">
        <v>1326.0225829999999</v>
      </c>
      <c r="I1044">
        <v>1281.2524414</v>
      </c>
      <c r="J1044">
        <v>1087.8217772999999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731.73760100000004</v>
      </c>
      <c r="B1045" s="1">
        <f>DATE(2012,5,1) + TIME(17,42,8)</f>
        <v>41030.737592592595</v>
      </c>
      <c r="C1045">
        <v>80</v>
      </c>
      <c r="D1045">
        <v>68.318916321000003</v>
      </c>
      <c r="E1045">
        <v>50</v>
      </c>
      <c r="F1045">
        <v>49.30727005</v>
      </c>
      <c r="G1045">
        <v>1479.6445312000001</v>
      </c>
      <c r="H1045">
        <v>1332.7419434000001</v>
      </c>
      <c r="I1045">
        <v>1273.8133545000001</v>
      </c>
      <c r="J1045">
        <v>1080.3753661999999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731.79244300000005</v>
      </c>
      <c r="B1046" s="1">
        <f>DATE(2012,5,1) + TIME(19,1,7)</f>
        <v>41030.792442129627</v>
      </c>
      <c r="C1046">
        <v>80</v>
      </c>
      <c r="D1046">
        <v>69.095588684000006</v>
      </c>
      <c r="E1046">
        <v>50</v>
      </c>
      <c r="F1046">
        <v>49.299907683999997</v>
      </c>
      <c r="G1046">
        <v>1484.9514160000001</v>
      </c>
      <c r="H1046">
        <v>1339.3504639</v>
      </c>
      <c r="I1046">
        <v>1266.5164795000001</v>
      </c>
      <c r="J1046">
        <v>1073.0717772999999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731.85048099999995</v>
      </c>
      <c r="B1047" s="1">
        <f>DATE(2012,5,1) + TIME(20,24,41)</f>
        <v>41030.850474537037</v>
      </c>
      <c r="C1047">
        <v>80</v>
      </c>
      <c r="D1047">
        <v>69.860237122000001</v>
      </c>
      <c r="E1047">
        <v>50</v>
      </c>
      <c r="F1047">
        <v>49.292507172000001</v>
      </c>
      <c r="G1047">
        <v>1490.2209473</v>
      </c>
      <c r="H1047">
        <v>1345.8811035000001</v>
      </c>
      <c r="I1047">
        <v>1259.3284911999999</v>
      </c>
      <c r="J1047">
        <v>1065.8775635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731.91210000000001</v>
      </c>
      <c r="B1048" s="1">
        <f>DATE(2012,5,1) + TIME(21,53,25)</f>
        <v>41030.912094907406</v>
      </c>
      <c r="C1048">
        <v>80</v>
      </c>
      <c r="D1048">
        <v>70.611778259000005</v>
      </c>
      <c r="E1048">
        <v>50</v>
      </c>
      <c r="F1048">
        <v>49.284988403</v>
      </c>
      <c r="G1048">
        <v>1495.4844971</v>
      </c>
      <c r="H1048">
        <v>1352.3658447</v>
      </c>
      <c r="I1048">
        <v>1252.2176514</v>
      </c>
      <c r="J1048">
        <v>1058.7607422000001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731.97774900000002</v>
      </c>
      <c r="B1049" s="1">
        <f>DATE(2012,5,1) + TIME(23,27,57)</f>
        <v>41030.977743055555</v>
      </c>
      <c r="C1049">
        <v>80</v>
      </c>
      <c r="D1049">
        <v>71.349723815999994</v>
      </c>
      <c r="E1049">
        <v>50</v>
      </c>
      <c r="F1049">
        <v>49.277282714999998</v>
      </c>
      <c r="G1049">
        <v>1500.7722168</v>
      </c>
      <c r="H1049">
        <v>1358.8355713000001</v>
      </c>
      <c r="I1049">
        <v>1245.1533202999999</v>
      </c>
      <c r="J1049">
        <v>1051.6906738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732.047999</v>
      </c>
      <c r="B1050" s="1">
        <f>DATE(2012,5,2) + TIME(1,9,7)</f>
        <v>41031.047997685186</v>
      </c>
      <c r="C1050">
        <v>80</v>
      </c>
      <c r="D1050">
        <v>72.073570251000007</v>
      </c>
      <c r="E1050">
        <v>50</v>
      </c>
      <c r="F1050">
        <v>49.269298552999999</v>
      </c>
      <c r="G1050">
        <v>1506.1175536999999</v>
      </c>
      <c r="H1050">
        <v>1365.3244629000001</v>
      </c>
      <c r="I1050">
        <v>1238.1013184000001</v>
      </c>
      <c r="J1050">
        <v>1044.6329346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732.12352899999996</v>
      </c>
      <c r="B1051" s="1">
        <f>DATE(2012,5,2) + TIME(2,57,52)</f>
        <v>41031.123518518521</v>
      </c>
      <c r="C1051">
        <v>80</v>
      </c>
      <c r="D1051">
        <v>72.782463074000006</v>
      </c>
      <c r="E1051">
        <v>50</v>
      </c>
      <c r="F1051">
        <v>49.260944365999997</v>
      </c>
      <c r="G1051">
        <v>1511.5554199000001</v>
      </c>
      <c r="H1051">
        <v>1371.8677978999999</v>
      </c>
      <c r="I1051">
        <v>1231.0272216999999</v>
      </c>
      <c r="J1051">
        <v>1037.5529785000001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732.20517900000004</v>
      </c>
      <c r="B1052" s="1">
        <f>DATE(2012,5,2) + TIME(4,55,27)</f>
        <v>41031.20517361111</v>
      </c>
      <c r="C1052">
        <v>80</v>
      </c>
      <c r="D1052">
        <v>73.475433350000003</v>
      </c>
      <c r="E1052">
        <v>50</v>
      </c>
      <c r="F1052">
        <v>49.252117157000001</v>
      </c>
      <c r="G1052">
        <v>1517.1237793</v>
      </c>
      <c r="H1052">
        <v>1378.5037841999999</v>
      </c>
      <c r="I1052">
        <v>1223.8935547000001</v>
      </c>
      <c r="J1052">
        <v>1030.4130858999999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732.29399999999998</v>
      </c>
      <c r="B1053" s="1">
        <f>DATE(2012,5,2) + TIME(7,3,21)</f>
        <v>41031.293993055559</v>
      </c>
      <c r="C1053">
        <v>80</v>
      </c>
      <c r="D1053">
        <v>74.151374817000004</v>
      </c>
      <c r="E1053">
        <v>50</v>
      </c>
      <c r="F1053">
        <v>49.242698668999999</v>
      </c>
      <c r="G1053">
        <v>1522.8660889</v>
      </c>
      <c r="H1053">
        <v>1385.2758789</v>
      </c>
      <c r="I1053">
        <v>1216.6583252</v>
      </c>
      <c r="J1053">
        <v>1023.1711426000001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732.39139499999999</v>
      </c>
      <c r="B1054" s="1">
        <f>DATE(2012,5,2) + TIME(9,23,36)</f>
        <v>41031.391388888886</v>
      </c>
      <c r="C1054">
        <v>80</v>
      </c>
      <c r="D1054">
        <v>74.809349060000002</v>
      </c>
      <c r="E1054">
        <v>50</v>
      </c>
      <c r="F1054">
        <v>49.232528686999999</v>
      </c>
      <c r="G1054">
        <v>1528.8366699000001</v>
      </c>
      <c r="H1054">
        <v>1392.2387695</v>
      </c>
      <c r="I1054">
        <v>1209.2684326000001</v>
      </c>
      <c r="J1054">
        <v>1015.7740479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732.49908800000003</v>
      </c>
      <c r="B1055" s="1">
        <f>DATE(2012,5,2) + TIME(11,58,41)</f>
        <v>41031.499085648145</v>
      </c>
      <c r="C1055">
        <v>80</v>
      </c>
      <c r="D1055">
        <v>75.447227478000002</v>
      </c>
      <c r="E1055">
        <v>50</v>
      </c>
      <c r="F1055">
        <v>49.221431731999999</v>
      </c>
      <c r="G1055">
        <v>1535.0948486</v>
      </c>
      <c r="H1055">
        <v>1399.4508057</v>
      </c>
      <c r="I1055">
        <v>1201.6679687999999</v>
      </c>
      <c r="J1055">
        <v>1008.1654053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732.61314900000002</v>
      </c>
      <c r="B1056" s="1">
        <f>DATE(2012,5,2) + TIME(14,42,56)</f>
        <v>41031.61314814815</v>
      </c>
      <c r="C1056">
        <v>80</v>
      </c>
      <c r="D1056">
        <v>76.035346985000004</v>
      </c>
      <c r="E1056">
        <v>50</v>
      </c>
      <c r="F1056">
        <v>49.209705352999997</v>
      </c>
      <c r="G1056">
        <v>1541.3771973</v>
      </c>
      <c r="H1056">
        <v>1406.6042480000001</v>
      </c>
      <c r="I1056">
        <v>1194.1677245999999</v>
      </c>
      <c r="J1056">
        <v>1000.6563721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732.72747500000003</v>
      </c>
      <c r="B1057" s="1">
        <f>DATE(2012,5,2) + TIME(17,27,33)</f>
        <v>41031.727465277778</v>
      </c>
      <c r="C1057">
        <v>80</v>
      </c>
      <c r="D1057">
        <v>76.548355103000006</v>
      </c>
      <c r="E1057">
        <v>50</v>
      </c>
      <c r="F1057">
        <v>49.197834014999998</v>
      </c>
      <c r="G1057">
        <v>1547.3570557</v>
      </c>
      <c r="H1057">
        <v>1413.3382568</v>
      </c>
      <c r="I1057">
        <v>1187.1291504000001</v>
      </c>
      <c r="J1057">
        <v>993.60876465000001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732.84285</v>
      </c>
      <c r="B1058" s="1">
        <f>DATE(2012,5,2) + TIME(20,13,42)</f>
        <v>41031.842847222222</v>
      </c>
      <c r="C1058">
        <v>80</v>
      </c>
      <c r="D1058">
        <v>76.998382567999997</v>
      </c>
      <c r="E1058">
        <v>50</v>
      </c>
      <c r="F1058">
        <v>49.185768127000003</v>
      </c>
      <c r="G1058">
        <v>1553.1123047000001</v>
      </c>
      <c r="H1058">
        <v>1419.7540283000001</v>
      </c>
      <c r="I1058">
        <v>1180.4538574000001</v>
      </c>
      <c r="J1058">
        <v>986.92395020000004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732.95971199999997</v>
      </c>
      <c r="B1059" s="1">
        <f>DATE(2012,5,2) + TIME(23,1,59)</f>
        <v>41031.959710648145</v>
      </c>
      <c r="C1059">
        <v>80</v>
      </c>
      <c r="D1059">
        <v>77.393936156999999</v>
      </c>
      <c r="E1059">
        <v>50</v>
      </c>
      <c r="F1059">
        <v>49.173480988000001</v>
      </c>
      <c r="G1059">
        <v>1558.6882324000001</v>
      </c>
      <c r="H1059">
        <v>1425.9100341999999</v>
      </c>
      <c r="I1059">
        <v>1174.0795897999999</v>
      </c>
      <c r="J1059">
        <v>980.53961182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733.07849499999998</v>
      </c>
      <c r="B1060" s="1">
        <f>DATE(2012,5,3) + TIME(1,53,1)</f>
        <v>41032.078483796293</v>
      </c>
      <c r="C1060">
        <v>80</v>
      </c>
      <c r="D1060">
        <v>77.742080688000001</v>
      </c>
      <c r="E1060">
        <v>50</v>
      </c>
      <c r="F1060">
        <v>49.160942077999998</v>
      </c>
      <c r="G1060">
        <v>1564.1198730000001</v>
      </c>
      <c r="H1060">
        <v>1431.8529053</v>
      </c>
      <c r="I1060">
        <v>1167.9549560999999</v>
      </c>
      <c r="J1060">
        <v>974.40423583999996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733.19962999999996</v>
      </c>
      <c r="B1061" s="1">
        <f>DATE(2012,5,3) + TIME(4,47,27)</f>
        <v>41032.199618055558</v>
      </c>
      <c r="C1061">
        <v>80</v>
      </c>
      <c r="D1061">
        <v>78.048683166999993</v>
      </c>
      <c r="E1061">
        <v>50</v>
      </c>
      <c r="F1061">
        <v>49.148128509999999</v>
      </c>
      <c r="G1061">
        <v>1569.4354248</v>
      </c>
      <c r="H1061">
        <v>1437.6201172000001</v>
      </c>
      <c r="I1061">
        <v>1162.0369873</v>
      </c>
      <c r="J1061">
        <v>968.47509765999996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733.32355700000005</v>
      </c>
      <c r="B1062" s="1">
        <f>DATE(2012,5,3) + TIME(7,45,55)</f>
        <v>41032.323553240742</v>
      </c>
      <c r="C1062">
        <v>80</v>
      </c>
      <c r="D1062">
        <v>78.318717957000004</v>
      </c>
      <c r="E1062">
        <v>50</v>
      </c>
      <c r="F1062">
        <v>49.135009766000003</v>
      </c>
      <c r="G1062">
        <v>1574.6591797000001</v>
      </c>
      <c r="H1062">
        <v>1443.2435303</v>
      </c>
      <c r="I1062">
        <v>1156.2895507999999</v>
      </c>
      <c r="J1062">
        <v>962.71606444999998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733.45073500000001</v>
      </c>
      <c r="B1063" s="1">
        <f>DATE(2012,5,3) + TIME(10,49,3)</f>
        <v>41032.450729166667</v>
      </c>
      <c r="C1063">
        <v>80</v>
      </c>
      <c r="D1063">
        <v>78.556411742999998</v>
      </c>
      <c r="E1063">
        <v>50</v>
      </c>
      <c r="F1063">
        <v>49.121551513999997</v>
      </c>
      <c r="G1063">
        <v>1579.8118896000001</v>
      </c>
      <c r="H1063">
        <v>1448.7502440999999</v>
      </c>
      <c r="I1063">
        <v>1150.6816406</v>
      </c>
      <c r="J1063">
        <v>957.09600829999999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733.58165399999996</v>
      </c>
      <c r="B1064" s="1">
        <f>DATE(2012,5,3) + TIME(13,57,34)</f>
        <v>41032.581643518519</v>
      </c>
      <c r="C1064">
        <v>80</v>
      </c>
      <c r="D1064">
        <v>78.765403747999997</v>
      </c>
      <c r="E1064">
        <v>50</v>
      </c>
      <c r="F1064">
        <v>49.107723235999998</v>
      </c>
      <c r="G1064">
        <v>1584.9118652</v>
      </c>
      <c r="H1064">
        <v>1454.1643065999999</v>
      </c>
      <c r="I1064">
        <v>1145.1857910000001</v>
      </c>
      <c r="J1064">
        <v>951.58752441000001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733.71686299999999</v>
      </c>
      <c r="B1065" s="1">
        <f>DATE(2012,5,3) + TIME(17,12,16)</f>
        <v>41032.716851851852</v>
      </c>
      <c r="C1065">
        <v>80</v>
      </c>
      <c r="D1065">
        <v>78.948890685999999</v>
      </c>
      <c r="E1065">
        <v>50</v>
      </c>
      <c r="F1065">
        <v>49.093490600999999</v>
      </c>
      <c r="G1065">
        <v>1589.9766846</v>
      </c>
      <c r="H1065">
        <v>1459.5078125</v>
      </c>
      <c r="I1065">
        <v>1139.7767334</v>
      </c>
      <c r="J1065">
        <v>946.16534423999997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733.85700799999995</v>
      </c>
      <c r="B1066" s="1">
        <f>DATE(2012,5,3) + TIME(20,34,5)</f>
        <v>41032.857002314813</v>
      </c>
      <c r="C1066">
        <v>80</v>
      </c>
      <c r="D1066">
        <v>79.109672545999999</v>
      </c>
      <c r="E1066">
        <v>50</v>
      </c>
      <c r="F1066">
        <v>49.078800201</v>
      </c>
      <c r="G1066">
        <v>1595.0242920000001</v>
      </c>
      <c r="H1066">
        <v>1464.8028564000001</v>
      </c>
      <c r="I1066">
        <v>1134.4295654</v>
      </c>
      <c r="J1066">
        <v>940.8046875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734.00266399999998</v>
      </c>
      <c r="B1067" s="1">
        <f>DATE(2012,5,4) + TIME(0,3,50)</f>
        <v>41033.002662037034</v>
      </c>
      <c r="C1067">
        <v>80</v>
      </c>
      <c r="D1067">
        <v>79.250083923000005</v>
      </c>
      <c r="E1067">
        <v>50</v>
      </c>
      <c r="F1067">
        <v>49.063613891999999</v>
      </c>
      <c r="G1067">
        <v>1600.0664062000001</v>
      </c>
      <c r="H1067">
        <v>1470.0645752</v>
      </c>
      <c r="I1067">
        <v>1129.1265868999999</v>
      </c>
      <c r="J1067">
        <v>935.48760986000002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734.15457200000003</v>
      </c>
      <c r="B1068" s="1">
        <f>DATE(2012,5,4) + TIME(3,42,34)</f>
        <v>41033.154560185183</v>
      </c>
      <c r="C1068">
        <v>80</v>
      </c>
      <c r="D1068">
        <v>79.372283936000002</v>
      </c>
      <c r="E1068">
        <v>50</v>
      </c>
      <c r="F1068">
        <v>49.047878265000001</v>
      </c>
      <c r="G1068">
        <v>1605.1179199000001</v>
      </c>
      <c r="H1068">
        <v>1475.3110352000001</v>
      </c>
      <c r="I1068">
        <v>1123.8474120999999</v>
      </c>
      <c r="J1068">
        <v>930.19390868999994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734.31271000000004</v>
      </c>
      <c r="B1069" s="1">
        <f>DATE(2012,5,4) + TIME(7,30,18)</f>
        <v>41033.312708333331</v>
      </c>
      <c r="C1069">
        <v>80</v>
      </c>
      <c r="D1069">
        <v>79.477691649999997</v>
      </c>
      <c r="E1069">
        <v>50</v>
      </c>
      <c r="F1069">
        <v>49.031604766999997</v>
      </c>
      <c r="G1069">
        <v>1610.1655272999999</v>
      </c>
      <c r="H1069">
        <v>1480.5306396000001</v>
      </c>
      <c r="I1069">
        <v>1118.5997314000001</v>
      </c>
      <c r="J1069">
        <v>924.93121338000003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734.47786299999996</v>
      </c>
      <c r="B1070" s="1">
        <f>DATE(2012,5,4) + TIME(11,28,7)</f>
        <v>41033.477858796294</v>
      </c>
      <c r="C1070">
        <v>80</v>
      </c>
      <c r="D1070">
        <v>79.568214416999993</v>
      </c>
      <c r="E1070">
        <v>50</v>
      </c>
      <c r="F1070">
        <v>49.014732361</v>
      </c>
      <c r="G1070">
        <v>1615.2225341999999</v>
      </c>
      <c r="H1070">
        <v>1485.739624</v>
      </c>
      <c r="I1070">
        <v>1113.3659668</v>
      </c>
      <c r="J1070">
        <v>919.68194579999999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734.650937</v>
      </c>
      <c r="B1071" s="1">
        <f>DATE(2012,5,4) + TIME(15,37,20)</f>
        <v>41033.650925925926</v>
      </c>
      <c r="C1071">
        <v>80</v>
      </c>
      <c r="D1071">
        <v>79.645530700999998</v>
      </c>
      <c r="E1071">
        <v>50</v>
      </c>
      <c r="F1071">
        <v>48.997200012</v>
      </c>
      <c r="G1071">
        <v>1620.3027344</v>
      </c>
      <c r="H1071">
        <v>1490.9541016000001</v>
      </c>
      <c r="I1071">
        <v>1108.1285399999999</v>
      </c>
      <c r="J1071">
        <v>914.42840576000003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734.83298400000001</v>
      </c>
      <c r="B1072" s="1">
        <f>DATE(2012,5,4) + TIME(19,59,29)</f>
        <v>41033.832974537036</v>
      </c>
      <c r="C1072">
        <v>80</v>
      </c>
      <c r="D1072">
        <v>79.711151122999993</v>
      </c>
      <c r="E1072">
        <v>50</v>
      </c>
      <c r="F1072">
        <v>48.978931426999999</v>
      </c>
      <c r="G1072">
        <v>1625.4196777</v>
      </c>
      <c r="H1072">
        <v>1496.1896973</v>
      </c>
      <c r="I1072">
        <v>1102.8695068</v>
      </c>
      <c r="J1072">
        <v>909.15277100000003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735.02520000000004</v>
      </c>
      <c r="B1073" s="1">
        <f>DATE(2012,5,5) + TIME(0,36,17)</f>
        <v>41034.025196759256</v>
      </c>
      <c r="C1073">
        <v>80</v>
      </c>
      <c r="D1073">
        <v>79.766433715999995</v>
      </c>
      <c r="E1073">
        <v>50</v>
      </c>
      <c r="F1073">
        <v>48.959835052000003</v>
      </c>
      <c r="G1073">
        <v>1630.5870361</v>
      </c>
      <c r="H1073">
        <v>1501.4619141000001</v>
      </c>
      <c r="I1073">
        <v>1097.5711670000001</v>
      </c>
      <c r="J1073">
        <v>903.83734131000006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735.22906999999998</v>
      </c>
      <c r="B1074" s="1">
        <f>DATE(2012,5,5) + TIME(5,29,51)</f>
        <v>41034.229062500002</v>
      </c>
      <c r="C1074">
        <v>80</v>
      </c>
      <c r="D1074">
        <v>79.812606811999999</v>
      </c>
      <c r="E1074">
        <v>50</v>
      </c>
      <c r="F1074">
        <v>48.939804076999998</v>
      </c>
      <c r="G1074">
        <v>1635.8211670000001</v>
      </c>
      <c r="H1074">
        <v>1506.7891846</v>
      </c>
      <c r="I1074">
        <v>1092.2133789</v>
      </c>
      <c r="J1074">
        <v>898.46160888999998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735.44635600000004</v>
      </c>
      <c r="B1075" s="1">
        <f>DATE(2012,5,5) + TIME(10,42,45)</f>
        <v>41034.44635416667</v>
      </c>
      <c r="C1075">
        <v>80</v>
      </c>
      <c r="D1075">
        <v>79.850769043</v>
      </c>
      <c r="E1075">
        <v>50</v>
      </c>
      <c r="F1075">
        <v>48.918708801000001</v>
      </c>
      <c r="G1075">
        <v>1641.1396483999999</v>
      </c>
      <c r="H1075">
        <v>1512.1904297000001</v>
      </c>
      <c r="I1075">
        <v>1086.7744141000001</v>
      </c>
      <c r="J1075">
        <v>893.00390625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735.67919099999995</v>
      </c>
      <c r="B1076" s="1">
        <f>DATE(2012,5,5) + TIME(16,18,2)</f>
        <v>41034.679189814815</v>
      </c>
      <c r="C1076">
        <v>80</v>
      </c>
      <c r="D1076">
        <v>79.881919861</v>
      </c>
      <c r="E1076">
        <v>50</v>
      </c>
      <c r="F1076">
        <v>48.896400452000002</v>
      </c>
      <c r="G1076">
        <v>1646.5623779</v>
      </c>
      <c r="H1076">
        <v>1517.6871338000001</v>
      </c>
      <c r="I1076">
        <v>1081.2303466999999</v>
      </c>
      <c r="J1076">
        <v>887.44030762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735.91386599999998</v>
      </c>
      <c r="B1077" s="1">
        <f>DATE(2012,5,5) + TIME(21,55,58)</f>
        <v>41034.913865740738</v>
      </c>
      <c r="C1077">
        <v>80</v>
      </c>
      <c r="D1077">
        <v>79.905662536999998</v>
      </c>
      <c r="E1077">
        <v>50</v>
      </c>
      <c r="F1077">
        <v>48.873840332</v>
      </c>
      <c r="G1077">
        <v>1651.7410889</v>
      </c>
      <c r="H1077">
        <v>1522.9301757999999</v>
      </c>
      <c r="I1077">
        <v>1075.9047852000001</v>
      </c>
      <c r="J1077">
        <v>882.09582520000004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736.14981799999998</v>
      </c>
      <c r="B1078" s="1">
        <f>DATE(2012,5,6) + TIME(3,35,44)</f>
        <v>41035.149814814817</v>
      </c>
      <c r="C1078">
        <v>80</v>
      </c>
      <c r="D1078">
        <v>79.923660278</v>
      </c>
      <c r="E1078">
        <v>50</v>
      </c>
      <c r="F1078">
        <v>48.851131439</v>
      </c>
      <c r="G1078">
        <v>1656.6943358999999</v>
      </c>
      <c r="H1078">
        <v>1527.9393310999999</v>
      </c>
      <c r="I1078">
        <v>1070.7951660000001</v>
      </c>
      <c r="J1078">
        <v>876.96728515999996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736.38802299999998</v>
      </c>
      <c r="B1079" s="1">
        <f>DATE(2012,5,6) + TIME(9,18,45)</f>
        <v>41035.388020833336</v>
      </c>
      <c r="C1079">
        <v>80</v>
      </c>
      <c r="D1079">
        <v>79.937263489000003</v>
      </c>
      <c r="E1079">
        <v>50</v>
      </c>
      <c r="F1079">
        <v>48.828250885000003</v>
      </c>
      <c r="G1079">
        <v>1661.4614257999999</v>
      </c>
      <c r="H1079">
        <v>1532.7556152</v>
      </c>
      <c r="I1079">
        <v>1065.8671875</v>
      </c>
      <c r="J1079">
        <v>872.02038574000005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736.62939500000005</v>
      </c>
      <c r="B1080" s="1">
        <f>DATE(2012,5,6) + TIME(15,6,19)</f>
        <v>41035.629386574074</v>
      </c>
      <c r="C1080">
        <v>80</v>
      </c>
      <c r="D1080">
        <v>79.947494507000002</v>
      </c>
      <c r="E1080">
        <v>50</v>
      </c>
      <c r="F1080">
        <v>48.805160522000001</v>
      </c>
      <c r="G1080">
        <v>1666.0706786999999</v>
      </c>
      <c r="H1080">
        <v>1537.4089355000001</v>
      </c>
      <c r="I1080">
        <v>1061.0925293</v>
      </c>
      <c r="J1080">
        <v>867.22650146000001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736.87482499999999</v>
      </c>
      <c r="B1081" s="1">
        <f>DATE(2012,5,6) + TIME(20,59,44)</f>
        <v>41035.874814814815</v>
      </c>
      <c r="C1081">
        <v>80</v>
      </c>
      <c r="D1081">
        <v>79.955108643000003</v>
      </c>
      <c r="E1081">
        <v>50</v>
      </c>
      <c r="F1081">
        <v>48.781810759999999</v>
      </c>
      <c r="G1081">
        <v>1670.5451660000001</v>
      </c>
      <c r="H1081">
        <v>1541.9232178</v>
      </c>
      <c r="I1081">
        <v>1056.4467772999999</v>
      </c>
      <c r="J1081">
        <v>862.56158446999996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737.12520500000005</v>
      </c>
      <c r="B1082" s="1">
        <f>DATE(2012,5,7) + TIME(3,0,17)</f>
        <v>41036.125196759262</v>
      </c>
      <c r="C1082">
        <v>80</v>
      </c>
      <c r="D1082">
        <v>79.960693359000004</v>
      </c>
      <c r="E1082">
        <v>50</v>
      </c>
      <c r="F1082">
        <v>48.758152008000003</v>
      </c>
      <c r="G1082">
        <v>1674.9041748</v>
      </c>
      <c r="H1082">
        <v>1546.3189697</v>
      </c>
      <c r="I1082">
        <v>1051.9091797000001</v>
      </c>
      <c r="J1082">
        <v>858.00463866999996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737.38145999999995</v>
      </c>
      <c r="B1083" s="1">
        <f>DATE(2012,5,7) + TIME(9,9,18)</f>
        <v>41036.381458333337</v>
      </c>
      <c r="C1083">
        <v>80</v>
      </c>
      <c r="D1083">
        <v>79.964698791999993</v>
      </c>
      <c r="E1083">
        <v>50</v>
      </c>
      <c r="F1083">
        <v>48.734127045000001</v>
      </c>
      <c r="G1083">
        <v>1679.1647949000001</v>
      </c>
      <c r="H1083">
        <v>1550.6137695</v>
      </c>
      <c r="I1083">
        <v>1047.4613036999999</v>
      </c>
      <c r="J1083">
        <v>853.53735352000001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737.64456099999995</v>
      </c>
      <c r="B1084" s="1">
        <f>DATE(2012,5,7) + TIME(15,28,10)</f>
        <v>41036.644560185188</v>
      </c>
      <c r="C1084">
        <v>80</v>
      </c>
      <c r="D1084">
        <v>79.967483521000005</v>
      </c>
      <c r="E1084">
        <v>50</v>
      </c>
      <c r="F1084">
        <v>48.709659576</v>
      </c>
      <c r="G1084">
        <v>1683.3420410000001</v>
      </c>
      <c r="H1084">
        <v>1554.8234863</v>
      </c>
      <c r="I1084">
        <v>1043.0867920000001</v>
      </c>
      <c r="J1084">
        <v>849.14306640999996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737.91569000000004</v>
      </c>
      <c r="B1085" s="1">
        <f>DATE(2012,5,7) + TIME(21,58,35)</f>
        <v>41036.915682870371</v>
      </c>
      <c r="C1085">
        <v>80</v>
      </c>
      <c r="D1085">
        <v>79.969306946000003</v>
      </c>
      <c r="E1085">
        <v>50</v>
      </c>
      <c r="F1085">
        <v>48.684669495000001</v>
      </c>
      <c r="G1085">
        <v>1687.4519043</v>
      </c>
      <c r="H1085">
        <v>1558.9643555</v>
      </c>
      <c r="I1085">
        <v>1038.7683105000001</v>
      </c>
      <c r="J1085">
        <v>844.80462646000001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738.19596000000001</v>
      </c>
      <c r="B1086" s="1">
        <f>DATE(2012,5,8) + TIME(4,42,10)</f>
        <v>41037.195949074077</v>
      </c>
      <c r="C1086">
        <v>80</v>
      </c>
      <c r="D1086">
        <v>79.970382689999994</v>
      </c>
      <c r="E1086">
        <v>50</v>
      </c>
      <c r="F1086">
        <v>48.659076691000003</v>
      </c>
      <c r="G1086">
        <v>1691.5061035000001</v>
      </c>
      <c r="H1086">
        <v>1563.0487060999999</v>
      </c>
      <c r="I1086">
        <v>1034.4925536999999</v>
      </c>
      <c r="J1086">
        <v>840.50860595999995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738.48659099999998</v>
      </c>
      <c r="B1087" s="1">
        <f>DATE(2012,5,8) + TIME(11,40,41)</f>
        <v>41037.486585648148</v>
      </c>
      <c r="C1087">
        <v>80</v>
      </c>
      <c r="D1087">
        <v>79.970886230000005</v>
      </c>
      <c r="E1087">
        <v>50</v>
      </c>
      <c r="F1087">
        <v>48.632793427000003</v>
      </c>
      <c r="G1087">
        <v>1695.5158690999999</v>
      </c>
      <c r="H1087">
        <v>1567.0878906</v>
      </c>
      <c r="I1087">
        <v>1030.2470702999999</v>
      </c>
      <c r="J1087">
        <v>836.24237060999997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738.78904499999999</v>
      </c>
      <c r="B1088" s="1">
        <f>DATE(2012,5,8) + TIME(18,56,13)</f>
        <v>41037.789039351854</v>
      </c>
      <c r="C1088">
        <v>80</v>
      </c>
      <c r="D1088">
        <v>79.970947265999996</v>
      </c>
      <c r="E1088">
        <v>50</v>
      </c>
      <c r="F1088">
        <v>48.605709075999997</v>
      </c>
      <c r="G1088">
        <v>1699.4931641000001</v>
      </c>
      <c r="H1088">
        <v>1571.0943603999999</v>
      </c>
      <c r="I1088">
        <v>1026.0184326000001</v>
      </c>
      <c r="J1088">
        <v>831.99255371000004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739.10499800000002</v>
      </c>
      <c r="B1089" s="1">
        <f>DATE(2012,5,9) + TIME(2,31,11)</f>
        <v>41038.104988425926</v>
      </c>
      <c r="C1089">
        <v>80</v>
      </c>
      <c r="D1089">
        <v>79.970657349000007</v>
      </c>
      <c r="E1089">
        <v>50</v>
      </c>
      <c r="F1089">
        <v>48.577709198000001</v>
      </c>
      <c r="G1089">
        <v>1703.449707</v>
      </c>
      <c r="H1089">
        <v>1575.0798339999999</v>
      </c>
      <c r="I1089">
        <v>1021.793335</v>
      </c>
      <c r="J1089">
        <v>827.74572753999996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739.43636200000003</v>
      </c>
      <c r="B1090" s="1">
        <f>DATE(2012,5,9) + TIME(10,28,21)</f>
        <v>41038.436354166668</v>
      </c>
      <c r="C1090">
        <v>80</v>
      </c>
      <c r="D1090">
        <v>79.970108031999999</v>
      </c>
      <c r="E1090">
        <v>50</v>
      </c>
      <c r="F1090">
        <v>48.548652648999997</v>
      </c>
      <c r="G1090">
        <v>1707.3969727000001</v>
      </c>
      <c r="H1090">
        <v>1579.0561522999999</v>
      </c>
      <c r="I1090">
        <v>1017.5584717</v>
      </c>
      <c r="J1090">
        <v>823.48858643000005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739.78472599999998</v>
      </c>
      <c r="B1091" s="1">
        <f>DATE(2012,5,9) + TIME(18,50,0)</f>
        <v>41038.784722222219</v>
      </c>
      <c r="C1091">
        <v>80</v>
      </c>
      <c r="D1091">
        <v>79.969352721999996</v>
      </c>
      <c r="E1091">
        <v>50</v>
      </c>
      <c r="F1091">
        <v>48.518424988</v>
      </c>
      <c r="G1091">
        <v>1711.3389893000001</v>
      </c>
      <c r="H1091">
        <v>1583.0275879000001</v>
      </c>
      <c r="I1091">
        <v>1013.3076782000001</v>
      </c>
      <c r="J1091">
        <v>819.21472168000003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740.14955399999997</v>
      </c>
      <c r="B1092" s="1">
        <f>DATE(2012,5,10) + TIME(3,35,21)</f>
        <v>41039.149548611109</v>
      </c>
      <c r="C1092">
        <v>80</v>
      </c>
      <c r="D1092">
        <v>79.968444824000002</v>
      </c>
      <c r="E1092">
        <v>50</v>
      </c>
      <c r="F1092">
        <v>48.487030029000003</v>
      </c>
      <c r="G1092">
        <v>1715.2540283000001</v>
      </c>
      <c r="H1092">
        <v>1586.9725341999999</v>
      </c>
      <c r="I1092">
        <v>1009.0604858</v>
      </c>
      <c r="J1092">
        <v>814.94384765999996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740.53327400000001</v>
      </c>
      <c r="B1093" s="1">
        <f>DATE(2012,5,10) + TIME(12,47,54)</f>
        <v>41039.533263888887</v>
      </c>
      <c r="C1093">
        <v>80</v>
      </c>
      <c r="D1093">
        <v>79.967437743999994</v>
      </c>
      <c r="E1093">
        <v>50</v>
      </c>
      <c r="F1093">
        <v>48.454318999999998</v>
      </c>
      <c r="G1093">
        <v>1719.15625</v>
      </c>
      <c r="H1093">
        <v>1590.9049072</v>
      </c>
      <c r="I1093">
        <v>1004.8031006</v>
      </c>
      <c r="J1093">
        <v>810.66192626999998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740.92171900000005</v>
      </c>
      <c r="B1094" s="1">
        <f>DATE(2012,5,10) + TIME(22,7,16)</f>
        <v>41039.921712962961</v>
      </c>
      <c r="C1094">
        <v>80</v>
      </c>
      <c r="D1094">
        <v>79.966362000000004</v>
      </c>
      <c r="E1094">
        <v>50</v>
      </c>
      <c r="F1094">
        <v>48.421054839999996</v>
      </c>
      <c r="G1094">
        <v>1722.8873291</v>
      </c>
      <c r="H1094">
        <v>1594.6665039</v>
      </c>
      <c r="I1094">
        <v>1000.690918</v>
      </c>
      <c r="J1094">
        <v>806.52551270000004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741.31243800000004</v>
      </c>
      <c r="B1095" s="1">
        <f>DATE(2012,5,11) + TIME(7,29,54)</f>
        <v>41040.312430555554</v>
      </c>
      <c r="C1095">
        <v>80</v>
      </c>
      <c r="D1095">
        <v>79.965286254999995</v>
      </c>
      <c r="E1095">
        <v>50</v>
      </c>
      <c r="F1095">
        <v>48.387493134000003</v>
      </c>
      <c r="G1095">
        <v>1726.4417725000001</v>
      </c>
      <c r="H1095">
        <v>1598.2508545000001</v>
      </c>
      <c r="I1095">
        <v>996.74151611000002</v>
      </c>
      <c r="J1095">
        <v>802.55181885000002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741.70689000000004</v>
      </c>
      <c r="B1096" s="1">
        <f>DATE(2012,5,11) + TIME(16,57,55)</f>
        <v>41040.706886574073</v>
      </c>
      <c r="C1096">
        <v>80</v>
      </c>
      <c r="D1096">
        <v>79.964233398000005</v>
      </c>
      <c r="E1096">
        <v>50</v>
      </c>
      <c r="F1096">
        <v>48.353660583</v>
      </c>
      <c r="G1096">
        <v>1729.8477783000001</v>
      </c>
      <c r="H1096">
        <v>1601.6862793</v>
      </c>
      <c r="I1096">
        <v>992.93225098000005</v>
      </c>
      <c r="J1096">
        <v>798.71789550999995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742.10648400000002</v>
      </c>
      <c r="B1097" s="1">
        <f>DATE(2012,5,12) + TIME(2,33,20)</f>
        <v>41041.106481481482</v>
      </c>
      <c r="C1097">
        <v>80</v>
      </c>
      <c r="D1097">
        <v>79.963211060000006</v>
      </c>
      <c r="E1097">
        <v>50</v>
      </c>
      <c r="F1097">
        <v>48.319534302000001</v>
      </c>
      <c r="G1097">
        <v>1733.1263428</v>
      </c>
      <c r="H1097">
        <v>1604.9935303</v>
      </c>
      <c r="I1097">
        <v>989.24353026999995</v>
      </c>
      <c r="J1097">
        <v>795.00439453000001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742.51262399999996</v>
      </c>
      <c r="B1098" s="1">
        <f>DATE(2012,5,12) + TIME(12,18,10)</f>
        <v>41041.512615740743</v>
      </c>
      <c r="C1098">
        <v>80</v>
      </c>
      <c r="D1098">
        <v>79.962219238000003</v>
      </c>
      <c r="E1098">
        <v>50</v>
      </c>
      <c r="F1098">
        <v>48.285060883</v>
      </c>
      <c r="G1098">
        <v>1736.2938231999999</v>
      </c>
      <c r="H1098">
        <v>1608.1890868999999</v>
      </c>
      <c r="I1098">
        <v>985.65863036999997</v>
      </c>
      <c r="J1098">
        <v>791.39434814000003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742.92674299999999</v>
      </c>
      <c r="B1099" s="1">
        <f>DATE(2012,5,12) + TIME(22,14,30)</f>
        <v>41041.926736111112</v>
      </c>
      <c r="C1099">
        <v>80</v>
      </c>
      <c r="D1099">
        <v>79.961265564000001</v>
      </c>
      <c r="E1099">
        <v>50</v>
      </c>
      <c r="F1099">
        <v>48.250171661000003</v>
      </c>
      <c r="G1099">
        <v>1739.3643798999999</v>
      </c>
      <c r="H1099">
        <v>1611.2874756000001</v>
      </c>
      <c r="I1099">
        <v>982.16271973000005</v>
      </c>
      <c r="J1099">
        <v>787.87316895000004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743.35033499999997</v>
      </c>
      <c r="B1100" s="1">
        <f>DATE(2012,5,13) + TIME(8,24,28)</f>
        <v>41042.350324074076</v>
      </c>
      <c r="C1100">
        <v>80</v>
      </c>
      <c r="D1100">
        <v>79.960342406999999</v>
      </c>
      <c r="E1100">
        <v>50</v>
      </c>
      <c r="F1100">
        <v>48.214767455999997</v>
      </c>
      <c r="G1100">
        <v>1742.3502197</v>
      </c>
      <c r="H1100">
        <v>1614.3006591999999</v>
      </c>
      <c r="I1100">
        <v>978.74291991999996</v>
      </c>
      <c r="J1100">
        <v>784.42773437999995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743.78499099999999</v>
      </c>
      <c r="B1101" s="1">
        <f>DATE(2012,5,13) + TIME(18,50,23)</f>
        <v>41042.784988425927</v>
      </c>
      <c r="C1101">
        <v>80</v>
      </c>
      <c r="D1101">
        <v>79.959442139000004</v>
      </c>
      <c r="E1101">
        <v>50</v>
      </c>
      <c r="F1101">
        <v>48.178756714000002</v>
      </c>
      <c r="G1101">
        <v>1745.2623291</v>
      </c>
      <c r="H1101">
        <v>1617.2398682</v>
      </c>
      <c r="I1101">
        <v>975.38732909999999</v>
      </c>
      <c r="J1101">
        <v>781.04620361000002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744.23263999999995</v>
      </c>
      <c r="B1102" s="1">
        <f>DATE(2012,5,14) + TIME(5,35,0)</f>
        <v>41043.232638888891</v>
      </c>
      <c r="C1102">
        <v>80</v>
      </c>
      <c r="D1102">
        <v>79.958580017000003</v>
      </c>
      <c r="E1102">
        <v>50</v>
      </c>
      <c r="F1102">
        <v>48.142005920000003</v>
      </c>
      <c r="G1102">
        <v>1748.1115723</v>
      </c>
      <c r="H1102">
        <v>1620.1162108999999</v>
      </c>
      <c r="I1102">
        <v>972.08386229999996</v>
      </c>
      <c r="J1102">
        <v>777.71624756000006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744.69516699999997</v>
      </c>
      <c r="B1103" s="1">
        <f>DATE(2012,5,14) + TIME(16,41,2)</f>
        <v>41043.695162037038</v>
      </c>
      <c r="C1103">
        <v>80</v>
      </c>
      <c r="D1103">
        <v>79.957740783999995</v>
      </c>
      <c r="E1103">
        <v>50</v>
      </c>
      <c r="F1103">
        <v>48.104389191000003</v>
      </c>
      <c r="G1103">
        <v>1750.9067382999999</v>
      </c>
      <c r="H1103">
        <v>1622.9382324000001</v>
      </c>
      <c r="I1103">
        <v>968.82275390999996</v>
      </c>
      <c r="J1103">
        <v>774.42810058999999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745.17458699999997</v>
      </c>
      <c r="B1104" s="1">
        <f>DATE(2012,5,15) + TIME(4,11,24)</f>
        <v>41044.174583333333</v>
      </c>
      <c r="C1104">
        <v>80</v>
      </c>
      <c r="D1104">
        <v>79.956924438000001</v>
      </c>
      <c r="E1104">
        <v>50</v>
      </c>
      <c r="F1104">
        <v>48.065773010000001</v>
      </c>
      <c r="G1104">
        <v>1753.6550293</v>
      </c>
      <c r="H1104">
        <v>1625.713501</v>
      </c>
      <c r="I1104">
        <v>965.59527588000003</v>
      </c>
      <c r="J1104">
        <v>771.17303466999999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745.67210599999999</v>
      </c>
      <c r="B1105" s="1">
        <f>DATE(2012,5,15) + TIME(16,7,49)</f>
        <v>41044.672094907408</v>
      </c>
      <c r="C1105">
        <v>80</v>
      </c>
      <c r="D1105">
        <v>79.956130981000001</v>
      </c>
      <c r="E1105">
        <v>50</v>
      </c>
      <c r="F1105">
        <v>48.026050568000002</v>
      </c>
      <c r="G1105">
        <v>1756.3574219</v>
      </c>
      <c r="H1105">
        <v>1628.4428711</v>
      </c>
      <c r="I1105">
        <v>962.39965819999998</v>
      </c>
      <c r="J1105">
        <v>767.94909668000003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746.188446</v>
      </c>
      <c r="B1106" s="1">
        <f>DATE(2012,5,16) + TIME(4,31,21)</f>
        <v>41045.188437500001</v>
      </c>
      <c r="C1106">
        <v>80</v>
      </c>
      <c r="D1106">
        <v>79.955360412999994</v>
      </c>
      <c r="E1106">
        <v>50</v>
      </c>
      <c r="F1106">
        <v>47.985157012999998</v>
      </c>
      <c r="G1106">
        <v>1759.0115966999999</v>
      </c>
      <c r="H1106">
        <v>1631.1241454999999</v>
      </c>
      <c r="I1106">
        <v>959.23767090000001</v>
      </c>
      <c r="J1106">
        <v>764.75799560999997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746.72670400000004</v>
      </c>
      <c r="B1107" s="1">
        <f>DATE(2012,5,16) + TIME(17,26,27)</f>
        <v>41045.726701388892</v>
      </c>
      <c r="C1107">
        <v>80</v>
      </c>
      <c r="D1107">
        <v>79.954612732000001</v>
      </c>
      <c r="E1107">
        <v>50</v>
      </c>
      <c r="F1107">
        <v>47.942920684999997</v>
      </c>
      <c r="G1107">
        <v>1761.6280518000001</v>
      </c>
      <c r="H1107">
        <v>1633.7678223</v>
      </c>
      <c r="I1107">
        <v>956.09838866999996</v>
      </c>
      <c r="J1107">
        <v>761.58874512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747.29047600000001</v>
      </c>
      <c r="B1108" s="1">
        <f>DATE(2012,5,17) + TIME(6,58,17)</f>
        <v>41046.29047453704</v>
      </c>
      <c r="C1108">
        <v>80</v>
      </c>
      <c r="D1108">
        <v>79.953887938999998</v>
      </c>
      <c r="E1108">
        <v>50</v>
      </c>
      <c r="F1108">
        <v>47.89913559</v>
      </c>
      <c r="G1108">
        <v>1764.2160644999999</v>
      </c>
      <c r="H1108">
        <v>1636.3831786999999</v>
      </c>
      <c r="I1108">
        <v>952.97100829999999</v>
      </c>
      <c r="J1108">
        <v>758.43023682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747.57799699999998</v>
      </c>
      <c r="B1109" s="1">
        <f>DATE(2012,5,17) + TIME(13,52,18)</f>
        <v>41046.577986111108</v>
      </c>
      <c r="C1109">
        <v>80</v>
      </c>
      <c r="D1109">
        <v>79.953269958000007</v>
      </c>
      <c r="E1109">
        <v>50</v>
      </c>
      <c r="F1109">
        <v>47.870491028000004</v>
      </c>
      <c r="G1109">
        <v>1765.3730469</v>
      </c>
      <c r="H1109">
        <v>1637.5635986</v>
      </c>
      <c r="I1109">
        <v>951.38751220999995</v>
      </c>
      <c r="J1109">
        <v>756.83697510000002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747.86551799999995</v>
      </c>
      <c r="B1110" s="1">
        <f>DATE(2012,5,17) + TIME(20,46,20)</f>
        <v>41046.86550925926</v>
      </c>
      <c r="C1110">
        <v>80</v>
      </c>
      <c r="D1110">
        <v>79.952842712000006</v>
      </c>
      <c r="E1110">
        <v>50</v>
      </c>
      <c r="F1110">
        <v>47.843460082999997</v>
      </c>
      <c r="G1110">
        <v>1766.5455322</v>
      </c>
      <c r="H1110">
        <v>1638.7528076000001</v>
      </c>
      <c r="I1110">
        <v>949.86462401999995</v>
      </c>
      <c r="J1110">
        <v>755.29284668000003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748.15303900000004</v>
      </c>
      <c r="B1111" s="1">
        <f>DATE(2012,5,18) + TIME(3,40,22)</f>
        <v>41047.153032407405</v>
      </c>
      <c r="C1111">
        <v>80</v>
      </c>
      <c r="D1111">
        <v>79.952507018999995</v>
      </c>
      <c r="E1111">
        <v>50</v>
      </c>
      <c r="F1111">
        <v>47.817596436000002</v>
      </c>
      <c r="G1111">
        <v>1767.7127685999999</v>
      </c>
      <c r="H1111">
        <v>1639.9344481999999</v>
      </c>
      <c r="I1111">
        <v>948.38098145000004</v>
      </c>
      <c r="J1111">
        <v>753.78887939000003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748.72808099999997</v>
      </c>
      <c r="B1112" s="1">
        <f>DATE(2012,5,18) + TIME(17,28,26)</f>
        <v>41047.728078703702</v>
      </c>
      <c r="C1112">
        <v>80</v>
      </c>
      <c r="D1112">
        <v>79.952224731000001</v>
      </c>
      <c r="E1112">
        <v>50</v>
      </c>
      <c r="F1112">
        <v>47.778499603</v>
      </c>
      <c r="G1112">
        <v>1770.1103516000001</v>
      </c>
      <c r="H1112">
        <v>1642.3480225000001</v>
      </c>
      <c r="I1112">
        <v>945.58843993999994</v>
      </c>
      <c r="J1112">
        <v>750.95794678000004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749.303269</v>
      </c>
      <c r="B1113" s="1">
        <f>DATE(2012,5,19) + TIME(7,16,42)</f>
        <v>41048.303263888891</v>
      </c>
      <c r="C1113">
        <v>80</v>
      </c>
      <c r="D1113">
        <v>79.951705933</v>
      </c>
      <c r="E1113">
        <v>50</v>
      </c>
      <c r="F1113">
        <v>47.736763000000003</v>
      </c>
      <c r="G1113">
        <v>1772.2989502</v>
      </c>
      <c r="H1113">
        <v>1644.5601807</v>
      </c>
      <c r="I1113">
        <v>942.90252685999997</v>
      </c>
      <c r="J1113">
        <v>748.24468993999994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749.88331400000004</v>
      </c>
      <c r="B1114" s="1">
        <f>DATE(2012,5,19) + TIME(21,11,58)</f>
        <v>41048.883310185185</v>
      </c>
      <c r="C1114">
        <v>80</v>
      </c>
      <c r="D1114">
        <v>79.951156616000006</v>
      </c>
      <c r="E1114">
        <v>50</v>
      </c>
      <c r="F1114">
        <v>47.693454742</v>
      </c>
      <c r="G1114">
        <v>1774.3597411999999</v>
      </c>
      <c r="H1114">
        <v>1646.6453856999999</v>
      </c>
      <c r="I1114">
        <v>940.31872558999999</v>
      </c>
      <c r="J1114">
        <v>745.63140868999994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750.47068999999999</v>
      </c>
      <c r="B1115" s="1">
        <f>DATE(2012,5,20) + TIME(11,17,47)</f>
        <v>41049.470682870371</v>
      </c>
      <c r="C1115">
        <v>80</v>
      </c>
      <c r="D1115">
        <v>79.950622558999996</v>
      </c>
      <c r="E1115">
        <v>50</v>
      </c>
      <c r="F1115">
        <v>47.649085999</v>
      </c>
      <c r="G1115">
        <v>1776.3251952999999</v>
      </c>
      <c r="H1115">
        <v>1648.6351318</v>
      </c>
      <c r="I1115">
        <v>937.82312012</v>
      </c>
      <c r="J1115">
        <v>743.10491943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751.067949</v>
      </c>
      <c r="B1116" s="1">
        <f>DATE(2012,5,21) + TIME(1,37,50)</f>
        <v>41050.067939814813</v>
      </c>
      <c r="C1116">
        <v>80</v>
      </c>
      <c r="D1116">
        <v>79.950126647999994</v>
      </c>
      <c r="E1116">
        <v>50</v>
      </c>
      <c r="F1116">
        <v>47.603878021</v>
      </c>
      <c r="G1116">
        <v>1778.2127685999999</v>
      </c>
      <c r="H1116">
        <v>1650.5463867000001</v>
      </c>
      <c r="I1116">
        <v>935.40319824000005</v>
      </c>
      <c r="J1116">
        <v>740.65307616999996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751.67792699999995</v>
      </c>
      <c r="B1117" s="1">
        <f>DATE(2012,5,21) + TIME(16,16,12)</f>
        <v>41050.677916666667</v>
      </c>
      <c r="C1117">
        <v>80</v>
      </c>
      <c r="D1117">
        <v>79.949653624999996</v>
      </c>
      <c r="E1117">
        <v>50</v>
      </c>
      <c r="F1117">
        <v>47.557849883999999</v>
      </c>
      <c r="G1117">
        <v>1780.0344238</v>
      </c>
      <c r="H1117">
        <v>1652.3913574000001</v>
      </c>
      <c r="I1117">
        <v>933.04742432</v>
      </c>
      <c r="J1117">
        <v>738.26440430000002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752.30302099999994</v>
      </c>
      <c r="B1118" s="1">
        <f>DATE(2012,5,22) + TIME(7,16,21)</f>
        <v>41051.303020833337</v>
      </c>
      <c r="C1118">
        <v>80</v>
      </c>
      <c r="D1118">
        <v>79.94921875</v>
      </c>
      <c r="E1118">
        <v>50</v>
      </c>
      <c r="F1118">
        <v>47.510955811000002</v>
      </c>
      <c r="G1118">
        <v>1781.7978516000001</v>
      </c>
      <c r="H1118">
        <v>1654.1777344</v>
      </c>
      <c r="I1118">
        <v>930.74755859000004</v>
      </c>
      <c r="J1118">
        <v>735.93078613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752.94624199999998</v>
      </c>
      <c r="B1119" s="1">
        <f>DATE(2012,5,22) + TIME(22,42,35)</f>
        <v>41051.946238425924</v>
      </c>
      <c r="C1119">
        <v>80</v>
      </c>
      <c r="D1119">
        <v>79.948799132999994</v>
      </c>
      <c r="E1119">
        <v>50</v>
      </c>
      <c r="F1119">
        <v>47.463062286000003</v>
      </c>
      <c r="G1119">
        <v>1783.5106201000001</v>
      </c>
      <c r="H1119">
        <v>1655.9133300999999</v>
      </c>
      <c r="I1119">
        <v>928.49487305000002</v>
      </c>
      <c r="J1119">
        <v>733.64337158000001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753.61095299999999</v>
      </c>
      <c r="B1120" s="1">
        <f>DATE(2012,5,23) + TIME(14,39,46)</f>
        <v>41052.610949074071</v>
      </c>
      <c r="C1120">
        <v>80</v>
      </c>
      <c r="D1120">
        <v>79.948402404999996</v>
      </c>
      <c r="E1120">
        <v>50</v>
      </c>
      <c r="F1120">
        <v>47.413997649999999</v>
      </c>
      <c r="G1120">
        <v>1785.1794434000001</v>
      </c>
      <c r="H1120">
        <v>1657.6048584</v>
      </c>
      <c r="I1120">
        <v>926.28131103999999</v>
      </c>
      <c r="J1120">
        <v>731.39398193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754.30098699999996</v>
      </c>
      <c r="B1121" s="1">
        <f>DATE(2012,5,24) + TIME(7,13,25)</f>
        <v>41053.300983796296</v>
      </c>
      <c r="C1121">
        <v>80</v>
      </c>
      <c r="D1121">
        <v>79.948020935000002</v>
      </c>
      <c r="E1121">
        <v>50</v>
      </c>
      <c r="F1121">
        <v>47.363544464</v>
      </c>
      <c r="G1121">
        <v>1786.8103027</v>
      </c>
      <c r="H1121">
        <v>1659.2581786999999</v>
      </c>
      <c r="I1121">
        <v>924.09918213000003</v>
      </c>
      <c r="J1121">
        <v>729.17480468999997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755.02065300000004</v>
      </c>
      <c r="B1122" s="1">
        <f>DATE(2012,5,25) + TIME(0,29,44)</f>
        <v>41054.020648148151</v>
      </c>
      <c r="C1122">
        <v>80</v>
      </c>
      <c r="D1122">
        <v>79.947654724000003</v>
      </c>
      <c r="E1122">
        <v>50</v>
      </c>
      <c r="F1122">
        <v>47.311439514</v>
      </c>
      <c r="G1122">
        <v>1788.4080810999999</v>
      </c>
      <c r="H1122">
        <v>1660.8786620999999</v>
      </c>
      <c r="I1122">
        <v>921.94152831999997</v>
      </c>
      <c r="J1122">
        <v>726.97857666000004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755.38952300000005</v>
      </c>
      <c r="B1123" s="1">
        <f>DATE(2012,5,25) + TIME(9,20,54)</f>
        <v>41054.389513888891</v>
      </c>
      <c r="C1123">
        <v>80</v>
      </c>
      <c r="D1123">
        <v>79.947265625</v>
      </c>
      <c r="E1123">
        <v>50</v>
      </c>
      <c r="F1123">
        <v>47.275894164999997</v>
      </c>
      <c r="G1123">
        <v>1789.0943603999999</v>
      </c>
      <c r="H1123">
        <v>1661.5838623</v>
      </c>
      <c r="I1123">
        <v>920.82781981999995</v>
      </c>
      <c r="J1123">
        <v>725.84997558999999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755.75839199999996</v>
      </c>
      <c r="B1124" s="1">
        <f>DATE(2012,5,25) + TIME(18,12,5)</f>
        <v>41054.758391203701</v>
      </c>
      <c r="C1124">
        <v>80</v>
      </c>
      <c r="D1124">
        <v>79.947021484000004</v>
      </c>
      <c r="E1124">
        <v>50</v>
      </c>
      <c r="F1124">
        <v>47.243049622000001</v>
      </c>
      <c r="G1124">
        <v>1789.7940673999999</v>
      </c>
      <c r="H1124">
        <v>1662.2973632999999</v>
      </c>
      <c r="I1124">
        <v>919.77014159999999</v>
      </c>
      <c r="J1124">
        <v>724.76458739999998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756.12726199999997</v>
      </c>
      <c r="B1125" s="1">
        <f>DATE(2012,5,26) + TIME(3,3,15)</f>
        <v>41055.127256944441</v>
      </c>
      <c r="C1125">
        <v>80</v>
      </c>
      <c r="D1125">
        <v>79.946853637999993</v>
      </c>
      <c r="E1125">
        <v>50</v>
      </c>
      <c r="F1125">
        <v>47.212020873999997</v>
      </c>
      <c r="G1125">
        <v>1790.4959716999999</v>
      </c>
      <c r="H1125">
        <v>1663.0109863</v>
      </c>
      <c r="I1125">
        <v>918.74261475000003</v>
      </c>
      <c r="J1125">
        <v>723.71112060999997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756.49613099999999</v>
      </c>
      <c r="B1126" s="1">
        <f>DATE(2012,5,26) + TIME(11,54,25)</f>
        <v>41055.496122685188</v>
      </c>
      <c r="C1126">
        <v>80</v>
      </c>
      <c r="D1126">
        <v>79.946723938000005</v>
      </c>
      <c r="E1126">
        <v>50</v>
      </c>
      <c r="F1126">
        <v>47.182235718000001</v>
      </c>
      <c r="G1126">
        <v>1791.1872559000001</v>
      </c>
      <c r="H1126">
        <v>1663.7133789</v>
      </c>
      <c r="I1126">
        <v>917.74304199000005</v>
      </c>
      <c r="J1126">
        <v>722.68725586000005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757.23387000000002</v>
      </c>
      <c r="B1127" s="1">
        <f>DATE(2012,5,27) + TIME(5,36,46)</f>
        <v>41056.233865740738</v>
      </c>
      <c r="C1127">
        <v>80</v>
      </c>
      <c r="D1127">
        <v>79.946701050000001</v>
      </c>
      <c r="E1127">
        <v>50</v>
      </c>
      <c r="F1127">
        <v>47.138717651</v>
      </c>
      <c r="G1127">
        <v>1792.6407471</v>
      </c>
      <c r="H1127">
        <v>1665.1798096</v>
      </c>
      <c r="I1127">
        <v>915.89410399999997</v>
      </c>
      <c r="J1127">
        <v>720.79449463000003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757.97233200000005</v>
      </c>
      <c r="B1128" s="1">
        <f>DATE(2012,5,27) + TIME(23,20,9)</f>
        <v>41056.972326388888</v>
      </c>
      <c r="C1128">
        <v>80</v>
      </c>
      <c r="D1128">
        <v>79.946464539000004</v>
      </c>
      <c r="E1128">
        <v>50</v>
      </c>
      <c r="F1128">
        <v>47.089981078999998</v>
      </c>
      <c r="G1128">
        <v>1793.9385986</v>
      </c>
      <c r="H1128">
        <v>1666.4968262</v>
      </c>
      <c r="I1128">
        <v>914.10766602000001</v>
      </c>
      <c r="J1128">
        <v>718.97393798999997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758.71867099999997</v>
      </c>
      <c r="B1129" s="1">
        <f>DATE(2012,5,28) + TIME(17,14,53)</f>
        <v>41057.718668981484</v>
      </c>
      <c r="C1129">
        <v>80</v>
      </c>
      <c r="D1129">
        <v>79.946182250999996</v>
      </c>
      <c r="E1129">
        <v>50</v>
      </c>
      <c r="F1129">
        <v>47.038463593000003</v>
      </c>
      <c r="G1129">
        <v>1795.1416016000001</v>
      </c>
      <c r="H1129">
        <v>1667.7196045000001</v>
      </c>
      <c r="I1129">
        <v>912.39202881000006</v>
      </c>
      <c r="J1129">
        <v>717.21984863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759.47618299999999</v>
      </c>
      <c r="B1130" s="1">
        <f>DATE(2012,5,29) + TIME(11,25,42)</f>
        <v>41058.476180555554</v>
      </c>
      <c r="C1130">
        <v>80</v>
      </c>
      <c r="D1130">
        <v>79.945915221999996</v>
      </c>
      <c r="E1130">
        <v>50</v>
      </c>
      <c r="F1130">
        <v>46.985240935999997</v>
      </c>
      <c r="G1130">
        <v>1796.2755127</v>
      </c>
      <c r="H1130">
        <v>1668.8730469</v>
      </c>
      <c r="I1130">
        <v>910.73876953000001</v>
      </c>
      <c r="J1130">
        <v>715.52539062000005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760.24880499999995</v>
      </c>
      <c r="B1131" s="1">
        <f>DATE(2012,5,30) + TIME(5,58,16)</f>
        <v>41059.248796296299</v>
      </c>
      <c r="C1131">
        <v>80</v>
      </c>
      <c r="D1131">
        <v>79.945663452000005</v>
      </c>
      <c r="E1131">
        <v>50</v>
      </c>
      <c r="F1131">
        <v>46.930728911999999</v>
      </c>
      <c r="G1131">
        <v>1797.3533935999999</v>
      </c>
      <c r="H1131">
        <v>1669.9700928</v>
      </c>
      <c r="I1131">
        <v>909.13922118999994</v>
      </c>
      <c r="J1131">
        <v>713.88244628999996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761.03958499999999</v>
      </c>
      <c r="B1132" s="1">
        <f>DATE(2012,5,31) + TIME(0,57,0)</f>
        <v>41060.039583333331</v>
      </c>
      <c r="C1132">
        <v>80</v>
      </c>
      <c r="D1132">
        <v>79.945434570000003</v>
      </c>
      <c r="E1132">
        <v>50</v>
      </c>
      <c r="F1132">
        <v>46.875038146999998</v>
      </c>
      <c r="G1132">
        <v>1798.3817139</v>
      </c>
      <c r="H1132">
        <v>1671.0173339999999</v>
      </c>
      <c r="I1132">
        <v>907.58764647999999</v>
      </c>
      <c r="J1132">
        <v>712.28558350000003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761.85243000000003</v>
      </c>
      <c r="B1133" s="1">
        <f>DATE(2012,5,31) + TIME(20,27,29)</f>
        <v>41060.852418981478</v>
      </c>
      <c r="C1133">
        <v>80</v>
      </c>
      <c r="D1133">
        <v>79.945220946999996</v>
      </c>
      <c r="E1133">
        <v>50</v>
      </c>
      <c r="F1133">
        <v>46.818080901999998</v>
      </c>
      <c r="G1133">
        <v>1799.3658447</v>
      </c>
      <c r="H1133">
        <v>1672.0200195</v>
      </c>
      <c r="I1133">
        <v>906.07788086000005</v>
      </c>
      <c r="J1133">
        <v>710.72863770000004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762</v>
      </c>
      <c r="B1134" s="1">
        <f>DATE(2012,6,1) + TIME(0,0,0)</f>
        <v>41061</v>
      </c>
      <c r="C1134">
        <v>80</v>
      </c>
      <c r="D1134">
        <v>79.945037842000005</v>
      </c>
      <c r="E1134">
        <v>50</v>
      </c>
      <c r="F1134">
        <v>46.799903870000001</v>
      </c>
      <c r="G1134">
        <v>1799.4815673999999</v>
      </c>
      <c r="H1134">
        <v>1672.1448975000001</v>
      </c>
      <c r="I1134">
        <v>905.74877930000002</v>
      </c>
      <c r="J1134">
        <v>710.40747069999998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762.835418</v>
      </c>
      <c r="B1135" s="1">
        <f>DATE(2012,6,1) + TIME(20,3,0)</f>
        <v>41061.835416666669</v>
      </c>
      <c r="C1135">
        <v>80</v>
      </c>
      <c r="D1135">
        <v>79.944946289000001</v>
      </c>
      <c r="E1135">
        <v>50</v>
      </c>
      <c r="F1135">
        <v>46.745635986000003</v>
      </c>
      <c r="G1135">
        <v>1800.4329834</v>
      </c>
      <c r="H1135">
        <v>1673.1102295000001</v>
      </c>
      <c r="I1135">
        <v>904.34570312000005</v>
      </c>
      <c r="J1135">
        <v>708.93322753999996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763.70275100000003</v>
      </c>
      <c r="B1136" s="1">
        <f>DATE(2012,6,2) + TIME(16,51,57)</f>
        <v>41062.702743055554</v>
      </c>
      <c r="C1136">
        <v>80</v>
      </c>
      <c r="D1136">
        <v>79.944816588999998</v>
      </c>
      <c r="E1136">
        <v>50</v>
      </c>
      <c r="F1136">
        <v>46.687637328999998</v>
      </c>
      <c r="G1136">
        <v>1801.3430175999999</v>
      </c>
      <c r="H1136">
        <v>1674.0374756000001</v>
      </c>
      <c r="I1136">
        <v>902.92498779000005</v>
      </c>
      <c r="J1136">
        <v>707.46313477000001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764.15188799999999</v>
      </c>
      <c r="B1137" s="1">
        <f>DATE(2012,6,3) + TIME(3,38,43)</f>
        <v>41063.151886574073</v>
      </c>
      <c r="C1137">
        <v>80</v>
      </c>
      <c r="D1137">
        <v>79.944557189999998</v>
      </c>
      <c r="E1137">
        <v>50</v>
      </c>
      <c r="F1137">
        <v>46.645885468000003</v>
      </c>
      <c r="G1137">
        <v>1801.6986084</v>
      </c>
      <c r="H1137">
        <v>1674.4080810999999</v>
      </c>
      <c r="I1137">
        <v>902.15960693</v>
      </c>
      <c r="J1137">
        <v>706.67303466999999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764.60102600000005</v>
      </c>
      <c r="B1138" s="1">
        <f>DATE(2012,6,3) + TIME(14,25,28)</f>
        <v>41063.601018518515</v>
      </c>
      <c r="C1138">
        <v>80</v>
      </c>
      <c r="D1138">
        <v>79.944412231000001</v>
      </c>
      <c r="E1138">
        <v>50</v>
      </c>
      <c r="F1138">
        <v>46.607837676999999</v>
      </c>
      <c r="G1138">
        <v>1802.0635986</v>
      </c>
      <c r="H1138">
        <v>1674.7840576000001</v>
      </c>
      <c r="I1138">
        <v>901.44921875</v>
      </c>
      <c r="J1138">
        <v>705.92523193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765.050163</v>
      </c>
      <c r="B1139" s="1">
        <f>DATE(2012,6,4) + TIME(1,12,14)</f>
        <v>41064.050162037034</v>
      </c>
      <c r="C1139">
        <v>80</v>
      </c>
      <c r="D1139">
        <v>79.944328307999996</v>
      </c>
      <c r="E1139">
        <v>50</v>
      </c>
      <c r="F1139">
        <v>46.572113037000001</v>
      </c>
      <c r="G1139">
        <v>1802.4338379000001</v>
      </c>
      <c r="H1139">
        <v>1675.1638184000001</v>
      </c>
      <c r="I1139">
        <v>900.76263428000004</v>
      </c>
      <c r="J1139">
        <v>705.20373534999999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765.49930099999995</v>
      </c>
      <c r="B1140" s="1">
        <f>DATE(2012,6,4) + TIME(11,58,59)</f>
        <v>41064.499293981484</v>
      </c>
      <c r="C1140">
        <v>80</v>
      </c>
      <c r="D1140">
        <v>79.944274902000004</v>
      </c>
      <c r="E1140">
        <v>50</v>
      </c>
      <c r="F1140">
        <v>46.537864685000002</v>
      </c>
      <c r="G1140">
        <v>1802.7991943</v>
      </c>
      <c r="H1140">
        <v>1675.5382079999999</v>
      </c>
      <c r="I1140">
        <v>900.09722899999997</v>
      </c>
      <c r="J1140">
        <v>704.50531006000006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765.94843800000001</v>
      </c>
      <c r="B1141" s="1">
        <f>DATE(2012,6,4) + TIME(22,45,45)</f>
        <v>41064.948437500003</v>
      </c>
      <c r="C1141">
        <v>80</v>
      </c>
      <c r="D1141">
        <v>79.944229125999996</v>
      </c>
      <c r="E1141">
        <v>50</v>
      </c>
      <c r="F1141">
        <v>46.504562378000003</v>
      </c>
      <c r="G1141">
        <v>1803.1549072</v>
      </c>
      <c r="H1141">
        <v>1675.9024658000001</v>
      </c>
      <c r="I1141">
        <v>899.45190430000002</v>
      </c>
      <c r="J1141">
        <v>703.82800293000003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766.39757599999996</v>
      </c>
      <c r="B1142" s="1">
        <f>DATE(2012,6,5) + TIME(9,32,30)</f>
        <v>41065.397569444445</v>
      </c>
      <c r="C1142">
        <v>80</v>
      </c>
      <c r="D1142">
        <v>79.944183350000003</v>
      </c>
      <c r="E1142">
        <v>50</v>
      </c>
      <c r="F1142">
        <v>46.471866607999999</v>
      </c>
      <c r="G1142">
        <v>1803.4985352000001</v>
      </c>
      <c r="H1142">
        <v>1676.2546387</v>
      </c>
      <c r="I1142">
        <v>898.82562256000006</v>
      </c>
      <c r="J1142">
        <v>703.17028808999999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767.29585099999997</v>
      </c>
      <c r="B1143" s="1">
        <f>DATE(2012,6,6) + TIME(7,6,1)</f>
        <v>41066.295844907407</v>
      </c>
      <c r="C1143">
        <v>80</v>
      </c>
      <c r="D1143">
        <v>79.944259643999999</v>
      </c>
      <c r="E1143">
        <v>50</v>
      </c>
      <c r="F1143">
        <v>46.424793243000003</v>
      </c>
      <c r="G1143">
        <v>1804.2602539</v>
      </c>
      <c r="H1143">
        <v>1677.0264893000001</v>
      </c>
      <c r="I1143">
        <v>897.70977783000001</v>
      </c>
      <c r="J1143">
        <v>702.00042725000003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768.19698200000005</v>
      </c>
      <c r="B1144" s="1">
        <f>DATE(2012,6,7) + TIME(4,43,39)</f>
        <v>41067.196979166663</v>
      </c>
      <c r="C1144">
        <v>80</v>
      </c>
      <c r="D1144">
        <v>79.944160460999996</v>
      </c>
      <c r="E1144">
        <v>50</v>
      </c>
      <c r="F1144">
        <v>46.369033813000001</v>
      </c>
      <c r="G1144">
        <v>1804.9047852000001</v>
      </c>
      <c r="H1144">
        <v>1677.6859131000001</v>
      </c>
      <c r="I1144">
        <v>896.60900878999996</v>
      </c>
      <c r="J1144">
        <v>700.84985352000001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769.10996299999999</v>
      </c>
      <c r="B1145" s="1">
        <f>DATE(2012,6,8) + TIME(2,38,20)</f>
        <v>41068.109953703701</v>
      </c>
      <c r="C1145">
        <v>80</v>
      </c>
      <c r="D1145">
        <v>79.944015503000003</v>
      </c>
      <c r="E1145">
        <v>50</v>
      </c>
      <c r="F1145">
        <v>46.308990479000002</v>
      </c>
      <c r="G1145">
        <v>1805.4757079999999</v>
      </c>
      <c r="H1145">
        <v>1678.2722168</v>
      </c>
      <c r="I1145">
        <v>895.54919433999999</v>
      </c>
      <c r="J1145">
        <v>699.73236083999996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770.03857700000003</v>
      </c>
      <c r="B1146" s="1">
        <f>DATE(2012,6,9) + TIME(0,55,33)</f>
        <v>41069.038576388892</v>
      </c>
      <c r="C1146">
        <v>80</v>
      </c>
      <c r="D1146">
        <v>79.943878174000005</v>
      </c>
      <c r="E1146">
        <v>50</v>
      </c>
      <c r="F1146">
        <v>46.246463775999999</v>
      </c>
      <c r="G1146">
        <v>1805.9937743999999</v>
      </c>
      <c r="H1146">
        <v>1678.8055420000001</v>
      </c>
      <c r="I1146">
        <v>894.52728271000001</v>
      </c>
      <c r="J1146">
        <v>698.64758300999995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770.98714900000004</v>
      </c>
      <c r="B1147" s="1">
        <f>DATE(2012,6,9) + TIME(23,41,29)</f>
        <v>41069.987141203703</v>
      </c>
      <c r="C1147">
        <v>80</v>
      </c>
      <c r="D1147">
        <v>79.943763732999997</v>
      </c>
      <c r="E1147">
        <v>50</v>
      </c>
      <c r="F1147">
        <v>46.182117462000001</v>
      </c>
      <c r="G1147">
        <v>1806.4683838000001</v>
      </c>
      <c r="H1147">
        <v>1679.2950439000001</v>
      </c>
      <c r="I1147">
        <v>893.53912353999999</v>
      </c>
      <c r="J1147">
        <v>697.59246826000003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771.95998299999997</v>
      </c>
      <c r="B1148" s="1">
        <f>DATE(2012,6,10) + TIME(23,2,22)</f>
        <v>41070.959976851853</v>
      </c>
      <c r="C1148">
        <v>80</v>
      </c>
      <c r="D1148">
        <v>79.943664550999998</v>
      </c>
      <c r="E1148">
        <v>50</v>
      </c>
      <c r="F1148">
        <v>46.116100310999997</v>
      </c>
      <c r="G1148">
        <v>1806.9040527</v>
      </c>
      <c r="H1148">
        <v>1679.7456055</v>
      </c>
      <c r="I1148">
        <v>892.58087158000001</v>
      </c>
      <c r="J1148">
        <v>696.56335449000005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772.96147599999995</v>
      </c>
      <c r="B1149" s="1">
        <f>DATE(2012,6,11) + TIME(23,4,31)</f>
        <v>41071.961469907408</v>
      </c>
      <c r="C1149">
        <v>80</v>
      </c>
      <c r="D1149">
        <v>79.943580627000003</v>
      </c>
      <c r="E1149">
        <v>50</v>
      </c>
      <c r="F1149">
        <v>46.048313141000001</v>
      </c>
      <c r="G1149">
        <v>1807.3033447</v>
      </c>
      <c r="H1149">
        <v>1680.159668</v>
      </c>
      <c r="I1149">
        <v>891.64898682</v>
      </c>
      <c r="J1149">
        <v>695.55664062000005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773.99700600000006</v>
      </c>
      <c r="B1150" s="1">
        <f>DATE(2012,6,12) + TIME(23,55,41)</f>
        <v>41072.997002314813</v>
      </c>
      <c r="C1150">
        <v>80</v>
      </c>
      <c r="D1150">
        <v>79.943504333000007</v>
      </c>
      <c r="E1150">
        <v>50</v>
      </c>
      <c r="F1150">
        <v>45.978507995999998</v>
      </c>
      <c r="G1150">
        <v>1807.6680908000001</v>
      </c>
      <c r="H1150">
        <v>1680.5389404</v>
      </c>
      <c r="I1150">
        <v>890.73986816000001</v>
      </c>
      <c r="J1150">
        <v>694.56805420000001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774.52813300000003</v>
      </c>
      <c r="B1151" s="1">
        <f>DATE(2012,6,13) + TIME(12,40,30)</f>
        <v>41073.528124999997</v>
      </c>
      <c r="C1151">
        <v>80</v>
      </c>
      <c r="D1151">
        <v>79.943321228000002</v>
      </c>
      <c r="E1151">
        <v>50</v>
      </c>
      <c r="F1151">
        <v>45.927875518999997</v>
      </c>
      <c r="G1151">
        <v>1807.7584228999999</v>
      </c>
      <c r="H1151">
        <v>1680.6412353999999</v>
      </c>
      <c r="I1151">
        <v>890.21228026999995</v>
      </c>
      <c r="J1151">
        <v>693.99237060999997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775.05926099999999</v>
      </c>
      <c r="B1152" s="1">
        <f>DATE(2012,6,14) + TIME(1,25,20)</f>
        <v>41074.059259259258</v>
      </c>
      <c r="C1152">
        <v>80</v>
      </c>
      <c r="D1152">
        <v>79.943229674999998</v>
      </c>
      <c r="E1152">
        <v>50</v>
      </c>
      <c r="F1152">
        <v>45.882846831999998</v>
      </c>
      <c r="G1152">
        <v>1807.8601074000001</v>
      </c>
      <c r="H1152">
        <v>1680.7515868999999</v>
      </c>
      <c r="I1152">
        <v>889.74688720999995</v>
      </c>
      <c r="J1152">
        <v>693.46887206999997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775.59038799999996</v>
      </c>
      <c r="B1153" s="1">
        <f>DATE(2012,6,14) + TIME(14,10,9)</f>
        <v>41074.590381944443</v>
      </c>
      <c r="C1153">
        <v>80</v>
      </c>
      <c r="D1153">
        <v>79.943206786999994</v>
      </c>
      <c r="E1153">
        <v>50</v>
      </c>
      <c r="F1153">
        <v>45.841098785</v>
      </c>
      <c r="G1153">
        <v>1807.9720459</v>
      </c>
      <c r="H1153">
        <v>1680.8709716999999</v>
      </c>
      <c r="I1153">
        <v>889.30096435999997</v>
      </c>
      <c r="J1153">
        <v>692.96936034999999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776.65264200000001</v>
      </c>
      <c r="B1154" s="1">
        <f>DATE(2012,6,15) + TIME(15,39,48)</f>
        <v>41075.652638888889</v>
      </c>
      <c r="C1154">
        <v>80</v>
      </c>
      <c r="D1154">
        <v>79.943359375</v>
      </c>
      <c r="E1154">
        <v>50</v>
      </c>
      <c r="F1154">
        <v>45.784618377999998</v>
      </c>
      <c r="G1154">
        <v>1808.3105469</v>
      </c>
      <c r="H1154">
        <v>1681.2181396000001</v>
      </c>
      <c r="I1154">
        <v>888.56213378999996</v>
      </c>
      <c r="J1154">
        <v>692.15039062000005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777.71526100000005</v>
      </c>
      <c r="B1155" s="1">
        <f>DATE(2012,6,16) + TIME(17,9,58)</f>
        <v>41076.715254629627</v>
      </c>
      <c r="C1155">
        <v>80</v>
      </c>
      <c r="D1155">
        <v>79.943351746000005</v>
      </c>
      <c r="E1155">
        <v>50</v>
      </c>
      <c r="F1155">
        <v>45.71805191</v>
      </c>
      <c r="G1155">
        <v>1808.5606689000001</v>
      </c>
      <c r="H1155">
        <v>1681.4807129000001</v>
      </c>
      <c r="I1155">
        <v>887.80230713000003</v>
      </c>
      <c r="J1155">
        <v>691.30969238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778.78779199999997</v>
      </c>
      <c r="B1156" s="1">
        <f>DATE(2012,6,17) + TIME(18,54,25)</f>
        <v>41077.787789351853</v>
      </c>
      <c r="C1156">
        <v>80</v>
      </c>
      <c r="D1156">
        <v>79.943290709999999</v>
      </c>
      <c r="E1156">
        <v>50</v>
      </c>
      <c r="F1156">
        <v>45.646965027</v>
      </c>
      <c r="G1156">
        <v>1808.7513428</v>
      </c>
      <c r="H1156">
        <v>1681.6842041</v>
      </c>
      <c r="I1156">
        <v>887.06671143000005</v>
      </c>
      <c r="J1156">
        <v>690.48242187999995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779.87481000000002</v>
      </c>
      <c r="B1157" s="1">
        <f>DATE(2012,6,18) + TIME(20,59,43)</f>
        <v>41078.874803240738</v>
      </c>
      <c r="C1157">
        <v>80</v>
      </c>
      <c r="D1157">
        <v>79.943244934000006</v>
      </c>
      <c r="E1157">
        <v>50</v>
      </c>
      <c r="F1157">
        <v>45.573398589999996</v>
      </c>
      <c r="G1157">
        <v>1808.8996582</v>
      </c>
      <c r="H1157">
        <v>1681.8450928</v>
      </c>
      <c r="I1157">
        <v>886.35467529000005</v>
      </c>
      <c r="J1157">
        <v>689.67150878999996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780.98095699999999</v>
      </c>
      <c r="B1158" s="1">
        <f>DATE(2012,6,19) + TIME(23,32,34)</f>
        <v>41079.980949074074</v>
      </c>
      <c r="C1158">
        <v>80</v>
      </c>
      <c r="D1158">
        <v>79.943206786999994</v>
      </c>
      <c r="E1158">
        <v>50</v>
      </c>
      <c r="F1158">
        <v>45.498004913000003</v>
      </c>
      <c r="G1158">
        <v>1809.0126952999999</v>
      </c>
      <c r="H1158">
        <v>1681.9704589999999</v>
      </c>
      <c r="I1158">
        <v>885.66351318</v>
      </c>
      <c r="J1158">
        <v>688.87542725000003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782.111536</v>
      </c>
      <c r="B1159" s="1">
        <f>DATE(2012,6,21) + TIME(2,40,36)</f>
        <v>41081.111527777779</v>
      </c>
      <c r="C1159">
        <v>80</v>
      </c>
      <c r="D1159">
        <v>79.943176269999995</v>
      </c>
      <c r="E1159">
        <v>50</v>
      </c>
      <c r="F1159">
        <v>45.420852660999998</v>
      </c>
      <c r="G1159">
        <v>1809.0939940999999</v>
      </c>
      <c r="H1159">
        <v>1682.0639647999999</v>
      </c>
      <c r="I1159">
        <v>884.98992920000001</v>
      </c>
      <c r="J1159">
        <v>688.09082031000003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783.27201400000001</v>
      </c>
      <c r="B1160" s="1">
        <f>DATE(2012,6,22) + TIME(6,31,42)</f>
        <v>41082.272013888891</v>
      </c>
      <c r="C1160">
        <v>80</v>
      </c>
      <c r="D1160">
        <v>79.943161011000001</v>
      </c>
      <c r="E1160">
        <v>50</v>
      </c>
      <c r="F1160">
        <v>45.341728209999999</v>
      </c>
      <c r="G1160">
        <v>1809.1451416</v>
      </c>
      <c r="H1160">
        <v>1682.1269531</v>
      </c>
      <c r="I1160">
        <v>884.33038329999999</v>
      </c>
      <c r="J1160">
        <v>687.31365966999999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784.46608800000001</v>
      </c>
      <c r="B1161" s="1">
        <f>DATE(2012,6,23) + TIME(11,11,9)</f>
        <v>41083.46607638889</v>
      </c>
      <c r="C1161">
        <v>80</v>
      </c>
      <c r="D1161">
        <v>79.943153381000002</v>
      </c>
      <c r="E1161">
        <v>50</v>
      </c>
      <c r="F1161">
        <v>45.260356903000002</v>
      </c>
      <c r="G1161">
        <v>1809.1662598</v>
      </c>
      <c r="H1161">
        <v>1682.1599120999999</v>
      </c>
      <c r="I1161">
        <v>883.68194579999999</v>
      </c>
      <c r="J1161">
        <v>686.54034423999997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785.68624399999999</v>
      </c>
      <c r="B1162" s="1">
        <f>DATE(2012,6,24) + TIME(16,28,11)</f>
        <v>41084.686238425929</v>
      </c>
      <c r="C1162">
        <v>80</v>
      </c>
      <c r="D1162">
        <v>79.943145752000007</v>
      </c>
      <c r="E1162">
        <v>50</v>
      </c>
      <c r="F1162">
        <v>45.176734924000002</v>
      </c>
      <c r="G1162">
        <v>1809.1552733999999</v>
      </c>
      <c r="H1162">
        <v>1682.1606445</v>
      </c>
      <c r="I1162">
        <v>883.04534911999997</v>
      </c>
      <c r="J1162">
        <v>685.77124022999999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786.91194599999994</v>
      </c>
      <c r="B1163" s="1">
        <f>DATE(2012,6,25) + TIME(21,53,12)</f>
        <v>41085.911944444444</v>
      </c>
      <c r="C1163">
        <v>80</v>
      </c>
      <c r="D1163">
        <v>79.943138122999997</v>
      </c>
      <c r="E1163">
        <v>50</v>
      </c>
      <c r="F1163">
        <v>45.091503142999997</v>
      </c>
      <c r="G1163">
        <v>1809.1105957</v>
      </c>
      <c r="H1163">
        <v>1682.1274414</v>
      </c>
      <c r="I1163">
        <v>882.42541503999996</v>
      </c>
      <c r="J1163">
        <v>685.01196288999995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788.14778200000001</v>
      </c>
      <c r="B1164" s="1">
        <f>DATE(2012,6,27) + TIME(3,32,48)</f>
        <v>41087.147777777776</v>
      </c>
      <c r="C1164">
        <v>80</v>
      </c>
      <c r="D1164">
        <v>79.943145752000007</v>
      </c>
      <c r="E1164">
        <v>50</v>
      </c>
      <c r="F1164">
        <v>45.005100249999998</v>
      </c>
      <c r="G1164">
        <v>1809.0371094</v>
      </c>
      <c r="H1164">
        <v>1682.0649414</v>
      </c>
      <c r="I1164">
        <v>881.82183838000003</v>
      </c>
      <c r="J1164">
        <v>684.26220703000001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789.39738</v>
      </c>
      <c r="B1165" s="1">
        <f>DATE(2012,6,28) + TIME(9,32,13)</f>
        <v>41088.397372685184</v>
      </c>
      <c r="C1165">
        <v>80</v>
      </c>
      <c r="D1165">
        <v>79.943153381000002</v>
      </c>
      <c r="E1165">
        <v>50</v>
      </c>
      <c r="F1165">
        <v>44.917507172000001</v>
      </c>
      <c r="G1165">
        <v>1808.9372559000001</v>
      </c>
      <c r="H1165">
        <v>1681.9758300999999</v>
      </c>
      <c r="I1165">
        <v>881.23162841999999</v>
      </c>
      <c r="J1165">
        <v>683.51873779000005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790.659717</v>
      </c>
      <c r="B1166" s="1">
        <f>DATE(2012,6,29) + TIME(15,49,59)</f>
        <v>41089.659710648149</v>
      </c>
      <c r="C1166">
        <v>80</v>
      </c>
      <c r="D1166">
        <v>79.943168639999996</v>
      </c>
      <c r="E1166">
        <v>50</v>
      </c>
      <c r="F1166">
        <v>44.828666687000002</v>
      </c>
      <c r="G1166">
        <v>1808.8122559000001</v>
      </c>
      <c r="H1166">
        <v>1681.8613281</v>
      </c>
      <c r="I1166">
        <v>880.65246581999997</v>
      </c>
      <c r="J1166">
        <v>682.77917479999996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791.32985900000006</v>
      </c>
      <c r="B1167" s="1">
        <f>DATE(2012,6,30) + TIME(7,54,59)</f>
        <v>41090.32984953704</v>
      </c>
      <c r="C1167">
        <v>80</v>
      </c>
      <c r="D1167">
        <v>79.943061829000001</v>
      </c>
      <c r="E1167">
        <v>50</v>
      </c>
      <c r="F1167">
        <v>44.76140213</v>
      </c>
      <c r="G1167">
        <v>1808.6685791</v>
      </c>
      <c r="H1167">
        <v>1681.7263184000001</v>
      </c>
      <c r="I1167">
        <v>880.22418213000003</v>
      </c>
      <c r="J1167">
        <v>682.23303223000005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792</v>
      </c>
      <c r="B1168" s="1">
        <f>DATE(2012,7,1) + TIME(0,0,0)</f>
        <v>41091</v>
      </c>
      <c r="C1168">
        <v>80</v>
      </c>
      <c r="D1168">
        <v>79.943031310999999</v>
      </c>
      <c r="E1168">
        <v>50</v>
      </c>
      <c r="F1168">
        <v>44.702960967999999</v>
      </c>
      <c r="G1168">
        <v>1808.536499</v>
      </c>
      <c r="H1168">
        <v>1681.6004639</v>
      </c>
      <c r="I1168">
        <v>879.88592529000005</v>
      </c>
      <c r="J1168">
        <v>681.77966308999999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793.30211799999995</v>
      </c>
      <c r="B1169" s="1">
        <f>DATE(2012,7,2) + TIME(7,15,3)</f>
        <v>41092.302118055559</v>
      </c>
      <c r="C1169">
        <v>80</v>
      </c>
      <c r="D1169">
        <v>79.943214416999993</v>
      </c>
      <c r="E1169">
        <v>50</v>
      </c>
      <c r="F1169">
        <v>44.630264281999999</v>
      </c>
      <c r="G1169">
        <v>1808.421875</v>
      </c>
      <c r="H1169">
        <v>1681.4924315999999</v>
      </c>
      <c r="I1169">
        <v>879.44464111000002</v>
      </c>
      <c r="J1169">
        <v>681.18939208999996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794.62241400000005</v>
      </c>
      <c r="B1170" s="1">
        <f>DATE(2012,7,3) + TIME(14,56,16)</f>
        <v>41093.622407407405</v>
      </c>
      <c r="C1170">
        <v>80</v>
      </c>
      <c r="D1170">
        <v>79.943283081000004</v>
      </c>
      <c r="E1170">
        <v>50</v>
      </c>
      <c r="F1170">
        <v>44.543701171999999</v>
      </c>
      <c r="G1170">
        <v>1808.2592772999999</v>
      </c>
      <c r="H1170">
        <v>1681.3388672000001</v>
      </c>
      <c r="I1170">
        <v>878.90557861000002</v>
      </c>
      <c r="J1170">
        <v>680.48071288999995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795.97036100000003</v>
      </c>
      <c r="B1171" s="1">
        <f>DATE(2012,7,4) + TIME(23,17,19)</f>
        <v>41094.970358796294</v>
      </c>
      <c r="C1171">
        <v>80</v>
      </c>
      <c r="D1171">
        <v>79.943305968999994</v>
      </c>
      <c r="E1171">
        <v>50</v>
      </c>
      <c r="F1171">
        <v>44.450565337999997</v>
      </c>
      <c r="G1171">
        <v>1808.0571289</v>
      </c>
      <c r="H1171">
        <v>1681.1461182</v>
      </c>
      <c r="I1171">
        <v>878.35290526999995</v>
      </c>
      <c r="J1171">
        <v>679.73791503999996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797.33676200000002</v>
      </c>
      <c r="B1172" s="1">
        <f>DATE(2012,7,6) + TIME(8,4,56)</f>
        <v>41096.336759259262</v>
      </c>
      <c r="C1172">
        <v>80</v>
      </c>
      <c r="D1172">
        <v>79.943336486999996</v>
      </c>
      <c r="E1172">
        <v>50</v>
      </c>
      <c r="F1172">
        <v>44.353607177999997</v>
      </c>
      <c r="G1172">
        <v>1807.8255615</v>
      </c>
      <c r="H1172">
        <v>1680.9239502</v>
      </c>
      <c r="I1172">
        <v>877.79370116999996</v>
      </c>
      <c r="J1172">
        <v>678.97418213000003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798.71078</v>
      </c>
      <c r="B1173" s="1">
        <f>DATE(2012,7,7) + TIME(17,3,31)</f>
        <v>41097.710775462961</v>
      </c>
      <c r="C1173">
        <v>80</v>
      </c>
      <c r="D1173">
        <v>79.943359375</v>
      </c>
      <c r="E1173">
        <v>50</v>
      </c>
      <c r="F1173">
        <v>44.254299164000003</v>
      </c>
      <c r="G1173">
        <v>1807.5706786999999</v>
      </c>
      <c r="H1173">
        <v>1680.6781006000001</v>
      </c>
      <c r="I1173">
        <v>877.23211670000001</v>
      </c>
      <c r="J1173">
        <v>678.19659423999997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800.09739400000001</v>
      </c>
      <c r="B1174" s="1">
        <f>DATE(2012,7,9) + TIME(2,20,14)</f>
        <v>41099.097384259258</v>
      </c>
      <c r="C1174">
        <v>80</v>
      </c>
      <c r="D1174">
        <v>79.943397521999998</v>
      </c>
      <c r="E1174">
        <v>50</v>
      </c>
      <c r="F1174">
        <v>44.153259276999997</v>
      </c>
      <c r="G1174">
        <v>1807.2962646000001</v>
      </c>
      <c r="H1174">
        <v>1680.4124756000001</v>
      </c>
      <c r="I1174">
        <v>876.66937256000006</v>
      </c>
      <c r="J1174">
        <v>677.40747069999998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801.50166100000001</v>
      </c>
      <c r="B1175" s="1">
        <f>DATE(2012,7,10) + TIME(12,2,23)</f>
        <v>41100.501655092594</v>
      </c>
      <c r="C1175">
        <v>80</v>
      </c>
      <c r="D1175">
        <v>79.943443298000005</v>
      </c>
      <c r="E1175">
        <v>50</v>
      </c>
      <c r="F1175">
        <v>44.050468445</v>
      </c>
      <c r="G1175">
        <v>1807.0040283000001</v>
      </c>
      <c r="H1175">
        <v>1680.1287841999999</v>
      </c>
      <c r="I1175">
        <v>876.10345458999996</v>
      </c>
      <c r="J1175">
        <v>676.60437012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802.92970300000002</v>
      </c>
      <c r="B1176" s="1">
        <f>DATE(2012,7,11) + TIME(22,18,46)</f>
        <v>41101.929699074077</v>
      </c>
      <c r="C1176">
        <v>80</v>
      </c>
      <c r="D1176">
        <v>79.943489075000002</v>
      </c>
      <c r="E1176">
        <v>50</v>
      </c>
      <c r="F1176">
        <v>43.945617675999998</v>
      </c>
      <c r="G1176">
        <v>1806.6943358999999</v>
      </c>
      <c r="H1176">
        <v>1679.8273925999999</v>
      </c>
      <c r="I1176">
        <v>875.53137206999997</v>
      </c>
      <c r="J1176">
        <v>675.78344727000001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804.386529</v>
      </c>
      <c r="B1177" s="1">
        <f>DATE(2012,7,13) + TIME(9,16,36)</f>
        <v>41103.38652777778</v>
      </c>
      <c r="C1177">
        <v>80</v>
      </c>
      <c r="D1177">
        <v>79.943542480000005</v>
      </c>
      <c r="E1177">
        <v>50</v>
      </c>
      <c r="F1177">
        <v>43.838317871000001</v>
      </c>
      <c r="G1177">
        <v>1806.3668213000001</v>
      </c>
      <c r="H1177">
        <v>1679.5080565999999</v>
      </c>
      <c r="I1177">
        <v>874.94982909999999</v>
      </c>
      <c r="J1177">
        <v>674.94012451000003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805.86322299999995</v>
      </c>
      <c r="B1178" s="1">
        <f>DATE(2012,7,14) + TIME(20,43,2)</f>
        <v>41104.863217592596</v>
      </c>
      <c r="C1178">
        <v>80</v>
      </c>
      <c r="D1178">
        <v>79.943603515999996</v>
      </c>
      <c r="E1178">
        <v>50</v>
      </c>
      <c r="F1178">
        <v>43.728504180999998</v>
      </c>
      <c r="G1178">
        <v>1806.0224608999999</v>
      </c>
      <c r="H1178">
        <v>1679.1717529</v>
      </c>
      <c r="I1178">
        <v>874.35681151999995</v>
      </c>
      <c r="J1178">
        <v>674.07177734000004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807.36363700000004</v>
      </c>
      <c r="B1179" s="1">
        <f>DATE(2012,7,16) + TIME(8,43,38)</f>
        <v>41106.363634259258</v>
      </c>
      <c r="C1179">
        <v>80</v>
      </c>
      <c r="D1179">
        <v>79.943656920999999</v>
      </c>
      <c r="E1179">
        <v>50</v>
      </c>
      <c r="F1179">
        <v>43.616226196</v>
      </c>
      <c r="G1179">
        <v>1805.6618652</v>
      </c>
      <c r="H1179">
        <v>1678.8188477000001</v>
      </c>
      <c r="I1179">
        <v>873.75262451000003</v>
      </c>
      <c r="J1179">
        <v>673.17840576000003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808.88325399999997</v>
      </c>
      <c r="B1180" s="1">
        <f>DATE(2012,7,17) + TIME(21,11,53)</f>
        <v>41107.883252314816</v>
      </c>
      <c r="C1180">
        <v>80</v>
      </c>
      <c r="D1180">
        <v>79.943717957000004</v>
      </c>
      <c r="E1180">
        <v>50</v>
      </c>
      <c r="F1180">
        <v>43.501506804999998</v>
      </c>
      <c r="G1180">
        <v>1805.2861327999999</v>
      </c>
      <c r="H1180">
        <v>1678.4508057</v>
      </c>
      <c r="I1180">
        <v>873.13562012</v>
      </c>
      <c r="J1180">
        <v>672.25793456999997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810.40845100000001</v>
      </c>
      <c r="B1181" s="1">
        <f>DATE(2012,7,19) + TIME(9,48,10)</f>
        <v>41109.408449074072</v>
      </c>
      <c r="C1181">
        <v>80</v>
      </c>
      <c r="D1181">
        <v>79.943778992000006</v>
      </c>
      <c r="E1181">
        <v>50</v>
      </c>
      <c r="F1181">
        <v>43.384784697999997</v>
      </c>
      <c r="G1181">
        <v>1804.8978271000001</v>
      </c>
      <c r="H1181">
        <v>1678.0698242000001</v>
      </c>
      <c r="I1181">
        <v>872.50671387</v>
      </c>
      <c r="J1181">
        <v>671.31219481999995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811.94451800000002</v>
      </c>
      <c r="B1182" s="1">
        <f>DATE(2012,7,20) + TIME(22,40,6)</f>
        <v>41110.944513888891</v>
      </c>
      <c r="C1182">
        <v>80</v>
      </c>
      <c r="D1182">
        <v>79.943840026999993</v>
      </c>
      <c r="E1182">
        <v>50</v>
      </c>
      <c r="F1182">
        <v>43.266395568999997</v>
      </c>
      <c r="G1182">
        <v>1804.4981689000001</v>
      </c>
      <c r="H1182">
        <v>1677.6774902</v>
      </c>
      <c r="I1182">
        <v>871.86828613</v>
      </c>
      <c r="J1182">
        <v>670.34411621000004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813.49683100000004</v>
      </c>
      <c r="B1183" s="1">
        <f>DATE(2012,7,22) + TIME(11,55,26)</f>
        <v>41112.496828703705</v>
      </c>
      <c r="C1183">
        <v>80</v>
      </c>
      <c r="D1183">
        <v>79.943908691000004</v>
      </c>
      <c r="E1183">
        <v>50</v>
      </c>
      <c r="F1183">
        <v>43.146183014000002</v>
      </c>
      <c r="G1183">
        <v>1804.0876464999999</v>
      </c>
      <c r="H1183">
        <v>1677.2739257999999</v>
      </c>
      <c r="I1183">
        <v>871.21826171999999</v>
      </c>
      <c r="J1183">
        <v>669.35101318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815.07091400000002</v>
      </c>
      <c r="B1184" s="1">
        <f>DATE(2012,7,24) + TIME(1,42,6)</f>
        <v>41114.070902777778</v>
      </c>
      <c r="C1184">
        <v>80</v>
      </c>
      <c r="D1184">
        <v>79.943977356000005</v>
      </c>
      <c r="E1184">
        <v>50</v>
      </c>
      <c r="F1184">
        <v>43.023796081999997</v>
      </c>
      <c r="G1184">
        <v>1803.6657714999999</v>
      </c>
      <c r="H1184">
        <v>1676.8587646000001</v>
      </c>
      <c r="I1184">
        <v>870.55395508000004</v>
      </c>
      <c r="J1184">
        <v>668.32891845999995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816.66972699999997</v>
      </c>
      <c r="B1185" s="1">
        <f>DATE(2012,7,25) + TIME(16,4,24)</f>
        <v>41115.669722222221</v>
      </c>
      <c r="C1185">
        <v>80</v>
      </c>
      <c r="D1185">
        <v>79.944053650000001</v>
      </c>
      <c r="E1185">
        <v>50</v>
      </c>
      <c r="F1185">
        <v>42.898876190000003</v>
      </c>
      <c r="G1185">
        <v>1803.2321777</v>
      </c>
      <c r="H1185">
        <v>1676.4317627</v>
      </c>
      <c r="I1185">
        <v>869.87261963000003</v>
      </c>
      <c r="J1185">
        <v>667.27374268000005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818.29022299999997</v>
      </c>
      <c r="B1186" s="1">
        <f>DATE(2012,7,27) + TIME(6,57,55)</f>
        <v>41117.290219907409</v>
      </c>
      <c r="C1186">
        <v>80</v>
      </c>
      <c r="D1186">
        <v>79.944129943999997</v>
      </c>
      <c r="E1186">
        <v>50</v>
      </c>
      <c r="F1186">
        <v>42.771289824999997</v>
      </c>
      <c r="G1186">
        <v>1802.7872314000001</v>
      </c>
      <c r="H1186">
        <v>1675.9934082</v>
      </c>
      <c r="I1186">
        <v>869.17224121000004</v>
      </c>
      <c r="J1186">
        <v>666.18273925999995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819.938041</v>
      </c>
      <c r="B1187" s="1">
        <f>DATE(2012,7,28) + TIME(22,30,46)</f>
        <v>41118.938032407408</v>
      </c>
      <c r="C1187">
        <v>80</v>
      </c>
      <c r="D1187">
        <v>79.944206238000007</v>
      </c>
      <c r="E1187">
        <v>50</v>
      </c>
      <c r="F1187">
        <v>42.640911101999997</v>
      </c>
      <c r="G1187">
        <v>1802.3308105000001</v>
      </c>
      <c r="H1187">
        <v>1675.5430908000001</v>
      </c>
      <c r="I1187">
        <v>868.45257568</v>
      </c>
      <c r="J1187">
        <v>665.05474853999999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821.62032499999998</v>
      </c>
      <c r="B1188" s="1">
        <f>DATE(2012,7,30) + TIME(14,53,16)</f>
        <v>41120.620324074072</v>
      </c>
      <c r="C1188">
        <v>80</v>
      </c>
      <c r="D1188">
        <v>79.944282532000003</v>
      </c>
      <c r="E1188">
        <v>50</v>
      </c>
      <c r="F1188">
        <v>42.507385253999999</v>
      </c>
      <c r="G1188">
        <v>1801.8615723</v>
      </c>
      <c r="H1188">
        <v>1675.0802002</v>
      </c>
      <c r="I1188">
        <v>867.71075439000003</v>
      </c>
      <c r="J1188">
        <v>663.88531493999994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823</v>
      </c>
      <c r="B1189" s="1">
        <f>DATE(2012,8,1) + TIME(0,0,0)</f>
        <v>41122</v>
      </c>
      <c r="C1189">
        <v>80</v>
      </c>
      <c r="D1189">
        <v>79.944305420000006</v>
      </c>
      <c r="E1189">
        <v>50</v>
      </c>
      <c r="F1189">
        <v>42.380039214999996</v>
      </c>
      <c r="G1189">
        <v>1801.4390868999999</v>
      </c>
      <c r="H1189">
        <v>1674.6634521000001</v>
      </c>
      <c r="I1189">
        <v>866.96673583999996</v>
      </c>
      <c r="J1189">
        <v>662.72369385000002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824.68847400000004</v>
      </c>
      <c r="B1190" s="1">
        <f>DATE(2012,8,2) + TIME(16,31,24)</f>
        <v>41123.688472222224</v>
      </c>
      <c r="C1190">
        <v>80</v>
      </c>
      <c r="D1190">
        <v>79.944419861</v>
      </c>
      <c r="E1190">
        <v>50</v>
      </c>
      <c r="F1190">
        <v>42.253204345999997</v>
      </c>
      <c r="G1190">
        <v>1800.9700928</v>
      </c>
      <c r="H1190">
        <v>1674.1995850000001</v>
      </c>
      <c r="I1190">
        <v>866.28802489999998</v>
      </c>
      <c r="J1190">
        <v>661.62194824000005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826.39958799999999</v>
      </c>
      <c r="B1191" s="1">
        <f>DATE(2012,8,4) + TIME(9,35,24)</f>
        <v>41125.399583333332</v>
      </c>
      <c r="C1191">
        <v>80</v>
      </c>
      <c r="D1191">
        <v>79.944511414000004</v>
      </c>
      <c r="E1191">
        <v>50</v>
      </c>
      <c r="F1191">
        <v>42.117237091</v>
      </c>
      <c r="G1191">
        <v>1800.4892577999999</v>
      </c>
      <c r="H1191">
        <v>1673.7243652</v>
      </c>
      <c r="I1191">
        <v>865.51025390999996</v>
      </c>
      <c r="J1191">
        <v>660.38165283000001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828.12715900000001</v>
      </c>
      <c r="B1192" s="1">
        <f>DATE(2012,8,6) + TIME(3,3,6)</f>
        <v>41127.127152777779</v>
      </c>
      <c r="C1192">
        <v>80</v>
      </c>
      <c r="D1192">
        <v>79.944595336999996</v>
      </c>
      <c r="E1192">
        <v>50</v>
      </c>
      <c r="F1192">
        <v>41.976692200000002</v>
      </c>
      <c r="G1192">
        <v>1799.9968262</v>
      </c>
      <c r="H1192">
        <v>1673.2374268000001</v>
      </c>
      <c r="I1192">
        <v>864.70245361000002</v>
      </c>
      <c r="J1192">
        <v>659.08563231999995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829.86991699999999</v>
      </c>
      <c r="B1193" s="1">
        <f>DATE(2012,8,7) + TIME(20,52,40)</f>
        <v>41128.86990740741</v>
      </c>
      <c r="C1193">
        <v>80</v>
      </c>
      <c r="D1193">
        <v>79.944671631000006</v>
      </c>
      <c r="E1193">
        <v>50</v>
      </c>
      <c r="F1193">
        <v>41.833301544000001</v>
      </c>
      <c r="G1193">
        <v>1799.4957274999999</v>
      </c>
      <c r="H1193">
        <v>1672.7416992000001</v>
      </c>
      <c r="I1193">
        <v>863.87329102000001</v>
      </c>
      <c r="J1193">
        <v>657.74835204999999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831.63346000000001</v>
      </c>
      <c r="B1194" s="1">
        <f>DATE(2012,8,9) + TIME(15,12,10)</f>
        <v>41130.633449074077</v>
      </c>
      <c r="C1194">
        <v>80</v>
      </c>
      <c r="D1194">
        <v>79.944755553999997</v>
      </c>
      <c r="E1194">
        <v>50</v>
      </c>
      <c r="F1194">
        <v>41.687534331999998</v>
      </c>
      <c r="G1194">
        <v>1798.9865723</v>
      </c>
      <c r="H1194">
        <v>1672.237793</v>
      </c>
      <c r="I1194">
        <v>863.02490234000004</v>
      </c>
      <c r="J1194">
        <v>656.37329102000001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833.42360699999995</v>
      </c>
      <c r="B1195" s="1">
        <f>DATE(2012,8,11) + TIME(10,9,59)</f>
        <v>41132.42359953704</v>
      </c>
      <c r="C1195">
        <v>80</v>
      </c>
      <c r="D1195">
        <v>79.944847107000001</v>
      </c>
      <c r="E1195">
        <v>50</v>
      </c>
      <c r="F1195">
        <v>41.539279938</v>
      </c>
      <c r="G1195">
        <v>1798.4691161999999</v>
      </c>
      <c r="H1195">
        <v>1671.7253418</v>
      </c>
      <c r="I1195">
        <v>862.15563965000001</v>
      </c>
      <c r="J1195">
        <v>654.95800781000003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835.24663599999997</v>
      </c>
      <c r="B1196" s="1">
        <f>DATE(2012,8,13) + TIME(5,55,9)</f>
        <v>41134.246631944443</v>
      </c>
      <c r="C1196">
        <v>80</v>
      </c>
      <c r="D1196">
        <v>79.944931030000006</v>
      </c>
      <c r="E1196">
        <v>50</v>
      </c>
      <c r="F1196">
        <v>41.388225554999998</v>
      </c>
      <c r="G1196">
        <v>1797.9421387</v>
      </c>
      <c r="H1196">
        <v>1671.2033690999999</v>
      </c>
      <c r="I1196">
        <v>861.26306151999995</v>
      </c>
      <c r="J1196">
        <v>653.49829102000001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837.10875899999996</v>
      </c>
      <c r="B1197" s="1">
        <f>DATE(2012,8,15) + TIME(2,36,36)</f>
        <v>41136.108749999999</v>
      </c>
      <c r="C1197">
        <v>80</v>
      </c>
      <c r="D1197">
        <v>79.945022582999997</v>
      </c>
      <c r="E1197">
        <v>50</v>
      </c>
      <c r="F1197">
        <v>41.233959198000001</v>
      </c>
      <c r="G1197">
        <v>1797.4044189000001</v>
      </c>
      <c r="H1197">
        <v>1670.6705322</v>
      </c>
      <c r="I1197">
        <v>860.34436034999999</v>
      </c>
      <c r="J1197">
        <v>651.98937988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838.97911599999998</v>
      </c>
      <c r="B1198" s="1">
        <f>DATE(2012,8,16) + TIME(23,29,55)</f>
        <v>41137.979108796295</v>
      </c>
      <c r="C1198">
        <v>80</v>
      </c>
      <c r="D1198">
        <v>79.945114136000001</v>
      </c>
      <c r="E1198">
        <v>50</v>
      </c>
      <c r="F1198">
        <v>41.076942443999997</v>
      </c>
      <c r="G1198">
        <v>1796.8614502</v>
      </c>
      <c r="H1198">
        <v>1670.1323242000001</v>
      </c>
      <c r="I1198">
        <v>859.39837646000001</v>
      </c>
      <c r="J1198">
        <v>650.43115234000004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840.85859300000004</v>
      </c>
      <c r="B1199" s="1">
        <f>DATE(2012,8,18) + TIME(20,36,22)</f>
        <v>41139.858587962961</v>
      </c>
      <c r="C1199">
        <v>80</v>
      </c>
      <c r="D1199">
        <v>79.945198059000006</v>
      </c>
      <c r="E1199">
        <v>50</v>
      </c>
      <c r="F1199">
        <v>40.918449402</v>
      </c>
      <c r="G1199">
        <v>1796.3144531</v>
      </c>
      <c r="H1199">
        <v>1669.5898437999999</v>
      </c>
      <c r="I1199">
        <v>858.43737793000003</v>
      </c>
      <c r="J1199">
        <v>648.84075928000004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842.74767399999996</v>
      </c>
      <c r="B1200" s="1">
        <f>DATE(2012,8,20) + TIME(17,56,39)</f>
        <v>41141.747673611113</v>
      </c>
      <c r="C1200">
        <v>80</v>
      </c>
      <c r="D1200">
        <v>79.945289611999996</v>
      </c>
      <c r="E1200">
        <v>50</v>
      </c>
      <c r="F1200">
        <v>40.758911132999998</v>
      </c>
      <c r="G1200">
        <v>1795.7642822</v>
      </c>
      <c r="H1200">
        <v>1669.0441894999999</v>
      </c>
      <c r="I1200">
        <v>857.46331786999997</v>
      </c>
      <c r="J1200">
        <v>647.22180175999995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844.65207399999997</v>
      </c>
      <c r="B1201" s="1">
        <f>DATE(2012,8,22) + TIME(15,38,59)</f>
        <v>41143.652071759258</v>
      </c>
      <c r="C1201">
        <v>80</v>
      </c>
      <c r="D1201">
        <v>79.945381165000001</v>
      </c>
      <c r="E1201">
        <v>50</v>
      </c>
      <c r="F1201">
        <v>40.598361969000003</v>
      </c>
      <c r="G1201">
        <v>1795.2103271000001</v>
      </c>
      <c r="H1201">
        <v>1668.4946289</v>
      </c>
      <c r="I1201">
        <v>856.47717284999999</v>
      </c>
      <c r="J1201">
        <v>645.57543944999998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846.57763499999999</v>
      </c>
      <c r="B1202" s="1">
        <f>DATE(2012,8,24) + TIME(13,51,47)</f>
        <v>41145.577627314815</v>
      </c>
      <c r="C1202">
        <v>80</v>
      </c>
      <c r="D1202">
        <v>79.945472717000001</v>
      </c>
      <c r="E1202">
        <v>50</v>
      </c>
      <c r="F1202">
        <v>40.436565399000003</v>
      </c>
      <c r="G1202">
        <v>1794.6518555</v>
      </c>
      <c r="H1202">
        <v>1667.9403076000001</v>
      </c>
      <c r="I1202">
        <v>855.47753906000003</v>
      </c>
      <c r="J1202">
        <v>643.89923095999995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848.530486</v>
      </c>
      <c r="B1203" s="1">
        <f>DATE(2012,8,26) + TIME(12,43,53)</f>
        <v>41147.530474537038</v>
      </c>
      <c r="C1203">
        <v>80</v>
      </c>
      <c r="D1203">
        <v>79.945571899000001</v>
      </c>
      <c r="E1203">
        <v>50</v>
      </c>
      <c r="F1203">
        <v>40.273208617999998</v>
      </c>
      <c r="G1203">
        <v>1794.0872803</v>
      </c>
      <c r="H1203">
        <v>1667.3798827999999</v>
      </c>
      <c r="I1203">
        <v>854.46264647999999</v>
      </c>
      <c r="J1203">
        <v>642.19006348000005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850.517112</v>
      </c>
      <c r="B1204" s="1">
        <f>DATE(2012,8,28) + TIME(12,24,38)</f>
        <v>41149.517106481479</v>
      </c>
      <c r="C1204">
        <v>80</v>
      </c>
      <c r="D1204">
        <v>79.945671082000004</v>
      </c>
      <c r="E1204">
        <v>50</v>
      </c>
      <c r="F1204">
        <v>40.107952118</v>
      </c>
      <c r="G1204">
        <v>1793.5153809000001</v>
      </c>
      <c r="H1204">
        <v>1666.8118896000001</v>
      </c>
      <c r="I1204">
        <v>853.43066406000003</v>
      </c>
      <c r="J1204">
        <v>640.44458008000004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852.54398000000003</v>
      </c>
      <c r="B1205" s="1">
        <f>DATE(2012,8,30) + TIME(13,3,19)</f>
        <v>41151.543969907405</v>
      </c>
      <c r="C1205">
        <v>80</v>
      </c>
      <c r="D1205">
        <v>79.945762634000005</v>
      </c>
      <c r="E1205">
        <v>50</v>
      </c>
      <c r="F1205">
        <v>39.940486907999997</v>
      </c>
      <c r="G1205">
        <v>1792.9344481999999</v>
      </c>
      <c r="H1205">
        <v>1666.2348632999999</v>
      </c>
      <c r="I1205">
        <v>852.37957763999998</v>
      </c>
      <c r="J1205">
        <v>638.65917968999997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854</v>
      </c>
      <c r="B1206" s="1">
        <f>DATE(2012,9,1) + TIME(0,0,0)</f>
        <v>41153</v>
      </c>
      <c r="C1206">
        <v>80</v>
      </c>
      <c r="D1206">
        <v>79.945785521999994</v>
      </c>
      <c r="E1206">
        <v>50</v>
      </c>
      <c r="F1206">
        <v>39.788017273000001</v>
      </c>
      <c r="G1206">
        <v>1792.4744873</v>
      </c>
      <c r="H1206">
        <v>1665.7784423999999</v>
      </c>
      <c r="I1206">
        <v>851.34490966999999</v>
      </c>
      <c r="J1206">
        <v>636.93939208999996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856.05282899999997</v>
      </c>
      <c r="B1207" s="1">
        <f>DATE(2012,9,3) + TIME(1,16,4)</f>
        <v>41155.052824074075</v>
      </c>
      <c r="C1207">
        <v>80</v>
      </c>
      <c r="D1207">
        <v>79.945930481000005</v>
      </c>
      <c r="E1207">
        <v>50</v>
      </c>
      <c r="F1207">
        <v>39.641277313000003</v>
      </c>
      <c r="G1207">
        <v>1791.9006348</v>
      </c>
      <c r="H1207">
        <v>1665.2077637</v>
      </c>
      <c r="I1207">
        <v>850.50988770000004</v>
      </c>
      <c r="J1207">
        <v>635.45025635000002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858.11667299999999</v>
      </c>
      <c r="B1208" s="1">
        <f>DATE(2012,9,5) + TIME(2,48,0)</f>
        <v>41157.116666666669</v>
      </c>
      <c r="C1208">
        <v>80</v>
      </c>
      <c r="D1208">
        <v>79.946037292</v>
      </c>
      <c r="E1208">
        <v>50</v>
      </c>
      <c r="F1208">
        <v>39.477943420000003</v>
      </c>
      <c r="G1208">
        <v>1791.3221435999999</v>
      </c>
      <c r="H1208">
        <v>1664.6326904</v>
      </c>
      <c r="I1208">
        <v>849.45635986000002</v>
      </c>
      <c r="J1208">
        <v>633.64929199000005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860.19410400000004</v>
      </c>
      <c r="B1209" s="1">
        <f>DATE(2012,9,7) + TIME(4,39,30)</f>
        <v>41159.194097222222</v>
      </c>
      <c r="C1209">
        <v>80</v>
      </c>
      <c r="D1209">
        <v>79.946136475000003</v>
      </c>
      <c r="E1209">
        <v>50</v>
      </c>
      <c r="F1209">
        <v>39.310459137000002</v>
      </c>
      <c r="G1209">
        <v>1790.7353516000001</v>
      </c>
      <c r="H1209">
        <v>1664.0494385</v>
      </c>
      <c r="I1209">
        <v>848.38201904000005</v>
      </c>
      <c r="J1209">
        <v>631.79809569999998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862.29152699999997</v>
      </c>
      <c r="B1210" s="1">
        <f>DATE(2012,9,9) + TIME(6,59,47)</f>
        <v>41161.291516203702</v>
      </c>
      <c r="C1210">
        <v>80</v>
      </c>
      <c r="D1210">
        <v>79.946228027000004</v>
      </c>
      <c r="E1210">
        <v>50</v>
      </c>
      <c r="F1210">
        <v>39.142372131000002</v>
      </c>
      <c r="G1210">
        <v>1790.1422118999999</v>
      </c>
      <c r="H1210">
        <v>1663.4597168</v>
      </c>
      <c r="I1210">
        <v>847.30517578000001</v>
      </c>
      <c r="J1210">
        <v>629.93115234000004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864.41539</v>
      </c>
      <c r="B1211" s="1">
        <f>DATE(2012,9,11) + TIME(9,58,9)</f>
        <v>41163.415381944447</v>
      </c>
      <c r="C1211">
        <v>80</v>
      </c>
      <c r="D1211">
        <v>79.946327209000003</v>
      </c>
      <c r="E1211">
        <v>50</v>
      </c>
      <c r="F1211">
        <v>38.974582671999997</v>
      </c>
      <c r="G1211">
        <v>1789.5430908000001</v>
      </c>
      <c r="H1211">
        <v>1662.8638916</v>
      </c>
      <c r="I1211">
        <v>846.22888183999999</v>
      </c>
      <c r="J1211">
        <v>628.05523682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866.57250199999999</v>
      </c>
      <c r="B1212" s="1">
        <f>DATE(2012,9,13) + TIME(13,44,24)</f>
        <v>41165.572500000002</v>
      </c>
      <c r="C1212">
        <v>80</v>
      </c>
      <c r="D1212">
        <v>79.946426392000006</v>
      </c>
      <c r="E1212">
        <v>50</v>
      </c>
      <c r="F1212">
        <v>38.807300568000002</v>
      </c>
      <c r="G1212">
        <v>1788.9370117000001</v>
      </c>
      <c r="H1212">
        <v>1662.2609863</v>
      </c>
      <c r="I1212">
        <v>845.15362548999997</v>
      </c>
      <c r="J1212">
        <v>626.17181396000001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868.76094599999999</v>
      </c>
      <c r="B1213" s="1">
        <f>DATE(2012,9,15) + TIME(18,15,45)</f>
        <v>41167.760937500003</v>
      </c>
      <c r="C1213">
        <v>80</v>
      </c>
      <c r="D1213">
        <v>79.946533203000001</v>
      </c>
      <c r="E1213">
        <v>50</v>
      </c>
      <c r="F1213">
        <v>38.640785217000001</v>
      </c>
      <c r="G1213">
        <v>1788.3243408000001</v>
      </c>
      <c r="H1213">
        <v>1661.6514893000001</v>
      </c>
      <c r="I1213">
        <v>844.07989501999998</v>
      </c>
      <c r="J1213">
        <v>624.28247069999998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870.97360100000003</v>
      </c>
      <c r="B1214" s="1">
        <f>DATE(2012,9,17) + TIME(23,21,59)</f>
        <v>41169.973599537036</v>
      </c>
      <c r="C1214">
        <v>80</v>
      </c>
      <c r="D1214">
        <v>79.946632385000001</v>
      </c>
      <c r="E1214">
        <v>50</v>
      </c>
      <c r="F1214">
        <v>38.475761413999997</v>
      </c>
      <c r="G1214">
        <v>1787.706543</v>
      </c>
      <c r="H1214">
        <v>1661.0368652</v>
      </c>
      <c r="I1214">
        <v>843.01214600000003</v>
      </c>
      <c r="J1214">
        <v>622.39520263999998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873.19666299999994</v>
      </c>
      <c r="B1215" s="1">
        <f>DATE(2012,9,20) + TIME(4,43,11)</f>
        <v>41172.196655092594</v>
      </c>
      <c r="C1215">
        <v>80</v>
      </c>
      <c r="D1215">
        <v>79.946731567</v>
      </c>
      <c r="E1215">
        <v>50</v>
      </c>
      <c r="F1215">
        <v>38.313438415999997</v>
      </c>
      <c r="G1215">
        <v>1787.0867920000001</v>
      </c>
      <c r="H1215">
        <v>1660.4200439000001</v>
      </c>
      <c r="I1215">
        <v>841.95776366999996</v>
      </c>
      <c r="J1215">
        <v>620.52325439000003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875.43801299999996</v>
      </c>
      <c r="B1216" s="1">
        <f>DATE(2012,9,22) + TIME(10,30,44)</f>
        <v>41174.438009259262</v>
      </c>
      <c r="C1216">
        <v>80</v>
      </c>
      <c r="D1216">
        <v>79.946830750000004</v>
      </c>
      <c r="E1216">
        <v>50</v>
      </c>
      <c r="F1216">
        <v>38.154949188000003</v>
      </c>
      <c r="G1216">
        <v>1786.4638672000001</v>
      </c>
      <c r="H1216">
        <v>1659.8000488</v>
      </c>
      <c r="I1216">
        <v>840.92651366999996</v>
      </c>
      <c r="J1216">
        <v>618.68261718999997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877.71076400000004</v>
      </c>
      <c r="B1217" s="1">
        <f>DATE(2012,9,24) + TIME(17,3,30)</f>
        <v>41176.710763888892</v>
      </c>
      <c r="C1217">
        <v>80</v>
      </c>
      <c r="D1217">
        <v>79.946937560999999</v>
      </c>
      <c r="E1217">
        <v>50</v>
      </c>
      <c r="F1217">
        <v>38.000629425</v>
      </c>
      <c r="G1217">
        <v>1785.8356934000001</v>
      </c>
      <c r="H1217">
        <v>1659.1745605000001</v>
      </c>
      <c r="I1217">
        <v>839.91949463000003</v>
      </c>
      <c r="J1217">
        <v>616.87615966999999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880.00519699999995</v>
      </c>
      <c r="B1218" s="1">
        <f>DATE(2012,9,27) + TIME(0,7,29)</f>
        <v>41179.005196759259</v>
      </c>
      <c r="C1218">
        <v>80</v>
      </c>
      <c r="D1218">
        <v>79.947036742999998</v>
      </c>
      <c r="E1218">
        <v>50</v>
      </c>
      <c r="F1218">
        <v>37.850906371999997</v>
      </c>
      <c r="G1218">
        <v>1785.2037353999999</v>
      </c>
      <c r="H1218">
        <v>1658.5454102000001</v>
      </c>
      <c r="I1218">
        <v>838.93585204999999</v>
      </c>
      <c r="J1218">
        <v>615.10504149999997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882.32780400000001</v>
      </c>
      <c r="B1219" s="1">
        <f>DATE(2012,9,29) + TIME(7,52,2)</f>
        <v>41181.327800925923</v>
      </c>
      <c r="C1219">
        <v>80</v>
      </c>
      <c r="D1219">
        <v>79.947143554999997</v>
      </c>
      <c r="E1219">
        <v>50</v>
      </c>
      <c r="F1219">
        <v>37.706764221</v>
      </c>
      <c r="G1219">
        <v>1784.5667725000001</v>
      </c>
      <c r="H1219">
        <v>1657.9111327999999</v>
      </c>
      <c r="I1219">
        <v>837.98321533000001</v>
      </c>
      <c r="J1219">
        <v>613.38214111000002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884</v>
      </c>
      <c r="B1220" s="1">
        <f>DATE(2012,10,1) + TIME(0,0,0)</f>
        <v>41183</v>
      </c>
      <c r="C1220">
        <v>80</v>
      </c>
      <c r="D1220">
        <v>79.947181701999995</v>
      </c>
      <c r="E1220">
        <v>50</v>
      </c>
      <c r="F1220">
        <v>37.581443786999998</v>
      </c>
      <c r="G1220">
        <v>1784.0706786999999</v>
      </c>
      <c r="H1220">
        <v>1657.4173584</v>
      </c>
      <c r="I1220">
        <v>837.07702637</v>
      </c>
      <c r="J1220">
        <v>611.78570557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886.35434599999996</v>
      </c>
      <c r="B1221" s="1">
        <f>DATE(2012,10,3) + TIME(8,30,15)</f>
        <v>41185.35434027778</v>
      </c>
      <c r="C1221">
        <v>80</v>
      </c>
      <c r="D1221">
        <v>79.947319031000006</v>
      </c>
      <c r="E1221">
        <v>50</v>
      </c>
      <c r="F1221">
        <v>37.469482421999999</v>
      </c>
      <c r="G1221">
        <v>1783.4398193</v>
      </c>
      <c r="H1221">
        <v>1656.7886963000001</v>
      </c>
      <c r="I1221">
        <v>836.41619873000002</v>
      </c>
      <c r="J1221">
        <v>610.51953125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888.73824999999999</v>
      </c>
      <c r="B1222" s="1">
        <f>DATE(2012,10,5) + TIME(17,43,4)</f>
        <v>41187.738240740742</v>
      </c>
      <c r="C1222">
        <v>80</v>
      </c>
      <c r="D1222">
        <v>79.947433472</v>
      </c>
      <c r="E1222">
        <v>50</v>
      </c>
      <c r="F1222">
        <v>37.350643157999997</v>
      </c>
      <c r="G1222">
        <v>1782.8038329999999</v>
      </c>
      <c r="H1222">
        <v>1656.1550293</v>
      </c>
      <c r="I1222">
        <v>835.59112548999997</v>
      </c>
      <c r="J1222">
        <v>609.02313231999995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891.13316499999996</v>
      </c>
      <c r="B1223" s="1">
        <f>DATE(2012,10,8) + TIME(3,11,45)</f>
        <v>41190.133159722223</v>
      </c>
      <c r="C1223">
        <v>80</v>
      </c>
      <c r="D1223">
        <v>79.947540282999995</v>
      </c>
      <c r="E1223">
        <v>50</v>
      </c>
      <c r="F1223">
        <v>37.237167358000001</v>
      </c>
      <c r="G1223">
        <v>1782.1616211</v>
      </c>
      <c r="H1223">
        <v>1655.5152588000001</v>
      </c>
      <c r="I1223">
        <v>834.79235840000001</v>
      </c>
      <c r="J1223">
        <v>607.56951904000005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893.52961800000003</v>
      </c>
      <c r="B1224" s="1">
        <f>DATE(2012,10,10) + TIME(12,42,39)</f>
        <v>41192.529618055552</v>
      </c>
      <c r="C1224">
        <v>80</v>
      </c>
      <c r="D1224">
        <v>79.947639464999995</v>
      </c>
      <c r="E1224">
        <v>50</v>
      </c>
      <c r="F1224">
        <v>37.133476256999998</v>
      </c>
      <c r="G1224">
        <v>1781.5178223</v>
      </c>
      <c r="H1224">
        <v>1654.8737793</v>
      </c>
      <c r="I1224">
        <v>834.04418944999998</v>
      </c>
      <c r="J1224">
        <v>606.20648193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895.93522800000005</v>
      </c>
      <c r="B1225" s="1">
        <f>DATE(2012,10,12) + TIME(22,26,43)</f>
        <v>41194.935219907406</v>
      </c>
      <c r="C1225">
        <v>80</v>
      </c>
      <c r="D1225">
        <v>79.947738646999994</v>
      </c>
      <c r="E1225">
        <v>50</v>
      </c>
      <c r="F1225">
        <v>37.041313170999999</v>
      </c>
      <c r="G1225">
        <v>1780.8728027</v>
      </c>
      <c r="H1225">
        <v>1654.230957</v>
      </c>
      <c r="I1225">
        <v>833.35449218999997</v>
      </c>
      <c r="J1225">
        <v>604.95098876999998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898.37113599999998</v>
      </c>
      <c r="B1226" s="1">
        <f>DATE(2012,10,15) + TIME(8,54,26)</f>
        <v>41197.371134259258</v>
      </c>
      <c r="C1226">
        <v>80</v>
      </c>
      <c r="D1226">
        <v>79.947845459000007</v>
      </c>
      <c r="E1226">
        <v>50</v>
      </c>
      <c r="F1226">
        <v>36.961364746000001</v>
      </c>
      <c r="G1226">
        <v>1780.2231445</v>
      </c>
      <c r="H1226">
        <v>1653.5834961</v>
      </c>
      <c r="I1226">
        <v>832.72344970999995</v>
      </c>
      <c r="J1226">
        <v>603.80603026999995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900.84770500000002</v>
      </c>
      <c r="B1227" s="1">
        <f>DATE(2012,10,17) + TIME(20,20,41)</f>
        <v>41199.847696759258</v>
      </c>
      <c r="C1227">
        <v>80</v>
      </c>
      <c r="D1227">
        <v>79.947952271000005</v>
      </c>
      <c r="E1227">
        <v>50</v>
      </c>
      <c r="F1227">
        <v>36.894027710000003</v>
      </c>
      <c r="G1227">
        <v>1779.5670166</v>
      </c>
      <c r="H1227">
        <v>1652.9294434000001</v>
      </c>
      <c r="I1227">
        <v>832.14727783000001</v>
      </c>
      <c r="J1227">
        <v>602.76837158000001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903.36875399999997</v>
      </c>
      <c r="B1228" s="1">
        <f>DATE(2012,10,20) + TIME(8,51,0)</f>
        <v>41202.368750000001</v>
      </c>
      <c r="C1228">
        <v>80</v>
      </c>
      <c r="D1228">
        <v>79.948059082</v>
      </c>
      <c r="E1228">
        <v>50</v>
      </c>
      <c r="F1228">
        <v>36.839962006</v>
      </c>
      <c r="G1228">
        <v>1778.9033202999999</v>
      </c>
      <c r="H1228">
        <v>1652.2678223</v>
      </c>
      <c r="I1228">
        <v>831.62506103999999</v>
      </c>
      <c r="J1228">
        <v>601.83966064000003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905.92048199999999</v>
      </c>
      <c r="B1229" s="1">
        <f>DATE(2012,10,22) + TIME(22,5,29)</f>
        <v>41204.920474537037</v>
      </c>
      <c r="C1229">
        <v>80</v>
      </c>
      <c r="D1229">
        <v>79.948165893999999</v>
      </c>
      <c r="E1229">
        <v>50</v>
      </c>
      <c r="F1229">
        <v>36.800128936999997</v>
      </c>
      <c r="G1229">
        <v>1778.2347411999999</v>
      </c>
      <c r="H1229">
        <v>1651.6013184000001</v>
      </c>
      <c r="I1229">
        <v>831.15765381000006</v>
      </c>
      <c r="J1229">
        <v>601.02429199000005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908.48069799999996</v>
      </c>
      <c r="B1230" s="1">
        <f>DATE(2012,10,25) + TIME(11,32,12)</f>
        <v>41207.480694444443</v>
      </c>
      <c r="C1230">
        <v>80</v>
      </c>
      <c r="D1230">
        <v>79.948272704999994</v>
      </c>
      <c r="E1230">
        <v>50</v>
      </c>
      <c r="F1230">
        <v>36.775527953999998</v>
      </c>
      <c r="G1230">
        <v>1777.5661620999999</v>
      </c>
      <c r="H1230">
        <v>1650.9346923999999</v>
      </c>
      <c r="I1230">
        <v>830.74822998000002</v>
      </c>
      <c r="J1230">
        <v>600.33032227000001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911.04465800000003</v>
      </c>
      <c r="B1231" s="1">
        <f>DATE(2012,10,28) + TIME(1,4,18)</f>
        <v>41210.044652777775</v>
      </c>
      <c r="C1231">
        <v>80</v>
      </c>
      <c r="D1231">
        <v>79.948379517000006</v>
      </c>
      <c r="E1231">
        <v>50</v>
      </c>
      <c r="F1231">
        <v>36.766704558999997</v>
      </c>
      <c r="G1231">
        <v>1776.8990478999999</v>
      </c>
      <c r="H1231">
        <v>1650.2695312000001</v>
      </c>
      <c r="I1231">
        <v>830.39984131000006</v>
      </c>
      <c r="J1231">
        <v>599.76385498000002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913.62087199999996</v>
      </c>
      <c r="B1232" s="1">
        <f>DATE(2012,10,30) + TIME(14,54,3)</f>
        <v>41212.620868055557</v>
      </c>
      <c r="C1232">
        <v>80</v>
      </c>
      <c r="D1232">
        <v>79.948486328000001</v>
      </c>
      <c r="E1232">
        <v>50</v>
      </c>
      <c r="F1232">
        <v>36.773693084999998</v>
      </c>
      <c r="G1232">
        <v>1776.2327881000001</v>
      </c>
      <c r="H1232">
        <v>1649.6049805</v>
      </c>
      <c r="I1232">
        <v>830.11102295000001</v>
      </c>
      <c r="J1232">
        <v>599.32312012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915</v>
      </c>
      <c r="B1233" s="1">
        <f>DATE(2012,11,1) + TIME(0,0,0)</f>
        <v>41214</v>
      </c>
      <c r="C1233">
        <v>80</v>
      </c>
      <c r="D1233">
        <v>79.948493958</v>
      </c>
      <c r="E1233">
        <v>50</v>
      </c>
      <c r="F1233">
        <v>36.792884827000002</v>
      </c>
      <c r="G1233">
        <v>1775.8344727000001</v>
      </c>
      <c r="H1233">
        <v>1649.2081298999999</v>
      </c>
      <c r="I1233">
        <v>829.85760498000002</v>
      </c>
      <c r="J1233">
        <v>598.97637939000003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915.000001</v>
      </c>
      <c r="B1234" s="1">
        <f>DATE(2012,11,1) + TIME(0,0,0)</f>
        <v>41214</v>
      </c>
      <c r="C1234">
        <v>80</v>
      </c>
      <c r="D1234">
        <v>79.948463439999998</v>
      </c>
      <c r="E1234">
        <v>50</v>
      </c>
      <c r="F1234">
        <v>36.792911529999998</v>
      </c>
      <c r="G1234">
        <v>1649.1981201000001</v>
      </c>
      <c r="H1234">
        <v>1522.6761475000001</v>
      </c>
      <c r="I1234">
        <v>1060.5483397999999</v>
      </c>
      <c r="J1234">
        <v>829.86694336000005</v>
      </c>
      <c r="K1234">
        <v>0</v>
      </c>
      <c r="L1234">
        <v>2400</v>
      </c>
      <c r="M1234">
        <v>2400</v>
      </c>
      <c r="N1234">
        <v>0</v>
      </c>
    </row>
    <row r="1235" spans="1:14" x14ac:dyDescent="0.25">
      <c r="A1235">
        <v>915.00000399999999</v>
      </c>
      <c r="B1235" s="1">
        <f>DATE(2012,11,1) + TIME(0,0,0)</f>
        <v>41214</v>
      </c>
      <c r="C1235">
        <v>80</v>
      </c>
      <c r="D1235">
        <v>79.948371886999993</v>
      </c>
      <c r="E1235">
        <v>50</v>
      </c>
      <c r="F1235">
        <v>36.792991637999997</v>
      </c>
      <c r="G1235">
        <v>1649.1680908000001</v>
      </c>
      <c r="H1235">
        <v>1522.6459961</v>
      </c>
      <c r="I1235">
        <v>1060.5775146000001</v>
      </c>
      <c r="J1235">
        <v>829.89495850000003</v>
      </c>
      <c r="K1235">
        <v>0</v>
      </c>
      <c r="L1235">
        <v>2400</v>
      </c>
      <c r="M1235">
        <v>2400</v>
      </c>
      <c r="N1235">
        <v>0</v>
      </c>
    </row>
    <row r="1236" spans="1:14" x14ac:dyDescent="0.25">
      <c r="A1236">
        <v>915.00001299999997</v>
      </c>
      <c r="B1236" s="1">
        <f>DATE(2012,11,1) + TIME(0,0,1)</f>
        <v>41214.000011574077</v>
      </c>
      <c r="C1236">
        <v>80</v>
      </c>
      <c r="D1236">
        <v>79.948097228999998</v>
      </c>
      <c r="E1236">
        <v>50</v>
      </c>
      <c r="F1236">
        <v>36.793239593999999</v>
      </c>
      <c r="G1236">
        <v>1649.0780029</v>
      </c>
      <c r="H1236">
        <v>1522.5554199000001</v>
      </c>
      <c r="I1236">
        <v>1060.6649170000001</v>
      </c>
      <c r="J1236">
        <v>829.97894286999997</v>
      </c>
      <c r="K1236">
        <v>0</v>
      </c>
      <c r="L1236">
        <v>2400</v>
      </c>
      <c r="M1236">
        <v>2400</v>
      </c>
      <c r="N1236">
        <v>0</v>
      </c>
    </row>
    <row r="1237" spans="1:14" x14ac:dyDescent="0.25">
      <c r="A1237">
        <v>915.00004000000001</v>
      </c>
      <c r="B1237" s="1">
        <f>DATE(2012,11,1) + TIME(0,0,3)</f>
        <v>41214.000034722223</v>
      </c>
      <c r="C1237">
        <v>80</v>
      </c>
      <c r="D1237">
        <v>79.947273253999995</v>
      </c>
      <c r="E1237">
        <v>50</v>
      </c>
      <c r="F1237">
        <v>36.793975830000001</v>
      </c>
      <c r="G1237">
        <v>1648.8083495999999</v>
      </c>
      <c r="H1237">
        <v>1522.2844238</v>
      </c>
      <c r="I1237">
        <v>1060.9270019999999</v>
      </c>
      <c r="J1237">
        <v>830.23065185999997</v>
      </c>
      <c r="K1237">
        <v>0</v>
      </c>
      <c r="L1237">
        <v>2400</v>
      </c>
      <c r="M1237">
        <v>2400</v>
      </c>
      <c r="N1237">
        <v>0</v>
      </c>
    </row>
    <row r="1238" spans="1:14" x14ac:dyDescent="0.25">
      <c r="A1238">
        <v>915.00012100000004</v>
      </c>
      <c r="B1238" s="1">
        <f>DATE(2012,11,1) + TIME(0,0,10)</f>
        <v>41214.000115740739</v>
      </c>
      <c r="C1238">
        <v>80</v>
      </c>
      <c r="D1238">
        <v>79.944801330999994</v>
      </c>
      <c r="E1238">
        <v>50</v>
      </c>
      <c r="F1238">
        <v>36.796184539999999</v>
      </c>
      <c r="G1238">
        <v>1648.0041504000001</v>
      </c>
      <c r="H1238">
        <v>1521.4760742000001</v>
      </c>
      <c r="I1238">
        <v>1061.7105713000001</v>
      </c>
      <c r="J1238">
        <v>830.98376465000001</v>
      </c>
      <c r="K1238">
        <v>0</v>
      </c>
      <c r="L1238">
        <v>2400</v>
      </c>
      <c r="M1238">
        <v>2400</v>
      </c>
      <c r="N1238">
        <v>0</v>
      </c>
    </row>
    <row r="1239" spans="1:14" x14ac:dyDescent="0.25">
      <c r="A1239">
        <v>915.00036399999999</v>
      </c>
      <c r="B1239" s="1">
        <f>DATE(2012,11,1) + TIME(0,0,31)</f>
        <v>41214.000358796293</v>
      </c>
      <c r="C1239">
        <v>80</v>
      </c>
      <c r="D1239">
        <v>79.937530518000003</v>
      </c>
      <c r="E1239">
        <v>50</v>
      </c>
      <c r="F1239">
        <v>36.802795410000002</v>
      </c>
      <c r="G1239">
        <v>1645.6333007999999</v>
      </c>
      <c r="H1239">
        <v>1519.0930175999999</v>
      </c>
      <c r="I1239">
        <v>1064.0394286999999</v>
      </c>
      <c r="J1239">
        <v>833.22540283000001</v>
      </c>
      <c r="K1239">
        <v>0</v>
      </c>
      <c r="L1239">
        <v>2400</v>
      </c>
      <c r="M1239">
        <v>2400</v>
      </c>
      <c r="N1239">
        <v>0</v>
      </c>
    </row>
    <row r="1240" spans="1:14" x14ac:dyDescent="0.25">
      <c r="A1240">
        <v>915.00109299999997</v>
      </c>
      <c r="B1240" s="1">
        <f>DATE(2012,11,1) + TIME(0,1,34)</f>
        <v>41214.001087962963</v>
      </c>
      <c r="C1240">
        <v>80</v>
      </c>
      <c r="D1240">
        <v>79.916778563999998</v>
      </c>
      <c r="E1240">
        <v>50</v>
      </c>
      <c r="F1240">
        <v>36.822456359999997</v>
      </c>
      <c r="G1240">
        <v>1638.8714600000001</v>
      </c>
      <c r="H1240">
        <v>1512.2969971</v>
      </c>
      <c r="I1240">
        <v>1070.8347168</v>
      </c>
      <c r="J1240">
        <v>839.79498291000004</v>
      </c>
      <c r="K1240">
        <v>0</v>
      </c>
      <c r="L1240">
        <v>2400</v>
      </c>
      <c r="M1240">
        <v>2400</v>
      </c>
      <c r="N1240">
        <v>0</v>
      </c>
    </row>
    <row r="1241" spans="1:14" x14ac:dyDescent="0.25">
      <c r="A1241">
        <v>915.00328000000002</v>
      </c>
      <c r="B1241" s="1">
        <f>DATE(2012,11,1) + TIME(0,4,43)</f>
        <v>41214.003275462965</v>
      </c>
      <c r="C1241">
        <v>80</v>
      </c>
      <c r="D1241">
        <v>79.862548828000001</v>
      </c>
      <c r="E1241">
        <v>50</v>
      </c>
      <c r="F1241">
        <v>36.880043030000003</v>
      </c>
      <c r="G1241">
        <v>1621.2070312000001</v>
      </c>
      <c r="H1241">
        <v>1494.5451660000001</v>
      </c>
      <c r="I1241">
        <v>1089.6745605000001</v>
      </c>
      <c r="J1241">
        <v>858.20269774999997</v>
      </c>
      <c r="K1241">
        <v>0</v>
      </c>
      <c r="L1241">
        <v>2400</v>
      </c>
      <c r="M1241">
        <v>2400</v>
      </c>
      <c r="N1241">
        <v>0</v>
      </c>
    </row>
    <row r="1242" spans="1:14" x14ac:dyDescent="0.25">
      <c r="A1242">
        <v>915.00984100000005</v>
      </c>
      <c r="B1242" s="1">
        <f>DATE(2012,11,1) + TIME(0,14,10)</f>
        <v>41214.009837962964</v>
      </c>
      <c r="C1242">
        <v>80</v>
      </c>
      <c r="D1242">
        <v>79.745674132999994</v>
      </c>
      <c r="E1242">
        <v>50</v>
      </c>
      <c r="F1242">
        <v>37.042198181000003</v>
      </c>
      <c r="G1242">
        <v>1583.1802978999999</v>
      </c>
      <c r="H1242">
        <v>1456.3376464999999</v>
      </c>
      <c r="I1242">
        <v>1135.6660156</v>
      </c>
      <c r="J1242">
        <v>904.01605225000003</v>
      </c>
      <c r="K1242">
        <v>0</v>
      </c>
      <c r="L1242">
        <v>2400</v>
      </c>
      <c r="M1242">
        <v>2400</v>
      </c>
      <c r="N1242">
        <v>0</v>
      </c>
    </row>
    <row r="1243" spans="1:14" x14ac:dyDescent="0.25">
      <c r="A1243">
        <v>915.02952400000004</v>
      </c>
      <c r="B1243" s="1">
        <f>DATE(2012,11,1) + TIME(0,42,30)</f>
        <v>41214.029513888891</v>
      </c>
      <c r="C1243">
        <v>80</v>
      </c>
      <c r="D1243">
        <v>79.561599731000001</v>
      </c>
      <c r="E1243">
        <v>50</v>
      </c>
      <c r="F1243">
        <v>37.463905334000003</v>
      </c>
      <c r="G1243">
        <v>1522.9702147999999</v>
      </c>
      <c r="H1243">
        <v>1395.8674315999999</v>
      </c>
      <c r="I1243">
        <v>1222.8519286999999</v>
      </c>
      <c r="J1243">
        <v>992.87457274999997</v>
      </c>
      <c r="K1243">
        <v>0</v>
      </c>
      <c r="L1243">
        <v>2400</v>
      </c>
      <c r="M1243">
        <v>2400</v>
      </c>
      <c r="N1243">
        <v>0</v>
      </c>
    </row>
    <row r="1244" spans="1:14" x14ac:dyDescent="0.25">
      <c r="A1244">
        <v>915.07351700000004</v>
      </c>
      <c r="B1244" s="1">
        <f>DATE(2012,11,1) + TIME(1,45,51)</f>
        <v>41214.073506944442</v>
      </c>
      <c r="C1244">
        <v>80</v>
      </c>
      <c r="D1244">
        <v>79.385330199999999</v>
      </c>
      <c r="E1244">
        <v>50</v>
      </c>
      <c r="F1244">
        <v>38.242835999</v>
      </c>
      <c r="G1244">
        <v>1462.7838135</v>
      </c>
      <c r="H1244">
        <v>1335.4467772999999</v>
      </c>
      <c r="I1244">
        <v>1322.1906738</v>
      </c>
      <c r="J1244">
        <v>1095.9234618999999</v>
      </c>
      <c r="K1244">
        <v>0</v>
      </c>
      <c r="L1244">
        <v>2400</v>
      </c>
      <c r="M1244">
        <v>2400</v>
      </c>
      <c r="N1244">
        <v>0</v>
      </c>
    </row>
    <row r="1245" spans="1:14" x14ac:dyDescent="0.25">
      <c r="A1245">
        <v>915.124145</v>
      </c>
      <c r="B1245" s="1">
        <f>DATE(2012,11,1) + TIME(2,58,46)</f>
        <v>41214.124143518522</v>
      </c>
      <c r="C1245">
        <v>80</v>
      </c>
      <c r="D1245">
        <v>79.280372619999994</v>
      </c>
      <c r="E1245">
        <v>50</v>
      </c>
      <c r="F1245">
        <v>39.016147613999998</v>
      </c>
      <c r="G1245">
        <v>1424.916626</v>
      </c>
      <c r="H1245">
        <v>1297.4460449000001</v>
      </c>
      <c r="I1245">
        <v>1387.0344238</v>
      </c>
      <c r="J1245">
        <v>1164.0037841999999</v>
      </c>
      <c r="K1245">
        <v>0</v>
      </c>
      <c r="L1245">
        <v>2400</v>
      </c>
      <c r="M1245">
        <v>2400</v>
      </c>
      <c r="N1245">
        <v>0</v>
      </c>
    </row>
    <row r="1246" spans="1:14" x14ac:dyDescent="0.25">
      <c r="A1246">
        <v>915.18107899999995</v>
      </c>
      <c r="B1246" s="1">
        <f>DATE(2012,11,1) + TIME(4,20,45)</f>
        <v>41214.181076388886</v>
      </c>
      <c r="C1246">
        <v>80</v>
      </c>
      <c r="D1246">
        <v>79.209564209000007</v>
      </c>
      <c r="E1246">
        <v>50</v>
      </c>
      <c r="F1246">
        <v>39.789947509999998</v>
      </c>
      <c r="G1246">
        <v>1397.7530518000001</v>
      </c>
      <c r="H1246">
        <v>1270.2003173999999</v>
      </c>
      <c r="I1246">
        <v>1433.2352295000001</v>
      </c>
      <c r="J1246">
        <v>1213.0678711</v>
      </c>
      <c r="K1246">
        <v>0</v>
      </c>
      <c r="L1246">
        <v>2400</v>
      </c>
      <c r="M1246">
        <v>2400</v>
      </c>
      <c r="N1246">
        <v>0</v>
      </c>
    </row>
    <row r="1247" spans="1:14" x14ac:dyDescent="0.25">
      <c r="A1247">
        <v>915.24368000000004</v>
      </c>
      <c r="B1247" s="1">
        <f>DATE(2012,11,1) + TIME(5,50,53)</f>
        <v>41214.243668981479</v>
      </c>
      <c r="C1247">
        <v>80</v>
      </c>
      <c r="D1247">
        <v>79.157600403000004</v>
      </c>
      <c r="E1247">
        <v>50</v>
      </c>
      <c r="F1247">
        <v>40.557407378999997</v>
      </c>
      <c r="G1247">
        <v>1376.6368408000001</v>
      </c>
      <c r="H1247">
        <v>1249.0290527</v>
      </c>
      <c r="I1247">
        <v>1468.5025635</v>
      </c>
      <c r="J1247">
        <v>1250.9295654</v>
      </c>
      <c r="K1247">
        <v>0</v>
      </c>
      <c r="L1247">
        <v>2400</v>
      </c>
      <c r="M1247">
        <v>2400</v>
      </c>
      <c r="N1247">
        <v>0</v>
      </c>
    </row>
    <row r="1248" spans="1:14" x14ac:dyDescent="0.25">
      <c r="A1248">
        <v>915.311825</v>
      </c>
      <c r="B1248" s="1">
        <f>DATE(2012,11,1) + TIME(7,29,1)</f>
        <v>41214.31181712963</v>
      </c>
      <c r="C1248">
        <v>80</v>
      </c>
      <c r="D1248">
        <v>79.116920471</v>
      </c>
      <c r="E1248">
        <v>50</v>
      </c>
      <c r="F1248">
        <v>41.314235687</v>
      </c>
      <c r="G1248">
        <v>1359.2768555</v>
      </c>
      <c r="H1248">
        <v>1231.6298827999999</v>
      </c>
      <c r="I1248">
        <v>1496.9777832</v>
      </c>
      <c r="J1248">
        <v>1281.7973632999999</v>
      </c>
      <c r="K1248">
        <v>0</v>
      </c>
      <c r="L1248">
        <v>2400</v>
      </c>
      <c r="M1248">
        <v>2400</v>
      </c>
      <c r="N1248">
        <v>0</v>
      </c>
    </row>
    <row r="1249" spans="1:14" x14ac:dyDescent="0.25">
      <c r="A1249">
        <v>915.38578500000006</v>
      </c>
      <c r="B1249" s="1">
        <f>DATE(2012,11,1) + TIME(9,15,31)</f>
        <v>41214.385775462964</v>
      </c>
      <c r="C1249">
        <v>80</v>
      </c>
      <c r="D1249">
        <v>79.083343506000006</v>
      </c>
      <c r="E1249">
        <v>50</v>
      </c>
      <c r="F1249">
        <v>42.057952880999999</v>
      </c>
      <c r="G1249">
        <v>1344.4110106999999</v>
      </c>
      <c r="H1249">
        <v>1216.7351074000001</v>
      </c>
      <c r="I1249">
        <v>1520.9899902</v>
      </c>
      <c r="J1249">
        <v>1308.0427245999999</v>
      </c>
      <c r="K1249">
        <v>0</v>
      </c>
      <c r="L1249">
        <v>2400</v>
      </c>
      <c r="M1249">
        <v>2400</v>
      </c>
      <c r="N1249">
        <v>0</v>
      </c>
    </row>
    <row r="1250" spans="1:14" x14ac:dyDescent="0.25">
      <c r="A1250">
        <v>915.46613200000002</v>
      </c>
      <c r="B1250" s="1">
        <f>DATE(2012,11,1) + TIME(11,11,13)</f>
        <v>41214.466122685182</v>
      </c>
      <c r="C1250">
        <v>80</v>
      </c>
      <c r="D1250">
        <v>79.054313660000005</v>
      </c>
      <c r="E1250">
        <v>50</v>
      </c>
      <c r="F1250">
        <v>42.786949157999999</v>
      </c>
      <c r="G1250">
        <v>1331.2766113</v>
      </c>
      <c r="H1250">
        <v>1203.5782471</v>
      </c>
      <c r="I1250">
        <v>1541.9415283000001</v>
      </c>
      <c r="J1250">
        <v>1331.0933838000001</v>
      </c>
      <c r="K1250">
        <v>0</v>
      </c>
      <c r="L1250">
        <v>2400</v>
      </c>
      <c r="M1250">
        <v>2400</v>
      </c>
      <c r="N1250">
        <v>0</v>
      </c>
    </row>
    <row r="1251" spans="1:14" x14ac:dyDescent="0.25">
      <c r="A1251">
        <v>915.55371400000001</v>
      </c>
      <c r="B1251" s="1">
        <f>DATE(2012,11,1) + TIME(13,17,20)</f>
        <v>41214.553703703707</v>
      </c>
      <c r="C1251">
        <v>80</v>
      </c>
      <c r="D1251">
        <v>79.028129578000005</v>
      </c>
      <c r="E1251">
        <v>50</v>
      </c>
      <c r="F1251">
        <v>43.499866486000002</v>
      </c>
      <c r="G1251">
        <v>1319.3759766000001</v>
      </c>
      <c r="H1251">
        <v>1191.6595459</v>
      </c>
      <c r="I1251">
        <v>1560.7397461</v>
      </c>
      <c r="J1251">
        <v>1351.875</v>
      </c>
      <c r="K1251">
        <v>0</v>
      </c>
      <c r="L1251">
        <v>2400</v>
      </c>
      <c r="M1251">
        <v>2400</v>
      </c>
      <c r="N1251">
        <v>0</v>
      </c>
    </row>
    <row r="1252" spans="1:14" x14ac:dyDescent="0.25">
      <c r="A1252">
        <v>915.649677</v>
      </c>
      <c r="B1252" s="1">
        <f>DATE(2012,11,1) + TIME(15,35,32)</f>
        <v>41214.649675925924</v>
      </c>
      <c r="C1252">
        <v>80</v>
      </c>
      <c r="D1252">
        <v>79.003555297999995</v>
      </c>
      <c r="E1252">
        <v>50</v>
      </c>
      <c r="F1252">
        <v>44.195430756</v>
      </c>
      <c r="G1252">
        <v>1308.3613281</v>
      </c>
      <c r="H1252">
        <v>1180.6296387</v>
      </c>
      <c r="I1252">
        <v>1578.0117187999999</v>
      </c>
      <c r="J1252">
        <v>1371.0269774999999</v>
      </c>
      <c r="K1252">
        <v>0</v>
      </c>
      <c r="L1252">
        <v>2400</v>
      </c>
      <c r="M1252">
        <v>2400</v>
      </c>
      <c r="N1252">
        <v>0</v>
      </c>
    </row>
    <row r="1253" spans="1:14" x14ac:dyDescent="0.25">
      <c r="A1253">
        <v>915.75554499999998</v>
      </c>
      <c r="B1253" s="1">
        <f>DATE(2012,11,1) + TIME(18,7,59)</f>
        <v>41214.755543981482</v>
      </c>
      <c r="C1253">
        <v>80</v>
      </c>
      <c r="D1253">
        <v>78.979598999000004</v>
      </c>
      <c r="E1253">
        <v>50</v>
      </c>
      <c r="F1253">
        <v>44.872081756999997</v>
      </c>
      <c r="G1253">
        <v>1297.9718018000001</v>
      </c>
      <c r="H1253">
        <v>1170.2261963000001</v>
      </c>
      <c r="I1253">
        <v>1594.2237548999999</v>
      </c>
      <c r="J1253">
        <v>1389.0224608999999</v>
      </c>
      <c r="K1253">
        <v>0</v>
      </c>
      <c r="L1253">
        <v>2400</v>
      </c>
      <c r="M1253">
        <v>2400</v>
      </c>
      <c r="N1253">
        <v>0</v>
      </c>
    </row>
    <row r="1254" spans="1:14" x14ac:dyDescent="0.25">
      <c r="A1254">
        <v>915.87337200000002</v>
      </c>
      <c r="B1254" s="1">
        <f>DATE(2012,11,1) + TIME(20,57,39)</f>
        <v>41214.873368055552</v>
      </c>
      <c r="C1254">
        <v>80</v>
      </c>
      <c r="D1254">
        <v>78.955390929999993</v>
      </c>
      <c r="E1254">
        <v>50</v>
      </c>
      <c r="F1254">
        <v>45.528034210000001</v>
      </c>
      <c r="G1254">
        <v>1287.9956055</v>
      </c>
      <c r="H1254">
        <v>1160.2369385</v>
      </c>
      <c r="I1254">
        <v>1609.7476807</v>
      </c>
      <c r="J1254">
        <v>1406.2379149999999</v>
      </c>
      <c r="K1254">
        <v>0</v>
      </c>
      <c r="L1254">
        <v>2400</v>
      </c>
      <c r="M1254">
        <v>2400</v>
      </c>
      <c r="N1254">
        <v>0</v>
      </c>
    </row>
    <row r="1255" spans="1:14" x14ac:dyDescent="0.25">
      <c r="A1255">
        <v>916.00596199999995</v>
      </c>
      <c r="B1255" s="1">
        <f>DATE(2012,11,2) + TIME(0,8,35)</f>
        <v>41215.005960648145</v>
      </c>
      <c r="C1255">
        <v>80</v>
      </c>
      <c r="D1255">
        <v>78.930091857999997</v>
      </c>
      <c r="E1255">
        <v>50</v>
      </c>
      <c r="F1255">
        <v>46.161186217999997</v>
      </c>
      <c r="G1255">
        <v>1278.2463379000001</v>
      </c>
      <c r="H1255">
        <v>1150.4743652</v>
      </c>
      <c r="I1255">
        <v>1624.9033202999999</v>
      </c>
      <c r="J1255">
        <v>1422.9954834</v>
      </c>
      <c r="K1255">
        <v>0</v>
      </c>
      <c r="L1255">
        <v>2400</v>
      </c>
      <c r="M1255">
        <v>2400</v>
      </c>
      <c r="N1255">
        <v>0</v>
      </c>
    </row>
    <row r="1256" spans="1:14" x14ac:dyDescent="0.25">
      <c r="A1256">
        <v>916.157241</v>
      </c>
      <c r="B1256" s="1">
        <f>DATE(2012,11,2) + TIME(3,46,25)</f>
        <v>41215.157233796293</v>
      </c>
      <c r="C1256">
        <v>80</v>
      </c>
      <c r="D1256">
        <v>78.902786254999995</v>
      </c>
      <c r="E1256">
        <v>50</v>
      </c>
      <c r="F1256">
        <v>46.768936156999999</v>
      </c>
      <c r="G1256">
        <v>1268.5435791</v>
      </c>
      <c r="H1256">
        <v>1140.7574463000001</v>
      </c>
      <c r="I1256">
        <v>1639.9925536999999</v>
      </c>
      <c r="J1256">
        <v>1439.5970459</v>
      </c>
      <c r="K1256">
        <v>0</v>
      </c>
      <c r="L1256">
        <v>2400</v>
      </c>
      <c r="M1256">
        <v>2400</v>
      </c>
      <c r="N1256">
        <v>0</v>
      </c>
    </row>
    <row r="1257" spans="1:14" x14ac:dyDescent="0.25">
      <c r="A1257">
        <v>916.33289200000002</v>
      </c>
      <c r="B1257" s="1">
        <f>DATE(2012,11,2) + TIME(7,59,21)</f>
        <v>41215.332881944443</v>
      </c>
      <c r="C1257">
        <v>80</v>
      </c>
      <c r="D1257">
        <v>78.872421265</v>
      </c>
      <c r="E1257">
        <v>50</v>
      </c>
      <c r="F1257">
        <v>47.347976684999999</v>
      </c>
      <c r="G1257">
        <v>1258.6953125</v>
      </c>
      <c r="H1257">
        <v>1130.8933105000001</v>
      </c>
      <c r="I1257">
        <v>1655.3292236</v>
      </c>
      <c r="J1257">
        <v>1456.3542480000001</v>
      </c>
      <c r="K1257">
        <v>0</v>
      </c>
      <c r="L1257">
        <v>2400</v>
      </c>
      <c r="M1257">
        <v>2400</v>
      </c>
      <c r="N1257">
        <v>0</v>
      </c>
    </row>
    <row r="1258" spans="1:14" x14ac:dyDescent="0.25">
      <c r="A1258">
        <v>916.54150400000003</v>
      </c>
      <c r="B1258" s="1">
        <f>DATE(2012,11,2) + TIME(12,59,45)</f>
        <v>41215.541493055556</v>
      </c>
      <c r="C1258">
        <v>80</v>
      </c>
      <c r="D1258">
        <v>78.837638854999994</v>
      </c>
      <c r="E1258">
        <v>50</v>
      </c>
      <c r="F1258">
        <v>47.894001007</v>
      </c>
      <c r="G1258">
        <v>1248.4744873</v>
      </c>
      <c r="H1258">
        <v>1120.6542969</v>
      </c>
      <c r="I1258">
        <v>1671.2742920000001</v>
      </c>
      <c r="J1258">
        <v>1473.6228027</v>
      </c>
      <c r="K1258">
        <v>0</v>
      </c>
      <c r="L1258">
        <v>2400</v>
      </c>
      <c r="M1258">
        <v>2400</v>
      </c>
      <c r="N1258">
        <v>0</v>
      </c>
    </row>
    <row r="1259" spans="1:14" x14ac:dyDescent="0.25">
      <c r="A1259">
        <v>916.76114399999994</v>
      </c>
      <c r="B1259" s="1">
        <f>DATE(2012,11,2) + TIME(18,16,2)</f>
        <v>41215.761134259257</v>
      </c>
      <c r="C1259">
        <v>80</v>
      </c>
      <c r="D1259">
        <v>78.800621032999999</v>
      </c>
      <c r="E1259">
        <v>50</v>
      </c>
      <c r="F1259">
        <v>48.345371245999999</v>
      </c>
      <c r="G1259">
        <v>1238.9466553</v>
      </c>
      <c r="H1259">
        <v>1111.1080322</v>
      </c>
      <c r="I1259">
        <v>1686.0994873</v>
      </c>
      <c r="J1259">
        <v>1489.5285644999999</v>
      </c>
      <c r="K1259">
        <v>0</v>
      </c>
      <c r="L1259">
        <v>2400</v>
      </c>
      <c r="M1259">
        <v>2400</v>
      </c>
      <c r="N1259">
        <v>0</v>
      </c>
    </row>
    <row r="1260" spans="1:14" x14ac:dyDescent="0.25">
      <c r="A1260">
        <v>916.99102800000003</v>
      </c>
      <c r="B1260" s="1">
        <f>DATE(2012,11,2) + TIME(23,47,4)</f>
        <v>41215.991018518522</v>
      </c>
      <c r="C1260">
        <v>80</v>
      </c>
      <c r="D1260">
        <v>78.761535644999995</v>
      </c>
      <c r="E1260">
        <v>50</v>
      </c>
      <c r="F1260">
        <v>48.712665557999998</v>
      </c>
      <c r="G1260">
        <v>1230.0272216999999</v>
      </c>
      <c r="H1260">
        <v>1102.1689452999999</v>
      </c>
      <c r="I1260">
        <v>1699.9486084</v>
      </c>
      <c r="J1260">
        <v>1504.2512207</v>
      </c>
      <c r="K1260">
        <v>0</v>
      </c>
      <c r="L1260">
        <v>2400</v>
      </c>
      <c r="M1260">
        <v>2400</v>
      </c>
      <c r="N1260">
        <v>0</v>
      </c>
    </row>
    <row r="1261" spans="1:14" x14ac:dyDescent="0.25">
      <c r="A1261">
        <v>917.23125600000003</v>
      </c>
      <c r="B1261" s="1">
        <f>DATE(2012,11,3) + TIME(5,33,0)</f>
        <v>41216.231249999997</v>
      </c>
      <c r="C1261">
        <v>80</v>
      </c>
      <c r="D1261">
        <v>78.720489502000007</v>
      </c>
      <c r="E1261">
        <v>50</v>
      </c>
      <c r="F1261">
        <v>49.008136749000002</v>
      </c>
      <c r="G1261">
        <v>1221.6203613</v>
      </c>
      <c r="H1261">
        <v>1093.7410889</v>
      </c>
      <c r="I1261">
        <v>1712.9685059000001</v>
      </c>
      <c r="J1261">
        <v>1517.9714355000001</v>
      </c>
      <c r="K1261">
        <v>0</v>
      </c>
      <c r="L1261">
        <v>2400</v>
      </c>
      <c r="M1261">
        <v>2400</v>
      </c>
      <c r="N1261">
        <v>0</v>
      </c>
    </row>
    <row r="1262" spans="1:14" x14ac:dyDescent="0.25">
      <c r="A1262">
        <v>917.48131999999998</v>
      </c>
      <c r="B1262" s="1">
        <f>DATE(2012,11,3) + TIME(11,33,6)</f>
        <v>41216.481319444443</v>
      </c>
      <c r="C1262">
        <v>80</v>
      </c>
      <c r="D1262">
        <v>78.677688599000007</v>
      </c>
      <c r="E1262">
        <v>50</v>
      </c>
      <c r="F1262">
        <v>49.242694855000003</v>
      </c>
      <c r="G1262">
        <v>1213.6711425999999</v>
      </c>
      <c r="H1262">
        <v>1085.7702637</v>
      </c>
      <c r="I1262">
        <v>1725.2348632999999</v>
      </c>
      <c r="J1262">
        <v>1530.7930908000001</v>
      </c>
      <c r="K1262">
        <v>0</v>
      </c>
      <c r="L1262">
        <v>2400</v>
      </c>
      <c r="M1262">
        <v>2400</v>
      </c>
      <c r="N1262">
        <v>0</v>
      </c>
    </row>
    <row r="1263" spans="1:14" x14ac:dyDescent="0.25">
      <c r="A1263">
        <v>917.74431000000004</v>
      </c>
      <c r="B1263" s="1">
        <f>DATE(2012,11,3) + TIME(17,51,48)</f>
        <v>41216.744305555556</v>
      </c>
      <c r="C1263">
        <v>80</v>
      </c>
      <c r="D1263">
        <v>78.632934570000003</v>
      </c>
      <c r="E1263">
        <v>50</v>
      </c>
      <c r="F1263">
        <v>49.428524017000001</v>
      </c>
      <c r="G1263">
        <v>1206.041626</v>
      </c>
      <c r="H1263">
        <v>1078.1180420000001</v>
      </c>
      <c r="I1263">
        <v>1736.9588623</v>
      </c>
      <c r="J1263">
        <v>1542.9575195</v>
      </c>
      <c r="K1263">
        <v>0</v>
      </c>
      <c r="L1263">
        <v>2400</v>
      </c>
      <c r="M1263">
        <v>2400</v>
      </c>
      <c r="N1263">
        <v>0</v>
      </c>
    </row>
    <row r="1264" spans="1:14" x14ac:dyDescent="0.25">
      <c r="A1264">
        <v>918.02341000000001</v>
      </c>
      <c r="B1264" s="1">
        <f>DATE(2012,11,4) + TIME(0,33,42)</f>
        <v>41217.023402777777</v>
      </c>
      <c r="C1264">
        <v>80</v>
      </c>
      <c r="D1264">
        <v>78.585952758999994</v>
      </c>
      <c r="E1264">
        <v>50</v>
      </c>
      <c r="F1264">
        <v>49.57484436</v>
      </c>
      <c r="G1264">
        <v>1198.6297606999999</v>
      </c>
      <c r="H1264">
        <v>1070.6823730000001</v>
      </c>
      <c r="I1264">
        <v>1748.2891846</v>
      </c>
      <c r="J1264">
        <v>1554.6357422000001</v>
      </c>
      <c r="K1264">
        <v>0</v>
      </c>
      <c r="L1264">
        <v>2400</v>
      </c>
      <c r="M1264">
        <v>2400</v>
      </c>
      <c r="N1264">
        <v>0</v>
      </c>
    </row>
    <row r="1265" spans="1:14" x14ac:dyDescent="0.25">
      <c r="A1265">
        <v>918.32239000000004</v>
      </c>
      <c r="B1265" s="1">
        <f>DATE(2012,11,4) + TIME(7,44,14)</f>
        <v>41217.322384259256</v>
      </c>
      <c r="C1265">
        <v>80</v>
      </c>
      <c r="D1265">
        <v>78.536407471000004</v>
      </c>
      <c r="E1265">
        <v>50</v>
      </c>
      <c r="F1265">
        <v>49.688976287999999</v>
      </c>
      <c r="G1265">
        <v>1191.3498535000001</v>
      </c>
      <c r="H1265">
        <v>1063.3778076000001</v>
      </c>
      <c r="I1265">
        <v>1759.3468018000001</v>
      </c>
      <c r="J1265">
        <v>1565.9661865</v>
      </c>
      <c r="K1265">
        <v>0</v>
      </c>
      <c r="L1265">
        <v>2400</v>
      </c>
      <c r="M1265">
        <v>2400</v>
      </c>
      <c r="N1265">
        <v>0</v>
      </c>
    </row>
    <row r="1266" spans="1:14" x14ac:dyDescent="0.25">
      <c r="A1266">
        <v>918.64591600000006</v>
      </c>
      <c r="B1266" s="1">
        <f>DATE(2012,11,4) + TIME(15,30,7)</f>
        <v>41217.645914351851</v>
      </c>
      <c r="C1266">
        <v>80</v>
      </c>
      <c r="D1266">
        <v>78.483840942</v>
      </c>
      <c r="E1266">
        <v>50</v>
      </c>
      <c r="F1266">
        <v>49.776866912999999</v>
      </c>
      <c r="G1266">
        <v>1184.1247559000001</v>
      </c>
      <c r="H1266">
        <v>1056.1269531</v>
      </c>
      <c r="I1266">
        <v>1770.2376709</v>
      </c>
      <c r="J1266">
        <v>1577.0688477000001</v>
      </c>
      <c r="K1266">
        <v>0</v>
      </c>
      <c r="L1266">
        <v>2400</v>
      </c>
      <c r="M1266">
        <v>2400</v>
      </c>
      <c r="N1266">
        <v>0</v>
      </c>
    </row>
    <row r="1267" spans="1:14" x14ac:dyDescent="0.25">
      <c r="A1267">
        <v>918.99996999999996</v>
      </c>
      <c r="B1267" s="1">
        <f>DATE(2012,11,4) + TIME(23,59,57)</f>
        <v>41217.999965277777</v>
      </c>
      <c r="C1267">
        <v>80</v>
      </c>
      <c r="D1267">
        <v>78.427627563000001</v>
      </c>
      <c r="E1267">
        <v>50</v>
      </c>
      <c r="F1267">
        <v>49.843395233000003</v>
      </c>
      <c r="G1267">
        <v>1176.8796387</v>
      </c>
      <c r="H1267">
        <v>1048.8546143000001</v>
      </c>
      <c r="I1267">
        <v>1781.0615233999999</v>
      </c>
      <c r="J1267">
        <v>1588.0550536999999</v>
      </c>
      <c r="K1267">
        <v>0</v>
      </c>
      <c r="L1267">
        <v>2400</v>
      </c>
      <c r="M1267">
        <v>2400</v>
      </c>
      <c r="N1267">
        <v>0</v>
      </c>
    </row>
    <row r="1268" spans="1:14" x14ac:dyDescent="0.25">
      <c r="A1268">
        <v>919.39237100000003</v>
      </c>
      <c r="B1268" s="1">
        <f>DATE(2012,11,5) + TIME(9,25,0)</f>
        <v>41218.392361111109</v>
      </c>
      <c r="C1268">
        <v>80</v>
      </c>
      <c r="D1268">
        <v>78.366981506000002</v>
      </c>
      <c r="E1268">
        <v>50</v>
      </c>
      <c r="F1268">
        <v>49.892608643000003</v>
      </c>
      <c r="G1268">
        <v>1169.5374756000001</v>
      </c>
      <c r="H1268">
        <v>1041.4837646000001</v>
      </c>
      <c r="I1268">
        <v>1791.9165039</v>
      </c>
      <c r="J1268">
        <v>1599.0328368999999</v>
      </c>
      <c r="K1268">
        <v>0</v>
      </c>
      <c r="L1268">
        <v>2400</v>
      </c>
      <c r="M1268">
        <v>2400</v>
      </c>
      <c r="N1268">
        <v>0</v>
      </c>
    </row>
    <row r="1269" spans="1:14" x14ac:dyDescent="0.25">
      <c r="A1269">
        <v>919.83376699999997</v>
      </c>
      <c r="B1269" s="1">
        <f>DATE(2012,11,5) + TIME(20,0,37)</f>
        <v>41218.833761574075</v>
      </c>
      <c r="C1269">
        <v>80</v>
      </c>
      <c r="D1269">
        <v>78.300804138000004</v>
      </c>
      <c r="E1269">
        <v>50</v>
      </c>
      <c r="F1269">
        <v>49.927913666000002</v>
      </c>
      <c r="G1269">
        <v>1162.0120850000001</v>
      </c>
      <c r="H1269">
        <v>1033.9278564000001</v>
      </c>
      <c r="I1269">
        <v>1802.9082031</v>
      </c>
      <c r="J1269">
        <v>1610.1157227000001</v>
      </c>
      <c r="K1269">
        <v>0</v>
      </c>
      <c r="L1269">
        <v>2400</v>
      </c>
      <c r="M1269">
        <v>2400</v>
      </c>
      <c r="N1269">
        <v>0</v>
      </c>
    </row>
    <row r="1270" spans="1:14" x14ac:dyDescent="0.25">
      <c r="A1270">
        <v>920.29346099999998</v>
      </c>
      <c r="B1270" s="1">
        <f>DATE(2012,11,6) + TIME(7,2,35)</f>
        <v>41219.29346064815</v>
      </c>
      <c r="C1270">
        <v>80</v>
      </c>
      <c r="D1270">
        <v>78.231620789000004</v>
      </c>
      <c r="E1270">
        <v>50</v>
      </c>
      <c r="F1270">
        <v>49.950775145999998</v>
      </c>
      <c r="G1270">
        <v>1154.8450928</v>
      </c>
      <c r="H1270">
        <v>1026.7304687999999</v>
      </c>
      <c r="I1270">
        <v>1813.1835937999999</v>
      </c>
      <c r="J1270">
        <v>1620.4552002</v>
      </c>
      <c r="K1270">
        <v>0</v>
      </c>
      <c r="L1270">
        <v>2400</v>
      </c>
      <c r="M1270">
        <v>2400</v>
      </c>
      <c r="N1270">
        <v>0</v>
      </c>
    </row>
    <row r="1271" spans="1:14" x14ac:dyDescent="0.25">
      <c r="A1271">
        <v>920.76160800000002</v>
      </c>
      <c r="B1271" s="1">
        <f>DATE(2012,11,6) + TIME(18,16,42)</f>
        <v>41219.761597222219</v>
      </c>
      <c r="C1271">
        <v>80</v>
      </c>
      <c r="D1271">
        <v>78.160766601999995</v>
      </c>
      <c r="E1271">
        <v>50</v>
      </c>
      <c r="F1271">
        <v>49.964969635000003</v>
      </c>
      <c r="G1271">
        <v>1148.1436768000001</v>
      </c>
      <c r="H1271">
        <v>1019.9987793</v>
      </c>
      <c r="I1271">
        <v>1822.6291504000001</v>
      </c>
      <c r="J1271">
        <v>1629.9461670000001</v>
      </c>
      <c r="K1271">
        <v>0</v>
      </c>
      <c r="L1271">
        <v>2400</v>
      </c>
      <c r="M1271">
        <v>2400</v>
      </c>
      <c r="N1271">
        <v>0</v>
      </c>
    </row>
    <row r="1272" spans="1:14" x14ac:dyDescent="0.25">
      <c r="A1272">
        <v>921.24384599999996</v>
      </c>
      <c r="B1272" s="1">
        <f>DATE(2012,11,7) + TIME(5,51,8)</f>
        <v>41220.243842592594</v>
      </c>
      <c r="C1272">
        <v>80</v>
      </c>
      <c r="D1272">
        <v>78.088264464999995</v>
      </c>
      <c r="E1272">
        <v>50</v>
      </c>
      <c r="F1272">
        <v>49.973602294999999</v>
      </c>
      <c r="G1272">
        <v>1141.7895507999999</v>
      </c>
      <c r="H1272">
        <v>1013.6137695</v>
      </c>
      <c r="I1272">
        <v>1831.4541016000001</v>
      </c>
      <c r="J1272">
        <v>1638.8045654</v>
      </c>
      <c r="K1272">
        <v>0</v>
      </c>
      <c r="L1272">
        <v>2400</v>
      </c>
      <c r="M1272">
        <v>2400</v>
      </c>
      <c r="N1272">
        <v>0</v>
      </c>
    </row>
    <row r="1273" spans="1:14" x14ac:dyDescent="0.25">
      <c r="A1273">
        <v>921.74671799999999</v>
      </c>
      <c r="B1273" s="1">
        <f>DATE(2012,11,7) + TIME(17,55,16)</f>
        <v>41220.746712962966</v>
      </c>
      <c r="C1273">
        <v>80</v>
      </c>
      <c r="D1273">
        <v>78.013755798000005</v>
      </c>
      <c r="E1273">
        <v>50</v>
      </c>
      <c r="F1273">
        <v>49.978633881</v>
      </c>
      <c r="G1273">
        <v>1135.6813964999999</v>
      </c>
      <c r="H1273">
        <v>1007.4741821</v>
      </c>
      <c r="I1273">
        <v>1839.8150635</v>
      </c>
      <c r="J1273">
        <v>1647.1914062000001</v>
      </c>
      <c r="K1273">
        <v>0</v>
      </c>
      <c r="L1273">
        <v>2400</v>
      </c>
      <c r="M1273">
        <v>2400</v>
      </c>
      <c r="N1273">
        <v>0</v>
      </c>
    </row>
    <row r="1274" spans="1:14" x14ac:dyDescent="0.25">
      <c r="A1274">
        <v>922.27706899999998</v>
      </c>
      <c r="B1274" s="1">
        <f>DATE(2012,11,8) + TIME(6,38,58)</f>
        <v>41221.277060185188</v>
      </c>
      <c r="C1274">
        <v>80</v>
      </c>
      <c r="D1274">
        <v>77.936668396000002</v>
      </c>
      <c r="E1274">
        <v>50</v>
      </c>
      <c r="F1274">
        <v>49.981311798</v>
      </c>
      <c r="G1274">
        <v>1129.7403564000001</v>
      </c>
      <c r="H1274">
        <v>1001.5009155</v>
      </c>
      <c r="I1274">
        <v>1847.8261719</v>
      </c>
      <c r="J1274">
        <v>1655.223999</v>
      </c>
      <c r="K1274">
        <v>0</v>
      </c>
      <c r="L1274">
        <v>2400</v>
      </c>
      <c r="M1274">
        <v>2400</v>
      </c>
      <c r="N1274">
        <v>0</v>
      </c>
    </row>
    <row r="1275" spans="1:14" x14ac:dyDescent="0.25">
      <c r="A1275">
        <v>922.84268199999997</v>
      </c>
      <c r="B1275" s="1">
        <f>DATE(2012,11,8) + TIME(20,13,27)</f>
        <v>41221.842673611114</v>
      </c>
      <c r="C1275">
        <v>80</v>
      </c>
      <c r="D1275">
        <v>77.856254578000005</v>
      </c>
      <c r="E1275">
        <v>50</v>
      </c>
      <c r="F1275">
        <v>49.982456206999998</v>
      </c>
      <c r="G1275">
        <v>1123.9000243999999</v>
      </c>
      <c r="H1275">
        <v>995.62744140999996</v>
      </c>
      <c r="I1275">
        <v>1855.5792236</v>
      </c>
      <c r="J1275">
        <v>1662.9962158000001</v>
      </c>
      <c r="K1275">
        <v>0</v>
      </c>
      <c r="L1275">
        <v>2400</v>
      </c>
      <c r="M1275">
        <v>2400</v>
      </c>
      <c r="N1275">
        <v>0</v>
      </c>
    </row>
    <row r="1276" spans="1:14" x14ac:dyDescent="0.25">
      <c r="A1276">
        <v>923.453259</v>
      </c>
      <c r="B1276" s="1">
        <f>DATE(2012,11,9) + TIME(10,52,41)</f>
        <v>41222.453252314815</v>
      </c>
      <c r="C1276">
        <v>80</v>
      </c>
      <c r="D1276">
        <v>77.771545410000002</v>
      </c>
      <c r="E1276">
        <v>50</v>
      </c>
      <c r="F1276">
        <v>49.982612609999997</v>
      </c>
      <c r="G1276">
        <v>1118.0977783000001</v>
      </c>
      <c r="H1276">
        <v>989.79058838000003</v>
      </c>
      <c r="I1276">
        <v>1863.15625</v>
      </c>
      <c r="J1276">
        <v>1670.5914307</v>
      </c>
      <c r="K1276">
        <v>0</v>
      </c>
      <c r="L1276">
        <v>2400</v>
      </c>
      <c r="M1276">
        <v>2400</v>
      </c>
      <c r="N1276">
        <v>0</v>
      </c>
    </row>
    <row r="1277" spans="1:14" x14ac:dyDescent="0.25">
      <c r="A1277">
        <v>924.12092500000006</v>
      </c>
      <c r="B1277" s="1">
        <f>DATE(2012,11,10) + TIME(2,54,7)</f>
        <v>41223.12091435185</v>
      </c>
      <c r="C1277">
        <v>80</v>
      </c>
      <c r="D1277">
        <v>77.681350707999997</v>
      </c>
      <c r="E1277">
        <v>50</v>
      </c>
      <c r="F1277">
        <v>49.982143401999998</v>
      </c>
      <c r="G1277">
        <v>1112.2734375</v>
      </c>
      <c r="H1277">
        <v>983.93011475000003</v>
      </c>
      <c r="I1277">
        <v>1870.6301269999999</v>
      </c>
      <c r="J1277">
        <v>1678.0838623</v>
      </c>
      <c r="K1277">
        <v>0</v>
      </c>
      <c r="L1277">
        <v>2400</v>
      </c>
      <c r="M1277">
        <v>2400</v>
      </c>
      <c r="N1277">
        <v>0</v>
      </c>
    </row>
    <row r="1278" spans="1:14" x14ac:dyDescent="0.25">
      <c r="A1278">
        <v>924.84634000000005</v>
      </c>
      <c r="B1278" s="1">
        <f>DATE(2012,11,10) + TIME(20,18,43)</f>
        <v>41223.846331018518</v>
      </c>
      <c r="C1278">
        <v>80</v>
      </c>
      <c r="D1278">
        <v>77.585121154999996</v>
      </c>
      <c r="E1278">
        <v>50</v>
      </c>
      <c r="F1278">
        <v>49.981296538999999</v>
      </c>
      <c r="G1278">
        <v>1106.4753418</v>
      </c>
      <c r="H1278">
        <v>978.09411621000004</v>
      </c>
      <c r="I1278">
        <v>1877.9226074000001</v>
      </c>
      <c r="J1278">
        <v>1685.3957519999999</v>
      </c>
      <c r="K1278">
        <v>0</v>
      </c>
      <c r="L1278">
        <v>2400</v>
      </c>
      <c r="M1278">
        <v>2400</v>
      </c>
      <c r="N1278">
        <v>0</v>
      </c>
    </row>
    <row r="1279" spans="1:14" x14ac:dyDescent="0.25">
      <c r="A1279">
        <v>925.59546899999998</v>
      </c>
      <c r="B1279" s="1">
        <f>DATE(2012,11,11) + TIME(14,17,28)</f>
        <v>41224.595462962963</v>
      </c>
      <c r="C1279">
        <v>80</v>
      </c>
      <c r="D1279">
        <v>77.484825134000005</v>
      </c>
      <c r="E1279">
        <v>50</v>
      </c>
      <c r="F1279">
        <v>49.980281830000003</v>
      </c>
      <c r="G1279">
        <v>1100.9741211</v>
      </c>
      <c r="H1279">
        <v>972.55450439000003</v>
      </c>
      <c r="I1279">
        <v>1884.6734618999999</v>
      </c>
      <c r="J1279">
        <v>1692.1678466999999</v>
      </c>
      <c r="K1279">
        <v>0</v>
      </c>
      <c r="L1279">
        <v>2400</v>
      </c>
      <c r="M1279">
        <v>2400</v>
      </c>
      <c r="N1279">
        <v>0</v>
      </c>
    </row>
    <row r="1280" spans="1:14" x14ac:dyDescent="0.25">
      <c r="A1280">
        <v>926.365544</v>
      </c>
      <c r="B1280" s="1">
        <f>DATE(2012,11,12) + TIME(8,46,23)</f>
        <v>41225.365543981483</v>
      </c>
      <c r="C1280">
        <v>80</v>
      </c>
      <c r="D1280">
        <v>77.381683350000003</v>
      </c>
      <c r="E1280">
        <v>50</v>
      </c>
      <c r="F1280">
        <v>49.979248046999999</v>
      </c>
      <c r="G1280">
        <v>1095.7696533000001</v>
      </c>
      <c r="H1280">
        <v>967.31072998000002</v>
      </c>
      <c r="I1280">
        <v>1890.9221190999999</v>
      </c>
      <c r="J1280">
        <v>1698.4382324000001</v>
      </c>
      <c r="K1280">
        <v>0</v>
      </c>
      <c r="L1280">
        <v>2400</v>
      </c>
      <c r="M1280">
        <v>2400</v>
      </c>
      <c r="N1280">
        <v>0</v>
      </c>
    </row>
    <row r="1281" spans="1:14" x14ac:dyDescent="0.25">
      <c r="A1281">
        <v>927.15657999999996</v>
      </c>
      <c r="B1281" s="1">
        <f>DATE(2012,11,13) + TIME(3,45,28)</f>
        <v>41226.156574074077</v>
      </c>
      <c r="C1281">
        <v>80</v>
      </c>
      <c r="D1281">
        <v>77.276367187999995</v>
      </c>
      <c r="E1281">
        <v>50</v>
      </c>
      <c r="F1281">
        <v>49.978256225999999</v>
      </c>
      <c r="G1281">
        <v>1090.840332</v>
      </c>
      <c r="H1281">
        <v>962.34118651999995</v>
      </c>
      <c r="I1281">
        <v>1896.7169189000001</v>
      </c>
      <c r="J1281">
        <v>1704.2550048999999</v>
      </c>
      <c r="K1281">
        <v>0</v>
      </c>
      <c r="L1281">
        <v>2400</v>
      </c>
      <c r="M1281">
        <v>2400</v>
      </c>
      <c r="N1281">
        <v>0</v>
      </c>
    </row>
    <row r="1282" spans="1:14" x14ac:dyDescent="0.25">
      <c r="A1282">
        <v>927.97892999999999</v>
      </c>
      <c r="B1282" s="1">
        <f>DATE(2012,11,13) + TIME(23,29,39)</f>
        <v>41226.97892361111</v>
      </c>
      <c r="C1282">
        <v>80</v>
      </c>
      <c r="D1282">
        <v>77.168579101999995</v>
      </c>
      <c r="E1282">
        <v>50</v>
      </c>
      <c r="F1282">
        <v>49.977321625000002</v>
      </c>
      <c r="G1282">
        <v>1086.1124268000001</v>
      </c>
      <c r="H1282">
        <v>957.57196045000001</v>
      </c>
      <c r="I1282">
        <v>1902.1640625</v>
      </c>
      <c r="J1282">
        <v>1709.7242432</v>
      </c>
      <c r="K1282">
        <v>0</v>
      </c>
      <c r="L1282">
        <v>2400</v>
      </c>
      <c r="M1282">
        <v>2400</v>
      </c>
      <c r="N1282">
        <v>0</v>
      </c>
    </row>
    <row r="1283" spans="1:14" x14ac:dyDescent="0.25">
      <c r="A1283">
        <v>928.84358699999996</v>
      </c>
      <c r="B1283" s="1">
        <f>DATE(2012,11,14) + TIME(20,14,45)</f>
        <v>41227.843576388892</v>
      </c>
      <c r="C1283">
        <v>80</v>
      </c>
      <c r="D1283">
        <v>77.057518005000006</v>
      </c>
      <c r="E1283">
        <v>50</v>
      </c>
      <c r="F1283">
        <v>49.976451873999999</v>
      </c>
      <c r="G1283">
        <v>1081.5263672000001</v>
      </c>
      <c r="H1283">
        <v>952.94342041000004</v>
      </c>
      <c r="I1283">
        <v>1907.3393555</v>
      </c>
      <c r="J1283">
        <v>1714.921875</v>
      </c>
      <c r="K1283">
        <v>0</v>
      </c>
      <c r="L1283">
        <v>2400</v>
      </c>
      <c r="M1283">
        <v>2400</v>
      </c>
      <c r="N1283">
        <v>0</v>
      </c>
    </row>
    <row r="1284" spans="1:14" x14ac:dyDescent="0.25">
      <c r="A1284">
        <v>929.76301000000001</v>
      </c>
      <c r="B1284" s="1">
        <f>DATE(2012,11,15) + TIME(18,18,44)</f>
        <v>41228.763009259259</v>
      </c>
      <c r="C1284">
        <v>80</v>
      </c>
      <c r="D1284">
        <v>76.942070006999998</v>
      </c>
      <c r="E1284">
        <v>50</v>
      </c>
      <c r="F1284">
        <v>49.975635529000002</v>
      </c>
      <c r="G1284">
        <v>1077.0325928</v>
      </c>
      <c r="H1284">
        <v>948.40539550999995</v>
      </c>
      <c r="I1284">
        <v>1912.3012695</v>
      </c>
      <c r="J1284">
        <v>1719.9066161999999</v>
      </c>
      <c r="K1284">
        <v>0</v>
      </c>
      <c r="L1284">
        <v>2400</v>
      </c>
      <c r="M1284">
        <v>2400</v>
      </c>
      <c r="N1284">
        <v>0</v>
      </c>
    </row>
    <row r="1285" spans="1:14" x14ac:dyDescent="0.25">
      <c r="A1285">
        <v>930.75286300000005</v>
      </c>
      <c r="B1285" s="1">
        <f>DATE(2012,11,16) + TIME(18,4,7)</f>
        <v>41229.752858796295</v>
      </c>
      <c r="C1285">
        <v>80</v>
      </c>
      <c r="D1285">
        <v>76.820793151999993</v>
      </c>
      <c r="E1285">
        <v>50</v>
      </c>
      <c r="F1285">
        <v>49.974872589</v>
      </c>
      <c r="G1285">
        <v>1072.583374</v>
      </c>
      <c r="H1285">
        <v>943.90985106999995</v>
      </c>
      <c r="I1285">
        <v>1917.1007079999999</v>
      </c>
      <c r="J1285">
        <v>1724.7294922000001</v>
      </c>
      <c r="K1285">
        <v>0</v>
      </c>
      <c r="L1285">
        <v>2400</v>
      </c>
      <c r="M1285">
        <v>2400</v>
      </c>
      <c r="N1285">
        <v>0</v>
      </c>
    </row>
    <row r="1286" spans="1:14" x14ac:dyDescent="0.25">
      <c r="A1286">
        <v>931.83302300000003</v>
      </c>
      <c r="B1286" s="1">
        <f>DATE(2012,11,17) + TIME(19,59,33)</f>
        <v>41230.833020833335</v>
      </c>
      <c r="C1286">
        <v>80</v>
      </c>
      <c r="D1286">
        <v>76.691902161000002</v>
      </c>
      <c r="E1286">
        <v>50</v>
      </c>
      <c r="F1286">
        <v>49.974155426000003</v>
      </c>
      <c r="G1286">
        <v>1068.1331786999999</v>
      </c>
      <c r="H1286">
        <v>939.41033935999997</v>
      </c>
      <c r="I1286">
        <v>1921.78125</v>
      </c>
      <c r="J1286">
        <v>1729.4344481999999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932.95116099999996</v>
      </c>
      <c r="B1287" s="1">
        <f>DATE(2012,11,18) + TIME(22,49,40)</f>
        <v>41231.951157407406</v>
      </c>
      <c r="C1287">
        <v>80</v>
      </c>
      <c r="D1287">
        <v>76.556762695000003</v>
      </c>
      <c r="E1287">
        <v>50</v>
      </c>
      <c r="F1287">
        <v>49.973499298</v>
      </c>
      <c r="G1287">
        <v>1063.8977050999999</v>
      </c>
      <c r="H1287">
        <v>935.12396239999998</v>
      </c>
      <c r="I1287">
        <v>1926.0827637</v>
      </c>
      <c r="J1287">
        <v>1733.7613524999999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934.08910200000003</v>
      </c>
      <c r="B1288" s="1">
        <f>DATE(2012,11,20) + TIME(2,8,18)</f>
        <v>41233.089097222219</v>
      </c>
      <c r="C1288">
        <v>80</v>
      </c>
      <c r="D1288">
        <v>76.418144225999995</v>
      </c>
      <c r="E1288">
        <v>50</v>
      </c>
      <c r="F1288">
        <v>49.972919464</v>
      </c>
      <c r="G1288">
        <v>1059.927124</v>
      </c>
      <c r="H1288">
        <v>931.10064696999996</v>
      </c>
      <c r="I1288">
        <v>1929.9801024999999</v>
      </c>
      <c r="J1288">
        <v>1737.6839600000001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935.25959</v>
      </c>
      <c r="B1289" s="1">
        <f>DATE(2012,11,21) + TIME(6,13,48)</f>
        <v>41234.259583333333</v>
      </c>
      <c r="C1289">
        <v>80</v>
      </c>
      <c r="D1289">
        <v>76.277053832999997</v>
      </c>
      <c r="E1289">
        <v>50</v>
      </c>
      <c r="F1289">
        <v>49.972412108999997</v>
      </c>
      <c r="G1289">
        <v>1056.1639404</v>
      </c>
      <c r="H1289">
        <v>927.28271484000004</v>
      </c>
      <c r="I1289">
        <v>1933.5598144999999</v>
      </c>
      <c r="J1289">
        <v>1741.2882079999999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936.47813199999996</v>
      </c>
      <c r="B1290" s="1">
        <f>DATE(2012,11,22) + TIME(11,28,30)</f>
        <v>41235.478125000001</v>
      </c>
      <c r="C1290">
        <v>80</v>
      </c>
      <c r="D1290">
        <v>76.132904053000004</v>
      </c>
      <c r="E1290">
        <v>50</v>
      </c>
      <c r="F1290">
        <v>49.971961974999999</v>
      </c>
      <c r="G1290">
        <v>1052.5549315999999</v>
      </c>
      <c r="H1290">
        <v>923.61688231999995</v>
      </c>
      <c r="I1290">
        <v>1936.8845214999999</v>
      </c>
      <c r="J1290">
        <v>1744.6368408000001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937.76161200000001</v>
      </c>
      <c r="B1291" s="1">
        <f>DATE(2012,11,23) + TIME(18,16,43)</f>
        <v>41236.761608796296</v>
      </c>
      <c r="C1291">
        <v>80</v>
      </c>
      <c r="D1291">
        <v>75.984382628999995</v>
      </c>
      <c r="E1291">
        <v>50</v>
      </c>
      <c r="F1291">
        <v>49.971557617000002</v>
      </c>
      <c r="G1291">
        <v>1049.0570068</v>
      </c>
      <c r="H1291">
        <v>920.05944824000005</v>
      </c>
      <c r="I1291">
        <v>1939.9976807</v>
      </c>
      <c r="J1291">
        <v>1747.7735596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939.130044</v>
      </c>
      <c r="B1292" s="1">
        <f>DATE(2012,11,25) + TIME(3,7,15)</f>
        <v>41238.13003472222</v>
      </c>
      <c r="C1292">
        <v>80</v>
      </c>
      <c r="D1292">
        <v>75.829719542999996</v>
      </c>
      <c r="E1292">
        <v>50</v>
      </c>
      <c r="F1292">
        <v>49.971187592</v>
      </c>
      <c r="G1292">
        <v>1045.6323242000001</v>
      </c>
      <c r="H1292">
        <v>916.57183838000003</v>
      </c>
      <c r="I1292">
        <v>1942.9320068</v>
      </c>
      <c r="J1292">
        <v>1750.7312012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940.59947499999998</v>
      </c>
      <c r="B1293" s="1">
        <f>DATE(2012,11,26) + TIME(14,23,14)</f>
        <v>41239.59946759259</v>
      </c>
      <c r="C1293">
        <v>80</v>
      </c>
      <c r="D1293">
        <v>75.667091369999994</v>
      </c>
      <c r="E1293">
        <v>50</v>
      </c>
      <c r="F1293">
        <v>49.970851897999999</v>
      </c>
      <c r="G1293">
        <v>1042.2636719</v>
      </c>
      <c r="H1293">
        <v>913.13562012</v>
      </c>
      <c r="I1293">
        <v>1945.6951904</v>
      </c>
      <c r="J1293">
        <v>1753.5179443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942.093841</v>
      </c>
      <c r="B1294" s="1">
        <f>DATE(2012,11,28) + TIME(2,15,7)</f>
        <v>41241.093831018516</v>
      </c>
      <c r="C1294">
        <v>80</v>
      </c>
      <c r="D1294">
        <v>75.498168945000003</v>
      </c>
      <c r="E1294">
        <v>50</v>
      </c>
      <c r="F1294">
        <v>49.970550537000001</v>
      </c>
      <c r="G1294">
        <v>1039.1058350000001</v>
      </c>
      <c r="H1294">
        <v>909.90716553000004</v>
      </c>
      <c r="I1294">
        <v>1948.1329346</v>
      </c>
      <c r="J1294">
        <v>1755.9793701000001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943.61872000000005</v>
      </c>
      <c r="B1295" s="1">
        <f>DATE(2012,11,29) + TIME(14,50,57)</f>
        <v>41242.618715277778</v>
      </c>
      <c r="C1295">
        <v>80</v>
      </c>
      <c r="D1295">
        <v>75.326248168999996</v>
      </c>
      <c r="E1295">
        <v>50</v>
      </c>
      <c r="F1295">
        <v>49.970291138</v>
      </c>
      <c r="G1295">
        <v>1036.1373291</v>
      </c>
      <c r="H1295">
        <v>906.86376953000001</v>
      </c>
      <c r="I1295">
        <v>1950.2976074000001</v>
      </c>
      <c r="J1295">
        <v>1758.166626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945</v>
      </c>
      <c r="B1296" s="1">
        <f>DATE(2012,12,1) + TIME(0,0,0)</f>
        <v>41244</v>
      </c>
      <c r="C1296">
        <v>80</v>
      </c>
      <c r="D1296">
        <v>75.159118652000004</v>
      </c>
      <c r="E1296">
        <v>50</v>
      </c>
      <c r="F1296">
        <v>49.970069885000001</v>
      </c>
      <c r="G1296">
        <v>1033.6079102000001</v>
      </c>
      <c r="H1296">
        <v>904.26104736000002</v>
      </c>
      <c r="I1296">
        <v>1951.9887695</v>
      </c>
      <c r="J1296">
        <v>1759.8790283000001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946.58172200000001</v>
      </c>
      <c r="B1297" s="1">
        <f>DATE(2012,12,2) + TIME(13,57,40)</f>
        <v>41245.581712962965</v>
      </c>
      <c r="C1297">
        <v>80</v>
      </c>
      <c r="D1297">
        <v>74.991767882999994</v>
      </c>
      <c r="E1297">
        <v>50</v>
      </c>
      <c r="F1297">
        <v>49.969902038999997</v>
      </c>
      <c r="G1297">
        <v>1030.9765625</v>
      </c>
      <c r="H1297">
        <v>901.54846191000001</v>
      </c>
      <c r="I1297">
        <v>1953.7276611</v>
      </c>
      <c r="J1297">
        <v>1761.6368408000001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948.29409499999997</v>
      </c>
      <c r="B1298" s="1">
        <f>DATE(2012,12,4) + TIME(7,3,29)</f>
        <v>41247.294085648151</v>
      </c>
      <c r="C1298">
        <v>80</v>
      </c>
      <c r="D1298">
        <v>74.813537597999996</v>
      </c>
      <c r="E1298">
        <v>50</v>
      </c>
      <c r="F1298">
        <v>49.969738006999997</v>
      </c>
      <c r="G1298">
        <v>1028.3514404</v>
      </c>
      <c r="H1298">
        <v>898.83703613</v>
      </c>
      <c r="I1298">
        <v>1955.3395995999999</v>
      </c>
      <c r="J1298">
        <v>1763.2681885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950.10196299999996</v>
      </c>
      <c r="B1299" s="1">
        <f>DATE(2012,12,6) + TIME(2,26,49)</f>
        <v>41249.101956018516</v>
      </c>
      <c r="C1299">
        <v>80</v>
      </c>
      <c r="D1299">
        <v>74.624275208</v>
      </c>
      <c r="E1299">
        <v>50</v>
      </c>
      <c r="F1299">
        <v>49.969585418999998</v>
      </c>
      <c r="G1299">
        <v>1025.7939452999999</v>
      </c>
      <c r="H1299">
        <v>896.18493651999995</v>
      </c>
      <c r="I1299">
        <v>1956.7691649999999</v>
      </c>
      <c r="J1299">
        <v>1764.7176514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951.94823799999995</v>
      </c>
      <c r="B1300" s="1">
        <f>DATE(2012,12,7) + TIME(22,45,27)</f>
        <v>41250.948229166665</v>
      </c>
      <c r="C1300">
        <v>80</v>
      </c>
      <c r="D1300">
        <v>74.427291870000005</v>
      </c>
      <c r="E1300">
        <v>50</v>
      </c>
      <c r="F1300">
        <v>49.969455719000003</v>
      </c>
      <c r="G1300">
        <v>1023.3699951</v>
      </c>
      <c r="H1300">
        <v>893.65789795000001</v>
      </c>
      <c r="I1300">
        <v>1957.9785156</v>
      </c>
      <c r="J1300">
        <v>1765.9462891000001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953.84825899999998</v>
      </c>
      <c r="B1301" s="1">
        <f>DATE(2012,12,9) + TIME(20,21,29)</f>
        <v>41252.848252314812</v>
      </c>
      <c r="C1301">
        <v>80</v>
      </c>
      <c r="D1301">
        <v>74.225654602000006</v>
      </c>
      <c r="E1301">
        <v>50</v>
      </c>
      <c r="F1301">
        <v>49.969348906999997</v>
      </c>
      <c r="G1301">
        <v>1021.0576172</v>
      </c>
      <c r="H1301">
        <v>891.23406981999995</v>
      </c>
      <c r="I1301">
        <v>1959.0058594</v>
      </c>
      <c r="J1301">
        <v>1766.9921875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955.79627400000004</v>
      </c>
      <c r="B1302" s="1">
        <f>DATE(2012,12,11) + TIME(19,6,38)</f>
        <v>41254.796273148146</v>
      </c>
      <c r="C1302">
        <v>80</v>
      </c>
      <c r="D1302">
        <v>74.019714355000005</v>
      </c>
      <c r="E1302">
        <v>50</v>
      </c>
      <c r="F1302">
        <v>49.969264983999999</v>
      </c>
      <c r="G1302">
        <v>1018.8511963</v>
      </c>
      <c r="H1302">
        <v>888.90777588000003</v>
      </c>
      <c r="I1302">
        <v>1959.8626709</v>
      </c>
      <c r="J1302">
        <v>1767.8665771000001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957.82343100000003</v>
      </c>
      <c r="B1303" s="1">
        <f>DATE(2012,12,13) + TIME(19,45,44)</f>
        <v>41256.823425925926</v>
      </c>
      <c r="C1303">
        <v>80</v>
      </c>
      <c r="D1303">
        <v>73.808860779</v>
      </c>
      <c r="E1303">
        <v>50</v>
      </c>
      <c r="F1303">
        <v>49.969200133999998</v>
      </c>
      <c r="G1303">
        <v>1016.7158813</v>
      </c>
      <c r="H1303">
        <v>886.64257812000005</v>
      </c>
      <c r="I1303">
        <v>1960.5773925999999</v>
      </c>
      <c r="J1303">
        <v>1768.5982666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959.96381099999996</v>
      </c>
      <c r="B1304" s="1">
        <f>DATE(2012,12,15) + TIME(23,7,53)</f>
        <v>41258.963807870372</v>
      </c>
      <c r="C1304">
        <v>80</v>
      </c>
      <c r="D1304">
        <v>73.590446471999996</v>
      </c>
      <c r="E1304">
        <v>50</v>
      </c>
      <c r="F1304">
        <v>49.969154357999997</v>
      </c>
      <c r="G1304">
        <v>1014.617981</v>
      </c>
      <c r="H1304">
        <v>884.40240478999999</v>
      </c>
      <c r="I1304">
        <v>1961.1660156</v>
      </c>
      <c r="J1304">
        <v>1769.2030029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962.12614900000005</v>
      </c>
      <c r="B1305" s="1">
        <f>DATE(2012,12,18) + TIME(3,1,39)</f>
        <v>41261.126145833332</v>
      </c>
      <c r="C1305">
        <v>80</v>
      </c>
      <c r="D1305">
        <v>73.364433289000004</v>
      </c>
      <c r="E1305">
        <v>50</v>
      </c>
      <c r="F1305">
        <v>49.969120025999999</v>
      </c>
      <c r="G1305">
        <v>1012.6105957</v>
      </c>
      <c r="H1305">
        <v>882.23956298999997</v>
      </c>
      <c r="I1305">
        <v>1961.5991211</v>
      </c>
      <c r="J1305">
        <v>1769.6519774999999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964.32503799999995</v>
      </c>
      <c r="B1306" s="1">
        <f>DATE(2012,12,20) + TIME(7,48,3)</f>
        <v>41263.32503472222</v>
      </c>
      <c r="C1306">
        <v>80</v>
      </c>
      <c r="D1306">
        <v>73.134803771999998</v>
      </c>
      <c r="E1306">
        <v>50</v>
      </c>
      <c r="F1306">
        <v>49.969100951999998</v>
      </c>
      <c r="G1306">
        <v>1010.6806640999999</v>
      </c>
      <c r="H1306">
        <v>880.14111328000001</v>
      </c>
      <c r="I1306">
        <v>1961.9083252</v>
      </c>
      <c r="J1306">
        <v>1769.9758300999999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966.59669599999995</v>
      </c>
      <c r="B1307" s="1">
        <f>DATE(2012,12,22) + TIME(14,19,14)</f>
        <v>41265.596689814818</v>
      </c>
      <c r="C1307">
        <v>80</v>
      </c>
      <c r="D1307">
        <v>72.900779724000003</v>
      </c>
      <c r="E1307">
        <v>50</v>
      </c>
      <c r="F1307">
        <v>49.969097136999999</v>
      </c>
      <c r="G1307">
        <v>1008.7952881</v>
      </c>
      <c r="H1307">
        <v>878.07293701000003</v>
      </c>
      <c r="I1307">
        <v>1962.1156006000001</v>
      </c>
      <c r="J1307">
        <v>1770.1970214999999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968.94672100000003</v>
      </c>
      <c r="B1308" s="1">
        <f>DATE(2012,12,24) + TIME(22,43,16)</f>
        <v>41267.946712962963</v>
      </c>
      <c r="C1308">
        <v>80</v>
      </c>
      <c r="D1308">
        <v>72.660018921000002</v>
      </c>
      <c r="E1308">
        <v>50</v>
      </c>
      <c r="F1308">
        <v>49.969104766999997</v>
      </c>
      <c r="G1308">
        <v>1006.9378662</v>
      </c>
      <c r="H1308">
        <v>876.01568603999999</v>
      </c>
      <c r="I1308">
        <v>1962.2275391000001</v>
      </c>
      <c r="J1308">
        <v>1770.3221435999999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971.35036500000001</v>
      </c>
      <c r="B1309" s="1">
        <f>DATE(2012,12,27) + TIME(8,24,31)</f>
        <v>41270.350358796299</v>
      </c>
      <c r="C1309">
        <v>80</v>
      </c>
      <c r="D1309">
        <v>72.412025451999995</v>
      </c>
      <c r="E1309">
        <v>50</v>
      </c>
      <c r="F1309">
        <v>49.969123840000002</v>
      </c>
      <c r="G1309">
        <v>1005.1100464</v>
      </c>
      <c r="H1309">
        <v>873.96893310999997</v>
      </c>
      <c r="I1309">
        <v>1962.2485352000001</v>
      </c>
      <c r="J1309">
        <v>1770.3558350000001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973.832626</v>
      </c>
      <c r="B1310" s="1">
        <f>DATE(2012,12,29) + TIME(19,58,58)</f>
        <v>41272.832615740743</v>
      </c>
      <c r="C1310">
        <v>80</v>
      </c>
      <c r="D1310">
        <v>72.157081603999998</v>
      </c>
      <c r="E1310">
        <v>50</v>
      </c>
      <c r="F1310">
        <v>49.969154357999997</v>
      </c>
      <c r="G1310">
        <v>1003.2942505</v>
      </c>
      <c r="H1310">
        <v>871.91345215000001</v>
      </c>
      <c r="I1310">
        <v>1962.192749</v>
      </c>
      <c r="J1310">
        <v>1770.3120117000001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976</v>
      </c>
      <c r="B1311" s="1">
        <f>DATE(2013,1,1) + TIME(0,0,0)</f>
        <v>41275</v>
      </c>
      <c r="C1311">
        <v>80</v>
      </c>
      <c r="D1311">
        <v>71.904403686999999</v>
      </c>
      <c r="E1311">
        <v>50</v>
      </c>
      <c r="F1311">
        <v>49.969165801999999</v>
      </c>
      <c r="G1311">
        <v>1001.6436157000001</v>
      </c>
      <c r="H1311">
        <v>870.01092529000005</v>
      </c>
      <c r="I1311">
        <v>1962.0528564000001</v>
      </c>
      <c r="J1311">
        <v>1770.1832274999999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978.51894600000003</v>
      </c>
      <c r="B1312" s="1">
        <f>DATE(2013,1,3) + TIME(12,27,16)</f>
        <v>41277.518935185188</v>
      </c>
      <c r="C1312">
        <v>80</v>
      </c>
      <c r="D1312">
        <v>71.658103943</v>
      </c>
      <c r="E1312">
        <v>50</v>
      </c>
      <c r="F1312">
        <v>49.969230652</v>
      </c>
      <c r="G1312">
        <v>999.94036864999998</v>
      </c>
      <c r="H1312">
        <v>868.04455566000001</v>
      </c>
      <c r="I1312">
        <v>1961.8985596</v>
      </c>
      <c r="J1312">
        <v>1770.0385742000001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981.127657</v>
      </c>
      <c r="B1313" s="1">
        <f>DATE(2013,1,6) + TIME(3,3,49)</f>
        <v>41280.127650462964</v>
      </c>
      <c r="C1313">
        <v>80</v>
      </c>
      <c r="D1313">
        <v>71.391700744999994</v>
      </c>
      <c r="E1313">
        <v>50</v>
      </c>
      <c r="F1313">
        <v>49.969284058</v>
      </c>
      <c r="G1313">
        <v>998.17120361000002</v>
      </c>
      <c r="H1313">
        <v>865.97747803000004</v>
      </c>
      <c r="I1313">
        <v>1961.6812743999999</v>
      </c>
      <c r="J1313">
        <v>1769.8311768000001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983.81769099999997</v>
      </c>
      <c r="B1314" s="1">
        <f>DATE(2013,1,8) + TIME(19,37,28)</f>
        <v>41282.817685185182</v>
      </c>
      <c r="C1314">
        <v>80</v>
      </c>
      <c r="D1314">
        <v>71.111938476999995</v>
      </c>
      <c r="E1314">
        <v>50</v>
      </c>
      <c r="F1314">
        <v>49.969337463000002</v>
      </c>
      <c r="G1314">
        <v>996.36572265999996</v>
      </c>
      <c r="H1314">
        <v>863.83984375</v>
      </c>
      <c r="I1314">
        <v>1961.4116211</v>
      </c>
      <c r="J1314">
        <v>1769.5711670000001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986.53707599999996</v>
      </c>
      <c r="B1315" s="1">
        <f>DATE(2013,1,11) + TIME(12,53,23)</f>
        <v>41285.53707175926</v>
      </c>
      <c r="C1315">
        <v>80</v>
      </c>
      <c r="D1315">
        <v>70.821792603000006</v>
      </c>
      <c r="E1315">
        <v>50</v>
      </c>
      <c r="F1315">
        <v>49.969398499</v>
      </c>
      <c r="G1315">
        <v>994.53741454999999</v>
      </c>
      <c r="H1315">
        <v>861.64648437999995</v>
      </c>
      <c r="I1315">
        <v>1961.1005858999999</v>
      </c>
      <c r="J1315">
        <v>1769.2691649999999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989.29953999999998</v>
      </c>
      <c r="B1316" s="1">
        <f>DATE(2013,1,14) + TIME(7,11,20)</f>
        <v>41288.299537037034</v>
      </c>
      <c r="C1316">
        <v>80</v>
      </c>
      <c r="D1316">
        <v>70.524230957</v>
      </c>
      <c r="E1316">
        <v>50</v>
      </c>
      <c r="F1316">
        <v>49.969463347999998</v>
      </c>
      <c r="G1316">
        <v>992.68670654000005</v>
      </c>
      <c r="H1316">
        <v>859.39959716999999</v>
      </c>
      <c r="I1316">
        <v>1960.7589111</v>
      </c>
      <c r="J1316">
        <v>1768.9360352000001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992.12933699999996</v>
      </c>
      <c r="B1317" s="1">
        <f>DATE(2013,1,17) + TIME(3,6,14)</f>
        <v>41291.129328703704</v>
      </c>
      <c r="C1317">
        <v>80</v>
      </c>
      <c r="D1317">
        <v>70.217979431000003</v>
      </c>
      <c r="E1317">
        <v>50</v>
      </c>
      <c r="F1317">
        <v>49.969535827999998</v>
      </c>
      <c r="G1317">
        <v>990.79754638999998</v>
      </c>
      <c r="H1317">
        <v>857.08013916000004</v>
      </c>
      <c r="I1317">
        <v>1960.3917236</v>
      </c>
      <c r="J1317">
        <v>1768.5769043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995.02301</v>
      </c>
      <c r="B1318" s="1">
        <f>DATE(2013,1,20) + TIME(0,33,8)</f>
        <v>41294.023009259261</v>
      </c>
      <c r="C1318">
        <v>80</v>
      </c>
      <c r="D1318">
        <v>69.900962829999997</v>
      </c>
      <c r="E1318">
        <v>50</v>
      </c>
      <c r="F1318">
        <v>49.969612122000001</v>
      </c>
      <c r="G1318">
        <v>988.85729979999996</v>
      </c>
      <c r="H1318">
        <v>854.67053223000005</v>
      </c>
      <c r="I1318">
        <v>1960.0021973</v>
      </c>
      <c r="J1318">
        <v>1768.1949463000001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997.94770700000004</v>
      </c>
      <c r="B1319" s="1">
        <f>DATE(2013,1,22) + TIME(22,44,41)</f>
        <v>41296.947696759256</v>
      </c>
      <c r="C1319">
        <v>80</v>
      </c>
      <c r="D1319">
        <v>69.572845459000007</v>
      </c>
      <c r="E1319">
        <v>50</v>
      </c>
      <c r="F1319">
        <v>49.969688415999997</v>
      </c>
      <c r="G1319">
        <v>986.86743163999995</v>
      </c>
      <c r="H1319">
        <v>852.16992187999995</v>
      </c>
      <c r="I1319">
        <v>1959.5959473</v>
      </c>
      <c r="J1319">
        <v>1767.7957764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1000.927373</v>
      </c>
      <c r="B1320" s="1">
        <f>DATE(2013,1,25) + TIME(22,15,25)</f>
        <v>41299.927372685182</v>
      </c>
      <c r="C1320">
        <v>80</v>
      </c>
      <c r="D1320">
        <v>69.234832764000004</v>
      </c>
      <c r="E1320">
        <v>50</v>
      </c>
      <c r="F1320">
        <v>49.969768524000003</v>
      </c>
      <c r="G1320">
        <v>984.82427978999999</v>
      </c>
      <c r="H1320">
        <v>849.57440185999997</v>
      </c>
      <c r="I1320">
        <v>1959.1772461</v>
      </c>
      <c r="J1320">
        <v>1767.3839111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1003.959719</v>
      </c>
      <c r="B1321" s="1">
        <f>DATE(2013,1,28) + TIME(23,1,59)</f>
        <v>41302.959710648145</v>
      </c>
      <c r="C1321">
        <v>80</v>
      </c>
      <c r="D1321">
        <v>68.885139464999995</v>
      </c>
      <c r="E1321">
        <v>50</v>
      </c>
      <c r="F1321">
        <v>49.969852447999997</v>
      </c>
      <c r="G1321">
        <v>982.71582031000003</v>
      </c>
      <c r="H1321">
        <v>846.86749268000005</v>
      </c>
      <c r="I1321">
        <v>1958.7485352000001</v>
      </c>
      <c r="J1321">
        <v>1766.9615478999999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1007</v>
      </c>
      <c r="B1322" s="1">
        <f>DATE(2013,2,1) + TIME(0,0,0)</f>
        <v>41306</v>
      </c>
      <c r="C1322">
        <v>80</v>
      </c>
      <c r="D1322">
        <v>68.523872374999996</v>
      </c>
      <c r="E1322">
        <v>50</v>
      </c>
      <c r="F1322">
        <v>49.969936371000003</v>
      </c>
      <c r="G1322">
        <v>980.54681396000001</v>
      </c>
      <c r="H1322">
        <v>844.05200194999998</v>
      </c>
      <c r="I1322">
        <v>1958.3153076000001</v>
      </c>
      <c r="J1322">
        <v>1766.5343018000001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1010.056042</v>
      </c>
      <c r="B1323" s="1">
        <f>DATE(2013,2,4) + TIME(1,20,42)</f>
        <v>41309.056041666663</v>
      </c>
      <c r="C1323">
        <v>80</v>
      </c>
      <c r="D1323">
        <v>68.153327942000004</v>
      </c>
      <c r="E1323">
        <v>50</v>
      </c>
      <c r="F1323">
        <v>49.970020294000001</v>
      </c>
      <c r="G1323">
        <v>978.32574463000003</v>
      </c>
      <c r="H1323">
        <v>841.13977050999995</v>
      </c>
      <c r="I1323">
        <v>1957.8815918</v>
      </c>
      <c r="J1323">
        <v>1766.1060791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1013.1750939999999</v>
      </c>
      <c r="B1324" s="1">
        <f>DATE(2013,2,7) + TIME(4,12,8)</f>
        <v>41312.175092592595</v>
      </c>
      <c r="C1324">
        <v>80</v>
      </c>
      <c r="D1324">
        <v>67.771865844999994</v>
      </c>
      <c r="E1324">
        <v>50</v>
      </c>
      <c r="F1324">
        <v>49.970108031999999</v>
      </c>
      <c r="G1324">
        <v>976.03656006000006</v>
      </c>
      <c r="H1324">
        <v>838.11083984000004</v>
      </c>
      <c r="I1324">
        <v>1957.4461670000001</v>
      </c>
      <c r="J1324">
        <v>1765.6759033000001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1016.3135140000001</v>
      </c>
      <c r="B1325" s="1">
        <f>DATE(2013,2,10) + TIME(7,31,27)</f>
        <v>41315.313506944447</v>
      </c>
      <c r="C1325">
        <v>80</v>
      </c>
      <c r="D1325">
        <v>67.376152039000004</v>
      </c>
      <c r="E1325">
        <v>50</v>
      </c>
      <c r="F1325">
        <v>49.970195769999997</v>
      </c>
      <c r="G1325">
        <v>973.66668701000003</v>
      </c>
      <c r="H1325">
        <v>834.94464111000002</v>
      </c>
      <c r="I1325">
        <v>1957.0112305</v>
      </c>
      <c r="J1325">
        <v>1765.2459716999999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1019.476997</v>
      </c>
      <c r="B1326" s="1">
        <f>DATE(2013,2,13) + TIME(11,26,52)</f>
        <v>41318.476990740739</v>
      </c>
      <c r="C1326">
        <v>80</v>
      </c>
      <c r="D1326">
        <v>66.967857361</v>
      </c>
      <c r="E1326">
        <v>50</v>
      </c>
      <c r="F1326">
        <v>49.970283508000001</v>
      </c>
      <c r="G1326">
        <v>971.22564696999996</v>
      </c>
      <c r="H1326">
        <v>831.65301513999998</v>
      </c>
      <c r="I1326">
        <v>1956.5788574000001</v>
      </c>
      <c r="J1326">
        <v>1764.8181152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1022.670928</v>
      </c>
      <c r="B1327" s="1">
        <f>DATE(2013,2,16) + TIME(16,6,8)</f>
        <v>41321.670925925922</v>
      </c>
      <c r="C1327">
        <v>80</v>
      </c>
      <c r="D1327">
        <v>66.546302795000003</v>
      </c>
      <c r="E1327">
        <v>50</v>
      </c>
      <c r="F1327">
        <v>49.970371245999999</v>
      </c>
      <c r="G1327">
        <v>968.70812988</v>
      </c>
      <c r="H1327">
        <v>828.22839354999996</v>
      </c>
      <c r="I1327">
        <v>1956.1494141000001</v>
      </c>
      <c r="J1327">
        <v>1764.3930664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1025.893386</v>
      </c>
      <c r="B1328" s="1">
        <f>DATE(2013,2,19) + TIME(21,26,28)</f>
        <v>41324.893379629626</v>
      </c>
      <c r="C1328">
        <v>80</v>
      </c>
      <c r="D1328">
        <v>66.110519409000005</v>
      </c>
      <c r="E1328">
        <v>50</v>
      </c>
      <c r="F1328">
        <v>49.970458983999997</v>
      </c>
      <c r="G1328">
        <v>966.10919189000003</v>
      </c>
      <c r="H1328">
        <v>824.66247558999999</v>
      </c>
      <c r="I1328">
        <v>1955.7237548999999</v>
      </c>
      <c r="J1328">
        <v>1763.9714355000001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1029.1449250000001</v>
      </c>
      <c r="B1329" s="1">
        <f>DATE(2013,2,23) + TIME(3,28,41)</f>
        <v>41328.144918981481</v>
      </c>
      <c r="C1329">
        <v>80</v>
      </c>
      <c r="D1329">
        <v>65.659965514999996</v>
      </c>
      <c r="E1329">
        <v>50</v>
      </c>
      <c r="F1329">
        <v>49.970546722000002</v>
      </c>
      <c r="G1329">
        <v>963.42651366999996</v>
      </c>
      <c r="H1329">
        <v>820.95080566000001</v>
      </c>
      <c r="I1329">
        <v>1955.302124</v>
      </c>
      <c r="J1329">
        <v>1763.5537108999999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1032.4142119999999</v>
      </c>
      <c r="B1330" s="1">
        <f>DATE(2013,2,26) + TIME(9,56,27)</f>
        <v>41331.414201388892</v>
      </c>
      <c r="C1330">
        <v>80</v>
      </c>
      <c r="D1330">
        <v>65.194526671999995</v>
      </c>
      <c r="E1330">
        <v>50</v>
      </c>
      <c r="F1330">
        <v>49.970634459999999</v>
      </c>
      <c r="G1330">
        <v>960.65991211000005</v>
      </c>
      <c r="H1330">
        <v>817.09173583999996</v>
      </c>
      <c r="I1330">
        <v>1954.8856201000001</v>
      </c>
      <c r="J1330">
        <v>1763.1407471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1035</v>
      </c>
      <c r="B1331" s="1">
        <f>DATE(2013,3,1) + TIME(0,0,0)</f>
        <v>41334</v>
      </c>
      <c r="C1331">
        <v>80</v>
      </c>
      <c r="D1331">
        <v>64.738304138000004</v>
      </c>
      <c r="E1331">
        <v>50</v>
      </c>
      <c r="F1331">
        <v>49.970687865999999</v>
      </c>
      <c r="G1331">
        <v>957.98547363</v>
      </c>
      <c r="H1331">
        <v>813.31207274999997</v>
      </c>
      <c r="I1331">
        <v>1954.5251464999999</v>
      </c>
      <c r="J1331">
        <v>1762.7834473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1038.2928420000001</v>
      </c>
      <c r="B1332" s="1">
        <f>DATE(2013,3,4) + TIME(7,1,41)</f>
        <v>41337.29283564815</v>
      </c>
      <c r="C1332">
        <v>80</v>
      </c>
      <c r="D1332">
        <v>64.310432434000006</v>
      </c>
      <c r="E1332">
        <v>50</v>
      </c>
      <c r="F1332">
        <v>49.970794677999997</v>
      </c>
      <c r="G1332">
        <v>955.44775390999996</v>
      </c>
      <c r="H1332">
        <v>809.72644043000003</v>
      </c>
      <c r="I1332">
        <v>1954.140625</v>
      </c>
      <c r="J1332">
        <v>1762.4017334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1041.6167989999999</v>
      </c>
      <c r="B1333" s="1">
        <f>DATE(2013,3,7) + TIME(14,48,11)</f>
        <v>41340.616793981484</v>
      </c>
      <c r="C1333">
        <v>80</v>
      </c>
      <c r="D1333">
        <v>63.818199157999999</v>
      </c>
      <c r="E1333">
        <v>50</v>
      </c>
      <c r="F1333">
        <v>49.970882416000002</v>
      </c>
      <c r="G1333">
        <v>952.50671387</v>
      </c>
      <c r="H1333">
        <v>805.54968262</v>
      </c>
      <c r="I1333">
        <v>1953.7496338000001</v>
      </c>
      <c r="J1333">
        <v>1762.0136719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1044.967247</v>
      </c>
      <c r="B1334" s="1">
        <f>DATE(2013,3,10) + TIME(23,12,50)</f>
        <v>41343.967245370368</v>
      </c>
      <c r="C1334">
        <v>80</v>
      </c>
      <c r="D1334">
        <v>63.299125670999999</v>
      </c>
      <c r="E1334">
        <v>50</v>
      </c>
      <c r="F1334">
        <v>49.970966339</v>
      </c>
      <c r="G1334">
        <v>949.44177246000004</v>
      </c>
      <c r="H1334">
        <v>801.15228271000001</v>
      </c>
      <c r="I1334">
        <v>1953.3564452999999</v>
      </c>
      <c r="J1334">
        <v>1761.6234131000001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1048.349856</v>
      </c>
      <c r="B1335" s="1">
        <f>DATE(2013,3,14) + TIME(8,23,47)</f>
        <v>41347.349849537037</v>
      </c>
      <c r="C1335">
        <v>80</v>
      </c>
      <c r="D1335">
        <v>62.761638640999998</v>
      </c>
      <c r="E1335">
        <v>50</v>
      </c>
      <c r="F1335">
        <v>49.971050261999999</v>
      </c>
      <c r="G1335">
        <v>946.28027343999997</v>
      </c>
      <c r="H1335">
        <v>796.58227538999995</v>
      </c>
      <c r="I1335">
        <v>1952.9650879000001</v>
      </c>
      <c r="J1335">
        <v>1761.2347411999999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1051.7622699999999</v>
      </c>
      <c r="B1336" s="1">
        <f>DATE(2013,3,17) + TIME(18,17,40)</f>
        <v>41350.76226851852</v>
      </c>
      <c r="C1336">
        <v>80</v>
      </c>
      <c r="D1336">
        <v>62.206394195999998</v>
      </c>
      <c r="E1336">
        <v>50</v>
      </c>
      <c r="F1336">
        <v>49.971138000000003</v>
      </c>
      <c r="G1336">
        <v>943.02362060999997</v>
      </c>
      <c r="H1336">
        <v>791.84173583999996</v>
      </c>
      <c r="I1336">
        <v>1952.5767822</v>
      </c>
      <c r="J1336">
        <v>1760.848999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1055.1983210000001</v>
      </c>
      <c r="B1337" s="1">
        <f>DATE(2013,3,21) + TIME(4,45,34)</f>
        <v>41354.198310185187</v>
      </c>
      <c r="C1337">
        <v>80</v>
      </c>
      <c r="D1337">
        <v>61.634174346999998</v>
      </c>
      <c r="E1337">
        <v>50</v>
      </c>
      <c r="F1337">
        <v>49.971225738999998</v>
      </c>
      <c r="G1337">
        <v>939.67608643000005</v>
      </c>
      <c r="H1337">
        <v>786.93603515999996</v>
      </c>
      <c r="I1337">
        <v>1952.1921387</v>
      </c>
      <c r="J1337">
        <v>1760.4667969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1058.649576</v>
      </c>
      <c r="B1338" s="1">
        <f>DATE(2013,3,24) + TIME(15,35,23)</f>
        <v>41357.649571759262</v>
      </c>
      <c r="C1338">
        <v>80</v>
      </c>
      <c r="D1338">
        <v>61.045715332</v>
      </c>
      <c r="E1338">
        <v>50</v>
      </c>
      <c r="F1338">
        <v>49.971309662000003</v>
      </c>
      <c r="G1338">
        <v>936.24530029000005</v>
      </c>
      <c r="H1338">
        <v>781.87438965000001</v>
      </c>
      <c r="I1338">
        <v>1951.8114014</v>
      </c>
      <c r="J1338">
        <v>1760.0883789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1062.12346</v>
      </c>
      <c r="B1339" s="1">
        <f>DATE(2013,3,28) + TIME(2,57,46)</f>
        <v>41361.123449074075</v>
      </c>
      <c r="C1339">
        <v>80</v>
      </c>
      <c r="D1339">
        <v>60.442447661999999</v>
      </c>
      <c r="E1339">
        <v>50</v>
      </c>
      <c r="F1339">
        <v>49.971393585000001</v>
      </c>
      <c r="G1339">
        <v>932.73815918000003</v>
      </c>
      <c r="H1339">
        <v>776.66680908000001</v>
      </c>
      <c r="I1339">
        <v>1951.4344481999999</v>
      </c>
      <c r="J1339">
        <v>1759.713501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1065.6272469999999</v>
      </c>
      <c r="B1340" s="1">
        <f>DATE(2013,3,31) + TIME(15,3,14)</f>
        <v>41364.627245370371</v>
      </c>
      <c r="C1340">
        <v>80</v>
      </c>
      <c r="D1340">
        <v>59.824069977000001</v>
      </c>
      <c r="E1340">
        <v>50</v>
      </c>
      <c r="F1340">
        <v>49.971481322999999</v>
      </c>
      <c r="G1340">
        <v>929.15148925999995</v>
      </c>
      <c r="H1340">
        <v>771.30810546999999</v>
      </c>
      <c r="I1340">
        <v>1951.0600586</v>
      </c>
      <c r="J1340">
        <v>1759.3411865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1066</v>
      </c>
      <c r="B1341" s="1">
        <f>DATE(2013,4,1) + TIME(0,0,0)</f>
        <v>41365</v>
      </c>
      <c r="C1341">
        <v>80</v>
      </c>
      <c r="D1341">
        <v>59.567493439000003</v>
      </c>
      <c r="E1341">
        <v>50</v>
      </c>
      <c r="F1341">
        <v>49.971473693999997</v>
      </c>
      <c r="G1341">
        <v>927.05224609000004</v>
      </c>
      <c r="H1341">
        <v>768.36578368999994</v>
      </c>
      <c r="I1341">
        <v>1951.0054932</v>
      </c>
      <c r="J1341">
        <v>1759.2872314000001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1069.5400400000001</v>
      </c>
      <c r="B1342" s="1">
        <f>DATE(2013,4,4) + TIME(12,57,39)</f>
        <v>41368.540034722224</v>
      </c>
      <c r="C1342">
        <v>80</v>
      </c>
      <c r="D1342">
        <v>59.086017609000002</v>
      </c>
      <c r="E1342">
        <v>50</v>
      </c>
      <c r="F1342">
        <v>49.971572876000003</v>
      </c>
      <c r="G1342">
        <v>924.96496581999997</v>
      </c>
      <c r="H1342">
        <v>764.96618651999995</v>
      </c>
      <c r="I1342">
        <v>1950.6331786999999</v>
      </c>
      <c r="J1342">
        <v>1758.9165039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1073.1031370000001</v>
      </c>
      <c r="B1343" s="1">
        <f>DATE(2013,4,8) + TIME(2,28,31)</f>
        <v>41372.103136574071</v>
      </c>
      <c r="C1343">
        <v>80</v>
      </c>
      <c r="D1343">
        <v>58.464023589999996</v>
      </c>
      <c r="E1343">
        <v>50</v>
      </c>
      <c r="F1343">
        <v>49.971660614000001</v>
      </c>
      <c r="G1343">
        <v>921.30841064000003</v>
      </c>
      <c r="H1343">
        <v>759.47222899999997</v>
      </c>
      <c r="I1343">
        <v>1950.2716064000001</v>
      </c>
      <c r="J1343">
        <v>1758.5567627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1076.6914260000001</v>
      </c>
      <c r="B1344" s="1">
        <f>DATE(2013,4,11) + TIME(16,35,39)</f>
        <v>41375.691423611112</v>
      </c>
      <c r="C1344">
        <v>80</v>
      </c>
      <c r="D1344">
        <v>57.803920746000003</v>
      </c>
      <c r="E1344">
        <v>50</v>
      </c>
      <c r="F1344">
        <v>49.971744536999999</v>
      </c>
      <c r="G1344">
        <v>917.49700928000004</v>
      </c>
      <c r="H1344">
        <v>753.67669678000004</v>
      </c>
      <c r="I1344">
        <v>1949.90625</v>
      </c>
      <c r="J1344">
        <v>1758.1931152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1080.3131209999999</v>
      </c>
      <c r="B1345" s="1">
        <f>DATE(2013,4,15) + TIME(7,30,53)</f>
        <v>41379.313113425924</v>
      </c>
      <c r="C1345">
        <v>80</v>
      </c>
      <c r="D1345">
        <v>57.128761292</v>
      </c>
      <c r="E1345">
        <v>50</v>
      </c>
      <c r="F1345">
        <v>49.971828461000001</v>
      </c>
      <c r="G1345">
        <v>913.60791015999996</v>
      </c>
      <c r="H1345">
        <v>747.72479248000002</v>
      </c>
      <c r="I1345">
        <v>1949.5390625</v>
      </c>
      <c r="J1345">
        <v>1757.8275146000001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1083.9766970000001</v>
      </c>
      <c r="B1346" s="1">
        <f>DATE(2013,4,18) + TIME(23,26,26)</f>
        <v>41382.976689814815</v>
      </c>
      <c r="C1346">
        <v>80</v>
      </c>
      <c r="D1346">
        <v>56.440227509000003</v>
      </c>
      <c r="E1346">
        <v>50</v>
      </c>
      <c r="F1346">
        <v>49.971912383999999</v>
      </c>
      <c r="G1346">
        <v>909.64428711000005</v>
      </c>
      <c r="H1346">
        <v>741.62414550999995</v>
      </c>
      <c r="I1346">
        <v>1949.1702881000001</v>
      </c>
      <c r="J1346">
        <v>1757.4604492000001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1087.6736940000001</v>
      </c>
      <c r="B1347" s="1">
        <f>DATE(2013,4,22) + TIME(16,10,7)</f>
        <v>41386.673692129632</v>
      </c>
      <c r="C1347">
        <v>80</v>
      </c>
      <c r="D1347">
        <v>55.740554809999999</v>
      </c>
      <c r="E1347">
        <v>50</v>
      </c>
      <c r="F1347">
        <v>49.971992493000002</v>
      </c>
      <c r="G1347">
        <v>905.60980225000003</v>
      </c>
      <c r="H1347">
        <v>735.38208008000004</v>
      </c>
      <c r="I1347">
        <v>1948.8005370999999</v>
      </c>
      <c r="J1347">
        <v>1757.0921631000001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1091.4116200000001</v>
      </c>
      <c r="B1348" s="1">
        <f>DATE(2013,4,26) + TIME(9,52,43)</f>
        <v>41390.411608796298</v>
      </c>
      <c r="C1348">
        <v>80</v>
      </c>
      <c r="D1348">
        <v>55.031261444000002</v>
      </c>
      <c r="E1348">
        <v>50</v>
      </c>
      <c r="F1348">
        <v>49.972076416</v>
      </c>
      <c r="G1348">
        <v>901.51403808999999</v>
      </c>
      <c r="H1348">
        <v>729.01171875</v>
      </c>
      <c r="I1348">
        <v>1948.4289550999999</v>
      </c>
      <c r="J1348">
        <v>1756.7219238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1095.199797</v>
      </c>
      <c r="B1349" s="1">
        <f>DATE(2013,4,30) + TIME(4,47,42)</f>
        <v>41394.199791666666</v>
      </c>
      <c r="C1349">
        <v>80</v>
      </c>
      <c r="D1349">
        <v>54.313465118000003</v>
      </c>
      <c r="E1349">
        <v>50</v>
      </c>
      <c r="F1349">
        <v>49.972160338999998</v>
      </c>
      <c r="G1349">
        <v>897.35760498000002</v>
      </c>
      <c r="H1349">
        <v>722.51452637</v>
      </c>
      <c r="I1349">
        <v>1948.0544434000001</v>
      </c>
      <c r="J1349">
        <v>1756.3488769999999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1096</v>
      </c>
      <c r="B1350" s="1">
        <f>DATE(2013,5,1) + TIME(0,0,0)</f>
        <v>41395</v>
      </c>
      <c r="C1350">
        <v>80</v>
      </c>
      <c r="D1350">
        <v>53.861831664999997</v>
      </c>
      <c r="E1350">
        <v>50</v>
      </c>
      <c r="F1350">
        <v>49.972156525000003</v>
      </c>
      <c r="G1350">
        <v>894.26098633000004</v>
      </c>
      <c r="H1350">
        <v>717.86779784999999</v>
      </c>
      <c r="I1350">
        <v>1947.9449463000001</v>
      </c>
      <c r="J1350">
        <v>1756.2398682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1096.0000010000001</v>
      </c>
      <c r="B1351" s="1">
        <f>DATE(2013,5,1) + TIME(0,0,0)</f>
        <v>41395</v>
      </c>
      <c r="C1351">
        <v>80</v>
      </c>
      <c r="D1351">
        <v>53.861885071000003</v>
      </c>
      <c r="E1351">
        <v>50</v>
      </c>
      <c r="F1351">
        <v>49.972141266000001</v>
      </c>
      <c r="G1351">
        <v>1070.2967529</v>
      </c>
      <c r="H1351">
        <v>894.27062988</v>
      </c>
      <c r="I1351">
        <v>1756.2301024999999</v>
      </c>
      <c r="J1351">
        <v>1564.5422363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1096.000004</v>
      </c>
      <c r="B1352" s="1">
        <f>DATE(2013,5,1) + TIME(0,0,0)</f>
        <v>41395</v>
      </c>
      <c r="C1352">
        <v>80</v>
      </c>
      <c r="D1352">
        <v>53.862041472999998</v>
      </c>
      <c r="E1352">
        <v>50</v>
      </c>
      <c r="F1352">
        <v>49.972095490000001</v>
      </c>
      <c r="G1352">
        <v>1070.3260498</v>
      </c>
      <c r="H1352">
        <v>894.29956055000002</v>
      </c>
      <c r="I1352">
        <v>1756.2005615</v>
      </c>
      <c r="J1352">
        <v>1564.5125731999999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1096.0000130000001</v>
      </c>
      <c r="B1353" s="1">
        <f>DATE(2013,5,1) + TIME(0,0,1)</f>
        <v>41395.000011574077</v>
      </c>
      <c r="C1353">
        <v>80</v>
      </c>
      <c r="D1353">
        <v>53.862518311000002</v>
      </c>
      <c r="E1353">
        <v>50</v>
      </c>
      <c r="F1353">
        <v>49.971961974999999</v>
      </c>
      <c r="G1353">
        <v>1070.4139404</v>
      </c>
      <c r="H1353">
        <v>894.38623046999999</v>
      </c>
      <c r="I1353">
        <v>1756.1121826000001</v>
      </c>
      <c r="J1353">
        <v>1564.4238281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1096.0000399999999</v>
      </c>
      <c r="B1354" s="1">
        <f>DATE(2013,5,1) + TIME(0,0,3)</f>
        <v>41395.000034722223</v>
      </c>
      <c r="C1354">
        <v>80</v>
      </c>
      <c r="D1354">
        <v>53.863941193000002</v>
      </c>
      <c r="E1354">
        <v>50</v>
      </c>
      <c r="F1354">
        <v>49.971561432000001</v>
      </c>
      <c r="G1354">
        <v>1070.6772461</v>
      </c>
      <c r="H1354">
        <v>894.64593506000006</v>
      </c>
      <c r="I1354">
        <v>1755.8474120999999</v>
      </c>
      <c r="J1354">
        <v>1564.1575928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1096.000121</v>
      </c>
      <c r="B1355" s="1">
        <f>DATE(2013,5,1) + TIME(0,0,10)</f>
        <v>41395.000115740739</v>
      </c>
      <c r="C1355">
        <v>80</v>
      </c>
      <c r="D1355">
        <v>53.868213654000002</v>
      </c>
      <c r="E1355">
        <v>50</v>
      </c>
      <c r="F1355">
        <v>49.970363616999997</v>
      </c>
      <c r="G1355">
        <v>1071.4637451000001</v>
      </c>
      <c r="H1355">
        <v>895.42218018000005</v>
      </c>
      <c r="I1355">
        <v>1755.0559082</v>
      </c>
      <c r="J1355">
        <v>1563.3621826000001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1096.000364</v>
      </c>
      <c r="B1356" s="1">
        <f>DATE(2013,5,1) + TIME(0,0,31)</f>
        <v>41395.000358796293</v>
      </c>
      <c r="C1356">
        <v>80</v>
      </c>
      <c r="D1356">
        <v>53.880977631</v>
      </c>
      <c r="E1356">
        <v>50</v>
      </c>
      <c r="F1356">
        <v>49.966815947999997</v>
      </c>
      <c r="G1356">
        <v>1073.7940673999999</v>
      </c>
      <c r="H1356">
        <v>897.72546387</v>
      </c>
      <c r="I1356">
        <v>1752.7082519999999</v>
      </c>
      <c r="J1356">
        <v>1561.0028076000001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1096.0010930000001</v>
      </c>
      <c r="B1357" s="1">
        <f>DATE(2013,5,1) + TIME(0,1,34)</f>
        <v>41395.001087962963</v>
      </c>
      <c r="C1357">
        <v>80</v>
      </c>
      <c r="D1357">
        <v>53.918907165999997</v>
      </c>
      <c r="E1357">
        <v>50</v>
      </c>
      <c r="F1357">
        <v>49.956527710000003</v>
      </c>
      <c r="G1357">
        <v>1080.5350341999999</v>
      </c>
      <c r="H1357">
        <v>904.41351318</v>
      </c>
      <c r="I1357">
        <v>1745.8966064000001</v>
      </c>
      <c r="J1357">
        <v>1554.1574707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1096.0032799999999</v>
      </c>
      <c r="B1358" s="1">
        <f>DATE(2013,5,1) + TIME(0,4,43)</f>
        <v>41395.003275462965</v>
      </c>
      <c r="C1358">
        <v>80</v>
      </c>
      <c r="D1358">
        <v>54.029144287000001</v>
      </c>
      <c r="E1358">
        <v>50</v>
      </c>
      <c r="F1358">
        <v>49.928409576</v>
      </c>
      <c r="G1358">
        <v>1098.7960204999999</v>
      </c>
      <c r="H1358">
        <v>922.68804932</v>
      </c>
      <c r="I1358">
        <v>1727.2949219</v>
      </c>
      <c r="J1358">
        <v>1535.4644774999999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1096.0098410000001</v>
      </c>
      <c r="B1359" s="1">
        <f>DATE(2013,5,1) + TIME(0,14,10)</f>
        <v>41395.009837962964</v>
      </c>
      <c r="C1359">
        <v>80</v>
      </c>
      <c r="D1359">
        <v>54.336536406999997</v>
      </c>
      <c r="E1359">
        <v>50</v>
      </c>
      <c r="F1359">
        <v>49.862049102999997</v>
      </c>
      <c r="G1359">
        <v>1141.1141356999999</v>
      </c>
      <c r="H1359">
        <v>965.63647461000005</v>
      </c>
      <c r="I1359">
        <v>1683.3974608999999</v>
      </c>
      <c r="J1359">
        <v>1491.3558350000001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1096.029524</v>
      </c>
      <c r="B1360" s="1">
        <f>DATE(2013,5,1) + TIME(0,42,30)</f>
        <v>41395.029513888891</v>
      </c>
      <c r="C1360">
        <v>80</v>
      </c>
      <c r="D1360">
        <v>55.139137267999999</v>
      </c>
      <c r="E1360">
        <v>50</v>
      </c>
      <c r="F1360">
        <v>49.742637633999998</v>
      </c>
      <c r="G1360">
        <v>1214.7366943</v>
      </c>
      <c r="H1360">
        <v>1041.6175536999999</v>
      </c>
      <c r="I1360">
        <v>1604.2266846</v>
      </c>
      <c r="J1360">
        <v>1411.8208007999999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1096.0535560000001</v>
      </c>
      <c r="B1361" s="1">
        <f>DATE(2013,5,1) + TIME(1,17,7)</f>
        <v>41395.053553240738</v>
      </c>
      <c r="C1361">
        <v>80</v>
      </c>
      <c r="D1361">
        <v>56.006225585999999</v>
      </c>
      <c r="E1361">
        <v>50</v>
      </c>
      <c r="F1361">
        <v>49.654197693</v>
      </c>
      <c r="G1361">
        <v>1267.9664307</v>
      </c>
      <c r="H1361">
        <v>1097.2606201000001</v>
      </c>
      <c r="I1361">
        <v>1544.7576904</v>
      </c>
      <c r="J1361">
        <v>1352.0939940999999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1096.079935</v>
      </c>
      <c r="B1362" s="1">
        <f>DATE(2013,5,1) + TIME(1,55,6)</f>
        <v>41395.079930555556</v>
      </c>
      <c r="C1362">
        <v>80</v>
      </c>
      <c r="D1362">
        <v>56.876747131000002</v>
      </c>
      <c r="E1362">
        <v>50</v>
      </c>
      <c r="F1362">
        <v>49.591808319000002</v>
      </c>
      <c r="G1362">
        <v>1305.2821045000001</v>
      </c>
      <c r="H1362">
        <v>1136.7952881000001</v>
      </c>
      <c r="I1362">
        <v>1501.6035156</v>
      </c>
      <c r="J1362">
        <v>1308.7634277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1096.1082919999999</v>
      </c>
      <c r="B1363" s="1">
        <f>DATE(2013,5,1) + TIME(2,35,56)</f>
        <v>41395.108287037037</v>
      </c>
      <c r="C1363">
        <v>80</v>
      </c>
      <c r="D1363">
        <v>57.749496460000003</v>
      </c>
      <c r="E1363">
        <v>50</v>
      </c>
      <c r="F1363">
        <v>49.545963286999999</v>
      </c>
      <c r="G1363">
        <v>1332.9232178</v>
      </c>
      <c r="H1363">
        <v>1166.5102539</v>
      </c>
      <c r="I1363">
        <v>1468.6633300999999</v>
      </c>
      <c r="J1363">
        <v>1275.6972656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1096.1383450000001</v>
      </c>
      <c r="B1364" s="1">
        <f>DATE(2013,5,1) + TIME(3,19,13)</f>
        <v>41395.138344907406</v>
      </c>
      <c r="C1364">
        <v>80</v>
      </c>
      <c r="D1364">
        <v>58.621158600000001</v>
      </c>
      <c r="E1364">
        <v>50</v>
      </c>
      <c r="F1364">
        <v>49.510860442999999</v>
      </c>
      <c r="G1364">
        <v>1354.4562988</v>
      </c>
      <c r="H1364">
        <v>1190.0064697</v>
      </c>
      <c r="I1364">
        <v>1442.324707</v>
      </c>
      <c r="J1364">
        <v>1249.2650146000001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1096.169922</v>
      </c>
      <c r="B1365" s="1">
        <f>DATE(2013,5,1) + TIME(4,4,41)</f>
        <v>41395.169918981483</v>
      </c>
      <c r="C1365">
        <v>80</v>
      </c>
      <c r="D1365">
        <v>59.488842009999999</v>
      </c>
      <c r="E1365">
        <v>50</v>
      </c>
      <c r="F1365">
        <v>49.483001709</v>
      </c>
      <c r="G1365">
        <v>1371.9383545000001</v>
      </c>
      <c r="H1365">
        <v>1209.3597411999999</v>
      </c>
      <c r="I1365">
        <v>1420.4423827999999</v>
      </c>
      <c r="J1365">
        <v>1227.3104248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1096.2029500000001</v>
      </c>
      <c r="B1366" s="1">
        <f>DATE(2013,5,1) + TIME(4,52,14)</f>
        <v>41395.202939814815</v>
      </c>
      <c r="C1366">
        <v>80</v>
      </c>
      <c r="D1366">
        <v>60.35062027</v>
      </c>
      <c r="E1366">
        <v>50</v>
      </c>
      <c r="F1366">
        <v>49.460227965999998</v>
      </c>
      <c r="G1366">
        <v>1386.6048584</v>
      </c>
      <c r="H1366">
        <v>1225.8181152</v>
      </c>
      <c r="I1366">
        <v>1401.6999512</v>
      </c>
      <c r="J1366">
        <v>1208.5111084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1096.237419</v>
      </c>
      <c r="B1367" s="1">
        <f>DATE(2013,5,1) + TIME(5,41,53)</f>
        <v>41395.23741898148</v>
      </c>
      <c r="C1367">
        <v>80</v>
      </c>
      <c r="D1367">
        <v>61.205379485999998</v>
      </c>
      <c r="E1367">
        <v>50</v>
      </c>
      <c r="F1367">
        <v>49.441162108999997</v>
      </c>
      <c r="G1367">
        <v>1399.2319336</v>
      </c>
      <c r="H1367">
        <v>1240.1662598</v>
      </c>
      <c r="I1367">
        <v>1385.2600098</v>
      </c>
      <c r="J1367">
        <v>1192.0252685999999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1096.273359</v>
      </c>
      <c r="B1368" s="1">
        <f>DATE(2013,5,1) + TIME(6,33,38)</f>
        <v>41395.273356481484</v>
      </c>
      <c r="C1368">
        <v>80</v>
      </c>
      <c r="D1368">
        <v>62.052764893000003</v>
      </c>
      <c r="E1368">
        <v>50</v>
      </c>
      <c r="F1368">
        <v>49.424884796000001</v>
      </c>
      <c r="G1368">
        <v>1410.3311768000001</v>
      </c>
      <c r="H1368">
        <v>1252.9229736</v>
      </c>
      <c r="I1368">
        <v>1370.5665283000001</v>
      </c>
      <c r="J1368">
        <v>1177.2941894999999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1096.310829</v>
      </c>
      <c r="B1369" s="1">
        <f>DATE(2013,5,1) + TIME(7,27,35)</f>
        <v>41395.31082175926</v>
      </c>
      <c r="C1369">
        <v>80</v>
      </c>
      <c r="D1369">
        <v>62.892276764000002</v>
      </c>
      <c r="E1369">
        <v>50</v>
      </c>
      <c r="F1369">
        <v>49.410755156999997</v>
      </c>
      <c r="G1369">
        <v>1420.2558594</v>
      </c>
      <c r="H1369">
        <v>1264.4471435999999</v>
      </c>
      <c r="I1369">
        <v>1357.2342529</v>
      </c>
      <c r="J1369">
        <v>1163.9309082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1096.3499119999999</v>
      </c>
      <c r="B1370" s="1">
        <f>DATE(2013,5,1) + TIME(8,23,52)</f>
        <v>41395.349907407406</v>
      </c>
      <c r="C1370">
        <v>80</v>
      </c>
      <c r="D1370">
        <v>63.723476410000004</v>
      </c>
      <c r="E1370">
        <v>50</v>
      </c>
      <c r="F1370">
        <v>49.398311614999997</v>
      </c>
      <c r="G1370">
        <v>1429.2598877</v>
      </c>
      <c r="H1370">
        <v>1274.9969481999999</v>
      </c>
      <c r="I1370">
        <v>1344.9859618999999</v>
      </c>
      <c r="J1370">
        <v>1151.6564940999999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1096.390709</v>
      </c>
      <c r="B1371" s="1">
        <f>DATE(2013,5,1) + TIME(9,22,37)</f>
        <v>41395.390706018516</v>
      </c>
      <c r="C1371">
        <v>80</v>
      </c>
      <c r="D1371">
        <v>64.545967102000006</v>
      </c>
      <c r="E1371">
        <v>50</v>
      </c>
      <c r="F1371">
        <v>49.387207031000003</v>
      </c>
      <c r="G1371">
        <v>1437.5317382999999</v>
      </c>
      <c r="H1371">
        <v>1284.7642822</v>
      </c>
      <c r="I1371">
        <v>1333.6151123</v>
      </c>
      <c r="J1371">
        <v>1140.2639160000001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1096.4333449999999</v>
      </c>
      <c r="B1372" s="1">
        <f>DATE(2013,5,1) + TIME(10,24,1)</f>
        <v>41395.433344907404</v>
      </c>
      <c r="C1372">
        <v>80</v>
      </c>
      <c r="D1372">
        <v>65.359428406000006</v>
      </c>
      <c r="E1372">
        <v>50</v>
      </c>
      <c r="F1372">
        <v>49.377174377000003</v>
      </c>
      <c r="G1372">
        <v>1445.2155762</v>
      </c>
      <c r="H1372">
        <v>1293.8961182</v>
      </c>
      <c r="I1372">
        <v>1322.9636230000001</v>
      </c>
      <c r="J1372">
        <v>1129.5939940999999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1096.4779659999999</v>
      </c>
      <c r="B1373" s="1">
        <f>DATE(2013,5,1) + TIME(11,28,16)</f>
        <v>41395.477962962963</v>
      </c>
      <c r="C1373">
        <v>80</v>
      </c>
      <c r="D1373">
        <v>66.163490295000003</v>
      </c>
      <c r="E1373">
        <v>50</v>
      </c>
      <c r="F1373">
        <v>49.368000031000001</v>
      </c>
      <c r="G1373">
        <v>1452.4246826000001</v>
      </c>
      <c r="H1373">
        <v>1302.5080565999999</v>
      </c>
      <c r="I1373">
        <v>1312.9067382999999</v>
      </c>
      <c r="J1373">
        <v>1119.5213623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1096.5247489999999</v>
      </c>
      <c r="B1374" s="1">
        <f>DATE(2013,5,1) + TIME(12,35,38)</f>
        <v>41395.524745370371</v>
      </c>
      <c r="C1374">
        <v>80</v>
      </c>
      <c r="D1374">
        <v>66.957786560000002</v>
      </c>
      <c r="E1374">
        <v>50</v>
      </c>
      <c r="F1374">
        <v>49.359504700000002</v>
      </c>
      <c r="G1374">
        <v>1459.2517089999999</v>
      </c>
      <c r="H1374">
        <v>1310.6948242000001</v>
      </c>
      <c r="I1374">
        <v>1303.3425293</v>
      </c>
      <c r="J1374">
        <v>1109.9438477000001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1096.5739080000001</v>
      </c>
      <c r="B1375" s="1">
        <f>DATE(2013,5,1) + TIME(13,46,25)</f>
        <v>41395.573900462965</v>
      </c>
      <c r="C1375">
        <v>80</v>
      </c>
      <c r="D1375">
        <v>67.742050171000002</v>
      </c>
      <c r="E1375">
        <v>50</v>
      </c>
      <c r="F1375">
        <v>49.351543427000003</v>
      </c>
      <c r="G1375">
        <v>1465.7735596</v>
      </c>
      <c r="H1375">
        <v>1318.5350341999999</v>
      </c>
      <c r="I1375">
        <v>1294.1862793</v>
      </c>
      <c r="J1375">
        <v>1100.7761230000001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1096.6256539999999</v>
      </c>
      <c r="B1376" s="1">
        <f>DATE(2013,5,1) + TIME(15,0,56)</f>
        <v>41395.625648148147</v>
      </c>
      <c r="C1376">
        <v>80</v>
      </c>
      <c r="D1376">
        <v>68.515487671000002</v>
      </c>
      <c r="E1376">
        <v>50</v>
      </c>
      <c r="F1376">
        <v>49.343994141000003</v>
      </c>
      <c r="G1376">
        <v>1472.0506591999999</v>
      </c>
      <c r="H1376">
        <v>1326.0902100000001</v>
      </c>
      <c r="I1376">
        <v>1285.3719481999999</v>
      </c>
      <c r="J1376">
        <v>1091.9520264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1096.680261</v>
      </c>
      <c r="B1377" s="1">
        <f>DATE(2013,5,1) + TIME(16,19,34)</f>
        <v>41395.680254629631</v>
      </c>
      <c r="C1377">
        <v>80</v>
      </c>
      <c r="D1377">
        <v>69.277595520000006</v>
      </c>
      <c r="E1377">
        <v>50</v>
      </c>
      <c r="F1377">
        <v>49.336742401000002</v>
      </c>
      <c r="G1377">
        <v>1478.1385498</v>
      </c>
      <c r="H1377">
        <v>1333.4168701000001</v>
      </c>
      <c r="I1377">
        <v>1276.8391113</v>
      </c>
      <c r="J1377">
        <v>1083.4105225000001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1096.7380479999999</v>
      </c>
      <c r="B1378" s="1">
        <f>DATE(2013,5,1) + TIME(17,42,47)</f>
        <v>41395.738043981481</v>
      </c>
      <c r="C1378">
        <v>80</v>
      </c>
      <c r="D1378">
        <v>70.027839661000002</v>
      </c>
      <c r="E1378">
        <v>50</v>
      </c>
      <c r="F1378">
        <v>49.329685210999997</v>
      </c>
      <c r="G1378">
        <v>1484.0859375</v>
      </c>
      <c r="H1378">
        <v>1340.5650635</v>
      </c>
      <c r="I1378">
        <v>1268.5341797000001</v>
      </c>
      <c r="J1378">
        <v>1075.0980225000001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1096.799397</v>
      </c>
      <c r="B1379" s="1">
        <f>DATE(2013,5,1) + TIME(19,11,7)</f>
        <v>41395.799386574072</v>
      </c>
      <c r="C1379">
        <v>80</v>
      </c>
      <c r="D1379">
        <v>70.765129088999998</v>
      </c>
      <c r="E1379">
        <v>50</v>
      </c>
      <c r="F1379">
        <v>49.322723388999997</v>
      </c>
      <c r="G1379">
        <v>1489.9378661999999</v>
      </c>
      <c r="H1379">
        <v>1347.5803223</v>
      </c>
      <c r="I1379">
        <v>1260.4084473</v>
      </c>
      <c r="J1379">
        <v>1066.9655762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1096.8647450000001</v>
      </c>
      <c r="B1380" s="1">
        <f>DATE(2013,5,1) + TIME(20,45,13)</f>
        <v>41395.864733796298</v>
      </c>
      <c r="C1380">
        <v>80</v>
      </c>
      <c r="D1380">
        <v>71.489128113000007</v>
      </c>
      <c r="E1380">
        <v>50</v>
      </c>
      <c r="F1380">
        <v>49.315769195999998</v>
      </c>
      <c r="G1380">
        <v>1495.7353516000001</v>
      </c>
      <c r="H1380">
        <v>1354.5041504000001</v>
      </c>
      <c r="I1380">
        <v>1252.4182129000001</v>
      </c>
      <c r="J1380">
        <v>1058.9692382999999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1096.934655</v>
      </c>
      <c r="B1381" s="1">
        <f>DATE(2013,5,1) + TIME(22,25,54)</f>
        <v>41395.934652777774</v>
      </c>
      <c r="C1381">
        <v>80</v>
      </c>
      <c r="D1381">
        <v>72.199272156000006</v>
      </c>
      <c r="E1381">
        <v>50</v>
      </c>
      <c r="F1381">
        <v>49.308723450000002</v>
      </c>
      <c r="G1381">
        <v>1501.5205077999999</v>
      </c>
      <c r="H1381">
        <v>1361.3797606999999</v>
      </c>
      <c r="I1381">
        <v>1244.5177002</v>
      </c>
      <c r="J1381">
        <v>1051.0631103999999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1097.0097949999999</v>
      </c>
      <c r="B1382" s="1">
        <f>DATE(2013,5,2) + TIME(0,14,6)</f>
        <v>41396.009791666664</v>
      </c>
      <c r="C1382">
        <v>80</v>
      </c>
      <c r="D1382">
        <v>72.894752502000003</v>
      </c>
      <c r="E1382">
        <v>50</v>
      </c>
      <c r="F1382">
        <v>49.301490784000002</v>
      </c>
      <c r="G1382">
        <v>1507.3349608999999</v>
      </c>
      <c r="H1382">
        <v>1368.2490233999999</v>
      </c>
      <c r="I1382">
        <v>1236.6632079999999</v>
      </c>
      <c r="J1382">
        <v>1043.2032471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1097.090991</v>
      </c>
      <c r="B1383" s="1">
        <f>DATE(2013,5,2) + TIME(2,11,1)</f>
        <v>41396.090983796297</v>
      </c>
      <c r="C1383">
        <v>80</v>
      </c>
      <c r="D1383">
        <v>73.574630737000007</v>
      </c>
      <c r="E1383">
        <v>50</v>
      </c>
      <c r="F1383">
        <v>49.293960571</v>
      </c>
      <c r="G1383">
        <v>1513.2224120999999</v>
      </c>
      <c r="H1383">
        <v>1375.1556396000001</v>
      </c>
      <c r="I1383">
        <v>1228.8096923999999</v>
      </c>
      <c r="J1383">
        <v>1035.3442382999999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1097.1792760000001</v>
      </c>
      <c r="B1384" s="1">
        <f>DATE(2013,5,2) + TIME(4,18,9)</f>
        <v>41396.179270833331</v>
      </c>
      <c r="C1384">
        <v>80</v>
      </c>
      <c r="D1384">
        <v>74.237846375000004</v>
      </c>
      <c r="E1384">
        <v>50</v>
      </c>
      <c r="F1384">
        <v>49.286014557000001</v>
      </c>
      <c r="G1384">
        <v>1519.2301024999999</v>
      </c>
      <c r="H1384">
        <v>1382.1469727000001</v>
      </c>
      <c r="I1384">
        <v>1220.9085693</v>
      </c>
      <c r="J1384">
        <v>1027.4375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1097.2760229999999</v>
      </c>
      <c r="B1385" s="1">
        <f>DATE(2013,5,2) + TIME(6,37,28)</f>
        <v>41396.276018518518</v>
      </c>
      <c r="C1385">
        <v>80</v>
      </c>
      <c r="D1385">
        <v>74.883468628000003</v>
      </c>
      <c r="E1385">
        <v>50</v>
      </c>
      <c r="F1385">
        <v>49.277519226000003</v>
      </c>
      <c r="G1385">
        <v>1525.4146728999999</v>
      </c>
      <c r="H1385">
        <v>1389.2801514</v>
      </c>
      <c r="I1385">
        <v>1212.9016113</v>
      </c>
      <c r="J1385">
        <v>1019.4246216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1097.38293</v>
      </c>
      <c r="B1386" s="1">
        <f>DATE(2013,5,2) + TIME(9,11,25)</f>
        <v>41396.382928240739</v>
      </c>
      <c r="C1386">
        <v>80</v>
      </c>
      <c r="D1386">
        <v>75.509452820000007</v>
      </c>
      <c r="E1386">
        <v>50</v>
      </c>
      <c r="F1386">
        <v>49.268302917</v>
      </c>
      <c r="G1386">
        <v>1531.8372803</v>
      </c>
      <c r="H1386">
        <v>1396.6151123</v>
      </c>
      <c r="I1386">
        <v>1204.7285156</v>
      </c>
      <c r="J1386">
        <v>1011.244873</v>
      </c>
      <c r="K1386">
        <v>2400</v>
      </c>
      <c r="L1386">
        <v>0</v>
      </c>
      <c r="M1386">
        <v>0</v>
      </c>
      <c r="N1386">
        <v>2400</v>
      </c>
    </row>
    <row r="1387" spans="1:14" x14ac:dyDescent="0.25">
      <c r="A1387">
        <v>1097.502258</v>
      </c>
      <c r="B1387" s="1">
        <f>DATE(2013,5,2) + TIME(12,3,15)</f>
        <v>41396.502256944441</v>
      </c>
      <c r="C1387">
        <v>80</v>
      </c>
      <c r="D1387">
        <v>76.114143372000001</v>
      </c>
      <c r="E1387">
        <v>50</v>
      </c>
      <c r="F1387">
        <v>49.258174896</v>
      </c>
      <c r="G1387">
        <v>1538.5722656</v>
      </c>
      <c r="H1387">
        <v>1404.2255858999999</v>
      </c>
      <c r="I1387">
        <v>1196.3156738</v>
      </c>
      <c r="J1387">
        <v>1002.8245239</v>
      </c>
      <c r="K1387">
        <v>2400</v>
      </c>
      <c r="L1387">
        <v>0</v>
      </c>
      <c r="M1387">
        <v>0</v>
      </c>
      <c r="N1387">
        <v>2400</v>
      </c>
    </row>
    <row r="1388" spans="1:14" x14ac:dyDescent="0.25">
      <c r="A1388">
        <v>1097.6283209999999</v>
      </c>
      <c r="B1388" s="1">
        <f>DATE(2013,5,2) + TIME(15,4,46)</f>
        <v>41396.628310185188</v>
      </c>
      <c r="C1388">
        <v>80</v>
      </c>
      <c r="D1388">
        <v>76.662796021000005</v>
      </c>
      <c r="E1388">
        <v>50</v>
      </c>
      <c r="F1388">
        <v>49.247451781999999</v>
      </c>
      <c r="G1388">
        <v>1545.2607422000001</v>
      </c>
      <c r="H1388">
        <v>1411.7022704999999</v>
      </c>
      <c r="I1388">
        <v>1188.0982666</v>
      </c>
      <c r="J1388">
        <v>994.59918213000003</v>
      </c>
      <c r="K1388">
        <v>2400</v>
      </c>
      <c r="L1388">
        <v>0</v>
      </c>
      <c r="M1388">
        <v>0</v>
      </c>
      <c r="N1388">
        <v>2400</v>
      </c>
    </row>
    <row r="1389" spans="1:14" x14ac:dyDescent="0.25">
      <c r="A1389">
        <v>1097.754899</v>
      </c>
      <c r="B1389" s="1">
        <f>DATE(2013,5,2) + TIME(18,7,3)</f>
        <v>41396.754895833335</v>
      </c>
      <c r="C1389">
        <v>80</v>
      </c>
      <c r="D1389">
        <v>77.135589600000003</v>
      </c>
      <c r="E1389">
        <v>50</v>
      </c>
      <c r="F1389">
        <v>49.236534118999998</v>
      </c>
      <c r="G1389">
        <v>1551.5949707</v>
      </c>
      <c r="H1389">
        <v>1418.7126464999999</v>
      </c>
      <c r="I1389">
        <v>1180.4266356999999</v>
      </c>
      <c r="J1389">
        <v>986.91912841999999</v>
      </c>
      <c r="K1389">
        <v>2400</v>
      </c>
      <c r="L1389">
        <v>0</v>
      </c>
      <c r="M1389">
        <v>0</v>
      </c>
      <c r="N1389">
        <v>2400</v>
      </c>
    </row>
    <row r="1390" spans="1:14" x14ac:dyDescent="0.25">
      <c r="A1390">
        <v>1097.882971</v>
      </c>
      <c r="B1390" s="1">
        <f>DATE(2013,5,2) + TIME(21,11,28)</f>
        <v>41396.882962962962</v>
      </c>
      <c r="C1390">
        <v>80</v>
      </c>
      <c r="D1390">
        <v>77.545486449999999</v>
      </c>
      <c r="E1390">
        <v>50</v>
      </c>
      <c r="F1390">
        <v>49.225372313999998</v>
      </c>
      <c r="G1390">
        <v>1557.6690673999999</v>
      </c>
      <c r="H1390">
        <v>1425.3734131000001</v>
      </c>
      <c r="I1390">
        <v>1173.1787108999999</v>
      </c>
      <c r="J1390">
        <v>979.66204833999996</v>
      </c>
      <c r="K1390">
        <v>2400</v>
      </c>
      <c r="L1390">
        <v>0</v>
      </c>
      <c r="M1390">
        <v>0</v>
      </c>
      <c r="N1390">
        <v>2400</v>
      </c>
    </row>
    <row r="1391" spans="1:14" x14ac:dyDescent="0.25">
      <c r="A1391">
        <v>1098.0131100000001</v>
      </c>
      <c r="B1391" s="1">
        <f>DATE(2013,5,3) + TIME(0,18,52)</f>
        <v>41397.013101851851</v>
      </c>
      <c r="C1391">
        <v>80</v>
      </c>
      <c r="D1391">
        <v>77.901550293</v>
      </c>
      <c r="E1391">
        <v>50</v>
      </c>
      <c r="F1391">
        <v>49.213939666999998</v>
      </c>
      <c r="G1391">
        <v>1563.5375977000001</v>
      </c>
      <c r="H1391">
        <v>1431.7526855000001</v>
      </c>
      <c r="I1391">
        <v>1166.2768555</v>
      </c>
      <c r="J1391">
        <v>972.75042725000003</v>
      </c>
      <c r="K1391">
        <v>2400</v>
      </c>
      <c r="L1391">
        <v>0</v>
      </c>
      <c r="M1391">
        <v>0</v>
      </c>
      <c r="N1391">
        <v>2400</v>
      </c>
    </row>
    <row r="1392" spans="1:14" x14ac:dyDescent="0.25">
      <c r="A1392">
        <v>1098.1458950000001</v>
      </c>
      <c r="B1392" s="1">
        <f>DATE(2013,5,3) + TIME(3,30,5)</f>
        <v>41397.145891203705</v>
      </c>
      <c r="C1392">
        <v>80</v>
      </c>
      <c r="D1392">
        <v>78.211204529</v>
      </c>
      <c r="E1392">
        <v>50</v>
      </c>
      <c r="F1392">
        <v>49.202217101999999</v>
      </c>
      <c r="G1392">
        <v>1569.2434082</v>
      </c>
      <c r="H1392">
        <v>1437.9044189000001</v>
      </c>
      <c r="I1392">
        <v>1159.6577147999999</v>
      </c>
      <c r="J1392">
        <v>966.12097168000003</v>
      </c>
      <c r="K1392">
        <v>2400</v>
      </c>
      <c r="L1392">
        <v>0</v>
      </c>
      <c r="M1392">
        <v>0</v>
      </c>
      <c r="N1392">
        <v>2400</v>
      </c>
    </row>
    <row r="1393" spans="1:14" x14ac:dyDescent="0.25">
      <c r="A1393">
        <v>1098.281909</v>
      </c>
      <c r="B1393" s="1">
        <f>DATE(2013,5,3) + TIME(6,45,56)</f>
        <v>41397.281898148147</v>
      </c>
      <c r="C1393">
        <v>80</v>
      </c>
      <c r="D1393">
        <v>78.480590820000003</v>
      </c>
      <c r="E1393">
        <v>50</v>
      </c>
      <c r="F1393">
        <v>49.190174102999997</v>
      </c>
      <c r="G1393">
        <v>1574.8210449000001</v>
      </c>
      <c r="H1393">
        <v>1443.8724365</v>
      </c>
      <c r="I1393">
        <v>1153.2692870999999</v>
      </c>
      <c r="J1393">
        <v>959.72155762</v>
      </c>
      <c r="K1393">
        <v>2400</v>
      </c>
      <c r="L1393">
        <v>0</v>
      </c>
      <c r="M1393">
        <v>0</v>
      </c>
      <c r="N1393">
        <v>2400</v>
      </c>
    </row>
    <row r="1394" spans="1:14" x14ac:dyDescent="0.25">
      <c r="A1394">
        <v>1098.4217920000001</v>
      </c>
      <c r="B1394" s="1">
        <f>DATE(2013,5,3) + TIME(10,7,22)</f>
        <v>41397.421782407408</v>
      </c>
      <c r="C1394">
        <v>80</v>
      </c>
      <c r="D1394">
        <v>78.714859008999994</v>
      </c>
      <c r="E1394">
        <v>50</v>
      </c>
      <c r="F1394">
        <v>49.177780151</v>
      </c>
      <c r="G1394">
        <v>1580.3009033000001</v>
      </c>
      <c r="H1394">
        <v>1449.6948242000001</v>
      </c>
      <c r="I1394">
        <v>1147.0664062000001</v>
      </c>
      <c r="J1394">
        <v>953.50720215000001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1098.566235</v>
      </c>
      <c r="B1395" s="1">
        <f>DATE(2013,5,3) + TIME(13,35,22)</f>
        <v>41397.56622685185</v>
      </c>
      <c r="C1395">
        <v>80</v>
      </c>
      <c r="D1395">
        <v>78.918395996000001</v>
      </c>
      <c r="E1395">
        <v>50</v>
      </c>
      <c r="F1395">
        <v>49.164997100999997</v>
      </c>
      <c r="G1395">
        <v>1585.7099608999999</v>
      </c>
      <c r="H1395">
        <v>1455.4044189000001</v>
      </c>
      <c r="I1395">
        <v>1141.0097656</v>
      </c>
      <c r="J1395">
        <v>947.43853760000002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1098.715876</v>
      </c>
      <c r="B1396" s="1">
        <f>DATE(2013,5,3) + TIME(17,10,51)</f>
        <v>41397.715868055559</v>
      </c>
      <c r="C1396">
        <v>80</v>
      </c>
      <c r="D1396">
        <v>79.094787597999996</v>
      </c>
      <c r="E1396">
        <v>50</v>
      </c>
      <c r="F1396">
        <v>49.151794434000003</v>
      </c>
      <c r="G1396">
        <v>1591.0678711</v>
      </c>
      <c r="H1396">
        <v>1461.0263672000001</v>
      </c>
      <c r="I1396">
        <v>1135.0693358999999</v>
      </c>
      <c r="J1396">
        <v>941.48553466999999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1098.8710129999999</v>
      </c>
      <c r="B1397" s="1">
        <f>DATE(2013,5,3) + TIME(20,54,15)</f>
        <v>41397.871006944442</v>
      </c>
      <c r="C1397">
        <v>80</v>
      </c>
      <c r="D1397">
        <v>79.246841431000007</v>
      </c>
      <c r="E1397">
        <v>50</v>
      </c>
      <c r="F1397">
        <v>49.138164519999997</v>
      </c>
      <c r="G1397">
        <v>1596.3786620999999</v>
      </c>
      <c r="H1397">
        <v>1466.5683594</v>
      </c>
      <c r="I1397">
        <v>1129.2321777</v>
      </c>
      <c r="J1397">
        <v>935.63549805000002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1099.03215</v>
      </c>
      <c r="B1398" s="1">
        <f>DATE(2013,5,4) + TIME(0,46,17)</f>
        <v>41398.032141203701</v>
      </c>
      <c r="C1398">
        <v>80</v>
      </c>
      <c r="D1398">
        <v>79.377288817999997</v>
      </c>
      <c r="E1398">
        <v>50</v>
      </c>
      <c r="F1398">
        <v>49.124080657999997</v>
      </c>
      <c r="G1398">
        <v>1601.6520995999999</v>
      </c>
      <c r="H1398">
        <v>1472.0441894999999</v>
      </c>
      <c r="I1398">
        <v>1123.4812012</v>
      </c>
      <c r="J1398">
        <v>929.87103271000001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1099.200126</v>
      </c>
      <c r="B1399" s="1">
        <f>DATE(2013,5,4) + TIME(4,48,10)</f>
        <v>41398.200115740743</v>
      </c>
      <c r="C1399">
        <v>80</v>
      </c>
      <c r="D1399">
        <v>79.488754271999994</v>
      </c>
      <c r="E1399">
        <v>50</v>
      </c>
      <c r="F1399">
        <v>49.109504700000002</v>
      </c>
      <c r="G1399">
        <v>1606.9060059000001</v>
      </c>
      <c r="H1399">
        <v>1477.4752197</v>
      </c>
      <c r="I1399">
        <v>1117.7912598</v>
      </c>
      <c r="J1399">
        <v>924.16723633000004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1099.3758780000001</v>
      </c>
      <c r="B1400" s="1">
        <f>DATE(2013,5,4) + TIME(9,1,15)</f>
        <v>41398.375868055555</v>
      </c>
      <c r="C1400">
        <v>80</v>
      </c>
      <c r="D1400">
        <v>79.583549500000004</v>
      </c>
      <c r="E1400">
        <v>50</v>
      </c>
      <c r="F1400">
        <v>49.09437561</v>
      </c>
      <c r="G1400">
        <v>1612.1568603999999</v>
      </c>
      <c r="H1400">
        <v>1482.8811035000001</v>
      </c>
      <c r="I1400">
        <v>1112.1392822</v>
      </c>
      <c r="J1400">
        <v>918.50097656000003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1099.5604920000001</v>
      </c>
      <c r="B1401" s="1">
        <f>DATE(2013,5,4) + TIME(13,27,6)</f>
        <v>41398.560486111113</v>
      </c>
      <c r="C1401">
        <v>80</v>
      </c>
      <c r="D1401">
        <v>79.663688660000005</v>
      </c>
      <c r="E1401">
        <v>50</v>
      </c>
      <c r="F1401">
        <v>49.078632355000003</v>
      </c>
      <c r="G1401">
        <v>1617.4210204999999</v>
      </c>
      <c r="H1401">
        <v>1488.2810059000001</v>
      </c>
      <c r="I1401">
        <v>1106.5029297000001</v>
      </c>
      <c r="J1401">
        <v>912.84973145000004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1099.755191</v>
      </c>
      <c r="B1402" s="1">
        <f>DATE(2013,5,4) + TIME(18,7,28)</f>
        <v>41398.755185185182</v>
      </c>
      <c r="C1402">
        <v>80</v>
      </c>
      <c r="D1402">
        <v>79.730949401999993</v>
      </c>
      <c r="E1402">
        <v>50</v>
      </c>
      <c r="F1402">
        <v>49.062210082999997</v>
      </c>
      <c r="G1402">
        <v>1622.7138672000001</v>
      </c>
      <c r="H1402">
        <v>1493.692749</v>
      </c>
      <c r="I1402">
        <v>1100.8609618999999</v>
      </c>
      <c r="J1402">
        <v>907.19238281000003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1099.9615020000001</v>
      </c>
      <c r="B1403" s="1">
        <f>DATE(2013,5,4) + TIME(23,4,33)</f>
        <v>41398.961493055554</v>
      </c>
      <c r="C1403">
        <v>80</v>
      </c>
      <c r="D1403">
        <v>79.786949157999999</v>
      </c>
      <c r="E1403">
        <v>50</v>
      </c>
      <c r="F1403">
        <v>49.045009612999998</v>
      </c>
      <c r="G1403">
        <v>1628.0541992000001</v>
      </c>
      <c r="H1403">
        <v>1499.1373291</v>
      </c>
      <c r="I1403">
        <v>1095.1894531</v>
      </c>
      <c r="J1403">
        <v>901.50500488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1100.181223</v>
      </c>
      <c r="B1404" s="1">
        <f>DATE(2013,5,5) + TIME(4,20,57)</f>
        <v>41399.181215277778</v>
      </c>
      <c r="C1404">
        <v>80</v>
      </c>
      <c r="D1404">
        <v>79.833099364999995</v>
      </c>
      <c r="E1404">
        <v>50</v>
      </c>
      <c r="F1404">
        <v>49.026931763</v>
      </c>
      <c r="G1404">
        <v>1633.4605713000001</v>
      </c>
      <c r="H1404">
        <v>1504.635376</v>
      </c>
      <c r="I1404">
        <v>1089.4642334</v>
      </c>
      <c r="J1404">
        <v>895.76324463000003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1100.41653</v>
      </c>
      <c r="B1405" s="1">
        <f>DATE(2013,5,5) + TIME(9,59,48)</f>
        <v>41399.416527777779</v>
      </c>
      <c r="C1405">
        <v>80</v>
      </c>
      <c r="D1405">
        <v>79.870681762999993</v>
      </c>
      <c r="E1405">
        <v>50</v>
      </c>
      <c r="F1405">
        <v>49.007846831999998</v>
      </c>
      <c r="G1405">
        <v>1638.9542236</v>
      </c>
      <c r="H1405">
        <v>1510.2098389</v>
      </c>
      <c r="I1405">
        <v>1083.6593018000001</v>
      </c>
      <c r="J1405">
        <v>889.94104003999996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1100.670106</v>
      </c>
      <c r="B1406" s="1">
        <f>DATE(2013,5,5) + TIME(16,4,57)</f>
        <v>41399.670104166667</v>
      </c>
      <c r="C1406">
        <v>80</v>
      </c>
      <c r="D1406">
        <v>79.900833129999995</v>
      </c>
      <c r="E1406">
        <v>50</v>
      </c>
      <c r="F1406">
        <v>48.987590789999999</v>
      </c>
      <c r="G1406">
        <v>1644.5584716999999</v>
      </c>
      <c r="H1406">
        <v>1515.8858643000001</v>
      </c>
      <c r="I1406">
        <v>1077.7456055</v>
      </c>
      <c r="J1406">
        <v>884.00939941000001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1100.9258729999999</v>
      </c>
      <c r="B1407" s="1">
        <f>DATE(2013,5,5) + TIME(22,13,15)</f>
        <v>41399.925868055558</v>
      </c>
      <c r="C1407">
        <v>80</v>
      </c>
      <c r="D1407">
        <v>79.923278808999996</v>
      </c>
      <c r="E1407">
        <v>50</v>
      </c>
      <c r="F1407">
        <v>48.967086792000003</v>
      </c>
      <c r="G1407">
        <v>1649.8892822</v>
      </c>
      <c r="H1407">
        <v>1521.2788086</v>
      </c>
      <c r="I1407">
        <v>1072.0942382999999</v>
      </c>
      <c r="J1407">
        <v>878.34069824000005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1101.1833879999999</v>
      </c>
      <c r="B1408" s="1">
        <f>DATE(2013,5,6) + TIME(4,24,4)</f>
        <v>41400.183379629627</v>
      </c>
      <c r="C1408">
        <v>80</v>
      </c>
      <c r="D1408">
        <v>79.939880371000001</v>
      </c>
      <c r="E1408">
        <v>50</v>
      </c>
      <c r="F1408">
        <v>48.946426391999999</v>
      </c>
      <c r="G1408">
        <v>1654.9724120999999</v>
      </c>
      <c r="H1408">
        <v>1526.4155272999999</v>
      </c>
      <c r="I1408">
        <v>1066.6949463000001</v>
      </c>
      <c r="J1408">
        <v>872.92395020000004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1101.44391</v>
      </c>
      <c r="B1409" s="1">
        <f>DATE(2013,5,6) + TIME(10,39,13)</f>
        <v>41400.44390046296</v>
      </c>
      <c r="C1409">
        <v>80</v>
      </c>
      <c r="D1409">
        <v>79.952102660999998</v>
      </c>
      <c r="E1409">
        <v>50</v>
      </c>
      <c r="F1409">
        <v>48.925586699999997</v>
      </c>
      <c r="G1409">
        <v>1659.8533935999999</v>
      </c>
      <c r="H1409">
        <v>1531.3435059000001</v>
      </c>
      <c r="I1409">
        <v>1061.5045166</v>
      </c>
      <c r="J1409">
        <v>867.71612548999997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1101.7086200000001</v>
      </c>
      <c r="B1410" s="1">
        <f>DATE(2013,5,6) + TIME(17,0,24)</f>
        <v>41400.708611111113</v>
      </c>
      <c r="C1410">
        <v>80</v>
      </c>
      <c r="D1410">
        <v>79.961013793999996</v>
      </c>
      <c r="E1410">
        <v>50</v>
      </c>
      <c r="F1410">
        <v>48.904521942000002</v>
      </c>
      <c r="G1410">
        <v>1664.5651855000001</v>
      </c>
      <c r="H1410">
        <v>1536.0972899999999</v>
      </c>
      <c r="I1410">
        <v>1056.4880370999999</v>
      </c>
      <c r="J1410">
        <v>862.68212890999996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1101.9786790000001</v>
      </c>
      <c r="B1411" s="1">
        <f>DATE(2013,5,6) + TIME(23,29,17)</f>
        <v>41400.978668981479</v>
      </c>
      <c r="C1411">
        <v>80</v>
      </c>
      <c r="D1411">
        <v>79.967422485</v>
      </c>
      <c r="E1411">
        <v>50</v>
      </c>
      <c r="F1411">
        <v>48.883182525999999</v>
      </c>
      <c r="G1411">
        <v>1669.1346435999999</v>
      </c>
      <c r="H1411">
        <v>1540.7047118999999</v>
      </c>
      <c r="I1411">
        <v>1051.6159668</v>
      </c>
      <c r="J1411">
        <v>857.79254149999997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1102.2553190000001</v>
      </c>
      <c r="B1412" s="1">
        <f>DATE(2013,5,7) + TIME(6,7,39)</f>
        <v>41401.255312499998</v>
      </c>
      <c r="C1412">
        <v>80</v>
      </c>
      <c r="D1412">
        <v>79.971916199000006</v>
      </c>
      <c r="E1412">
        <v>50</v>
      </c>
      <c r="F1412">
        <v>48.861507416000002</v>
      </c>
      <c r="G1412">
        <v>1673.5848389</v>
      </c>
      <c r="H1412">
        <v>1545.1901855000001</v>
      </c>
      <c r="I1412">
        <v>1046.8623047000001</v>
      </c>
      <c r="J1412">
        <v>853.02117920000001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1102.539888</v>
      </c>
      <c r="B1413" s="1">
        <f>DATE(2013,5,7) + TIME(12,57,26)</f>
        <v>41401.539884259262</v>
      </c>
      <c r="C1413">
        <v>80</v>
      </c>
      <c r="D1413">
        <v>79.974960327000005</v>
      </c>
      <c r="E1413">
        <v>50</v>
      </c>
      <c r="F1413">
        <v>48.839420318999998</v>
      </c>
      <c r="G1413">
        <v>1677.9373779</v>
      </c>
      <c r="H1413">
        <v>1549.5756836</v>
      </c>
      <c r="I1413">
        <v>1042.2032471</v>
      </c>
      <c r="J1413">
        <v>848.34429932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1102.8335729999999</v>
      </c>
      <c r="B1414" s="1">
        <f>DATE(2013,5,7) + TIME(20,0,20)</f>
        <v>41401.833564814813</v>
      </c>
      <c r="C1414">
        <v>80</v>
      </c>
      <c r="D1414">
        <v>79.976882935000006</v>
      </c>
      <c r="E1414">
        <v>50</v>
      </c>
      <c r="F1414">
        <v>48.816852570000002</v>
      </c>
      <c r="G1414">
        <v>1682.2071533000001</v>
      </c>
      <c r="H1414">
        <v>1553.8768310999999</v>
      </c>
      <c r="I1414">
        <v>1037.6214600000001</v>
      </c>
      <c r="J1414">
        <v>843.74444579999999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1103.1378460000001</v>
      </c>
      <c r="B1415" s="1">
        <f>DATE(2013,5,8) + TIME(3,18,29)</f>
        <v>41402.137835648151</v>
      </c>
      <c r="C1415">
        <v>80</v>
      </c>
      <c r="D1415">
        <v>79.977966308999996</v>
      </c>
      <c r="E1415">
        <v>50</v>
      </c>
      <c r="F1415">
        <v>48.793716431</v>
      </c>
      <c r="G1415">
        <v>1686.4105225000001</v>
      </c>
      <c r="H1415">
        <v>1558.1104736</v>
      </c>
      <c r="I1415">
        <v>1033.0985106999999</v>
      </c>
      <c r="J1415">
        <v>839.20318603999999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1103.454354</v>
      </c>
      <c r="B1416" s="1">
        <f>DATE(2013,5,8) + TIME(10,54,16)</f>
        <v>41402.454351851855</v>
      </c>
      <c r="C1416">
        <v>80</v>
      </c>
      <c r="D1416">
        <v>79.978408813000001</v>
      </c>
      <c r="E1416">
        <v>50</v>
      </c>
      <c r="F1416">
        <v>48.769908905000001</v>
      </c>
      <c r="G1416">
        <v>1690.5627440999999</v>
      </c>
      <c r="H1416">
        <v>1562.2923584</v>
      </c>
      <c r="I1416">
        <v>1028.6170654</v>
      </c>
      <c r="J1416">
        <v>834.70306396000001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1103.7849779999999</v>
      </c>
      <c r="B1417" s="1">
        <f>DATE(2013,5,8) + TIME(18,50,22)</f>
        <v>41402.78497685185</v>
      </c>
      <c r="C1417">
        <v>80</v>
      </c>
      <c r="D1417">
        <v>79.978363036999994</v>
      </c>
      <c r="E1417">
        <v>50</v>
      </c>
      <c r="F1417">
        <v>48.745326996000003</v>
      </c>
      <c r="G1417">
        <v>1694.6785889</v>
      </c>
      <c r="H1417">
        <v>1566.4372559000001</v>
      </c>
      <c r="I1417">
        <v>1024.1604004000001</v>
      </c>
      <c r="J1417">
        <v>830.22741699000005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1104.1318289999999</v>
      </c>
      <c r="B1418" s="1">
        <f>DATE(2013,5,9) + TIME(3,9,49)</f>
        <v>41403.13181712963</v>
      </c>
      <c r="C1418">
        <v>80</v>
      </c>
      <c r="D1418">
        <v>79.977951050000001</v>
      </c>
      <c r="E1418">
        <v>50</v>
      </c>
      <c r="F1418">
        <v>48.719837189000003</v>
      </c>
      <c r="G1418">
        <v>1698.7714844</v>
      </c>
      <c r="H1418">
        <v>1570.5593262</v>
      </c>
      <c r="I1418">
        <v>1019.7128296</v>
      </c>
      <c r="J1418">
        <v>825.76019286999997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1104.4975589999999</v>
      </c>
      <c r="B1419" s="1">
        <f>DATE(2013,5,9) + TIME(11,56,29)</f>
        <v>41403.497557870367</v>
      </c>
      <c r="C1419">
        <v>80</v>
      </c>
      <c r="D1419">
        <v>79.977272033999995</v>
      </c>
      <c r="E1419">
        <v>50</v>
      </c>
      <c r="F1419">
        <v>48.693286895999996</v>
      </c>
      <c r="G1419">
        <v>1702.8572998</v>
      </c>
      <c r="H1419">
        <v>1574.6744385</v>
      </c>
      <c r="I1419">
        <v>1015.2560425</v>
      </c>
      <c r="J1419">
        <v>821.28326416000004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1104.8811579999999</v>
      </c>
      <c r="B1420" s="1">
        <f>DATE(2013,5,9) + TIME(21,8,52)</f>
        <v>41403.881157407406</v>
      </c>
      <c r="C1420">
        <v>80</v>
      </c>
      <c r="D1420">
        <v>79.976379394999995</v>
      </c>
      <c r="E1420">
        <v>50</v>
      </c>
      <c r="F1420">
        <v>48.665699005</v>
      </c>
      <c r="G1420">
        <v>1706.9068603999999</v>
      </c>
      <c r="H1420">
        <v>1578.7535399999999</v>
      </c>
      <c r="I1420">
        <v>1010.8168945</v>
      </c>
      <c r="J1420">
        <v>816.82348633000004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1105.2850370000001</v>
      </c>
      <c r="B1421" s="1">
        <f>DATE(2013,5,10) + TIME(6,50,27)</f>
        <v>41404.285034722219</v>
      </c>
      <c r="C1421">
        <v>80</v>
      </c>
      <c r="D1421">
        <v>79.975357056000007</v>
      </c>
      <c r="E1421">
        <v>50</v>
      </c>
      <c r="F1421">
        <v>48.636940002000003</v>
      </c>
      <c r="G1421">
        <v>1710.9328613</v>
      </c>
      <c r="H1421">
        <v>1582.8094481999999</v>
      </c>
      <c r="I1421">
        <v>1006.3830566</v>
      </c>
      <c r="J1421">
        <v>812.36828613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1105.705514</v>
      </c>
      <c r="B1422" s="1">
        <f>DATE(2013,5,10) + TIME(16,55,56)</f>
        <v>41404.705509259256</v>
      </c>
      <c r="C1422">
        <v>80</v>
      </c>
      <c r="D1422">
        <v>79.974243164000001</v>
      </c>
      <c r="E1422">
        <v>50</v>
      </c>
      <c r="F1422">
        <v>48.607158661</v>
      </c>
      <c r="G1422">
        <v>1714.8833007999999</v>
      </c>
      <c r="H1422">
        <v>1586.7901611</v>
      </c>
      <c r="I1422">
        <v>1002.0054321</v>
      </c>
      <c r="J1422">
        <v>807.96893310999997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1106.1280549999999</v>
      </c>
      <c r="B1423" s="1">
        <f>DATE(2013,5,11) + TIME(3,4,23)</f>
        <v>41405.12804398148</v>
      </c>
      <c r="C1423">
        <v>80</v>
      </c>
      <c r="D1423">
        <v>79.973106384000005</v>
      </c>
      <c r="E1423">
        <v>50</v>
      </c>
      <c r="F1423">
        <v>48.577022552000003</v>
      </c>
      <c r="G1423">
        <v>1718.6202393000001</v>
      </c>
      <c r="H1423">
        <v>1590.5574951000001</v>
      </c>
      <c r="I1423">
        <v>997.82708739999998</v>
      </c>
      <c r="J1423">
        <v>803.76916503999996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1106.554472</v>
      </c>
      <c r="B1424" s="1">
        <f>DATE(2013,5,11) + TIME(13,18,26)</f>
        <v>41405.554467592592</v>
      </c>
      <c r="C1424">
        <v>80</v>
      </c>
      <c r="D1424">
        <v>79.971992493000002</v>
      </c>
      <c r="E1424">
        <v>50</v>
      </c>
      <c r="F1424">
        <v>48.546588898000003</v>
      </c>
      <c r="G1424">
        <v>1722.1834716999999</v>
      </c>
      <c r="H1424">
        <v>1594.1501464999999</v>
      </c>
      <c r="I1424">
        <v>993.81927489999998</v>
      </c>
      <c r="J1424">
        <v>799.73962401999995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1106.9866019999999</v>
      </c>
      <c r="B1425" s="1">
        <f>DATE(2013,5,11) + TIME(23,40,42)</f>
        <v>41405.986597222225</v>
      </c>
      <c r="C1425">
        <v>80</v>
      </c>
      <c r="D1425">
        <v>79.970909118999998</v>
      </c>
      <c r="E1425">
        <v>50</v>
      </c>
      <c r="F1425">
        <v>48.515865325999997</v>
      </c>
      <c r="G1425">
        <v>1725.6000977000001</v>
      </c>
      <c r="H1425">
        <v>1597.5957031</v>
      </c>
      <c r="I1425">
        <v>989.95635986000002</v>
      </c>
      <c r="J1425">
        <v>795.85479736000002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1107.4262470000001</v>
      </c>
      <c r="B1426" s="1">
        <f>DATE(2013,5,12) + TIME(10,13,47)</f>
        <v>41406.426238425927</v>
      </c>
      <c r="C1426">
        <v>80</v>
      </c>
      <c r="D1426">
        <v>79.969863892000006</v>
      </c>
      <c r="E1426">
        <v>50</v>
      </c>
      <c r="F1426">
        <v>48.484798431000002</v>
      </c>
      <c r="G1426">
        <v>1728.8913574000001</v>
      </c>
      <c r="H1426">
        <v>1600.9151611</v>
      </c>
      <c r="I1426">
        <v>986.21673583999996</v>
      </c>
      <c r="J1426">
        <v>792.09301758000004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1107.8752340000001</v>
      </c>
      <c r="B1427" s="1">
        <f>DATE(2013,5,12) + TIME(21,0,20)</f>
        <v>41406.875231481485</v>
      </c>
      <c r="C1427">
        <v>80</v>
      </c>
      <c r="D1427">
        <v>79.968856811999999</v>
      </c>
      <c r="E1427">
        <v>50</v>
      </c>
      <c r="F1427">
        <v>48.453319550000003</v>
      </c>
      <c r="G1427">
        <v>1732.0745850000001</v>
      </c>
      <c r="H1427">
        <v>1604.1262207</v>
      </c>
      <c r="I1427">
        <v>982.58184814000003</v>
      </c>
      <c r="J1427">
        <v>788.43579102000001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1108.3356659999999</v>
      </c>
      <c r="B1428" s="1">
        <f>DATE(2013,5,13) + TIME(8,3,21)</f>
        <v>41407.335659722223</v>
      </c>
      <c r="C1428">
        <v>80</v>
      </c>
      <c r="D1428">
        <v>79.967887877999999</v>
      </c>
      <c r="E1428">
        <v>50</v>
      </c>
      <c r="F1428">
        <v>48.421325684000003</v>
      </c>
      <c r="G1428">
        <v>1735.1661377</v>
      </c>
      <c r="H1428">
        <v>1607.2451172000001</v>
      </c>
      <c r="I1428">
        <v>979.03417968999997</v>
      </c>
      <c r="J1428">
        <v>784.86547852000001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1108.8095880000001</v>
      </c>
      <c r="B1429" s="1">
        <f>DATE(2013,5,13) + TIME(19,25,48)</f>
        <v>41407.809583333335</v>
      </c>
      <c r="C1429">
        <v>80</v>
      </c>
      <c r="D1429">
        <v>79.966957092000001</v>
      </c>
      <c r="E1429">
        <v>50</v>
      </c>
      <c r="F1429">
        <v>48.388710021999998</v>
      </c>
      <c r="G1429">
        <v>1738.1788329999999</v>
      </c>
      <c r="H1429">
        <v>1610.2850341999999</v>
      </c>
      <c r="I1429">
        <v>975.55957031000003</v>
      </c>
      <c r="J1429">
        <v>781.36779784999999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1109.2991059999999</v>
      </c>
      <c r="B1430" s="1">
        <f>DATE(2013,5,14) + TIME(7,10,42)</f>
        <v>41408.299097222225</v>
      </c>
      <c r="C1430">
        <v>80</v>
      </c>
      <c r="D1430">
        <v>79.966056824000006</v>
      </c>
      <c r="E1430">
        <v>50</v>
      </c>
      <c r="F1430">
        <v>48.355350494</v>
      </c>
      <c r="G1430">
        <v>1741.1234131000001</v>
      </c>
      <c r="H1430">
        <v>1613.2565918</v>
      </c>
      <c r="I1430">
        <v>972.14587401999995</v>
      </c>
      <c r="J1430">
        <v>777.93066406000003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1109.806734</v>
      </c>
      <c r="B1431" s="1">
        <f>DATE(2013,5,14) + TIME(19,21,41)</f>
        <v>41408.80672453704</v>
      </c>
      <c r="C1431">
        <v>80</v>
      </c>
      <c r="D1431">
        <v>79.965187072999996</v>
      </c>
      <c r="E1431">
        <v>50</v>
      </c>
      <c r="F1431">
        <v>48.321113586000003</v>
      </c>
      <c r="G1431">
        <v>1744.0107422000001</v>
      </c>
      <c r="H1431">
        <v>1616.1707764</v>
      </c>
      <c r="I1431">
        <v>968.78094481999995</v>
      </c>
      <c r="J1431">
        <v>774.54174805000002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1110.3353279999999</v>
      </c>
      <c r="B1432" s="1">
        <f>DATE(2013,5,15) + TIME(8,2,52)</f>
        <v>41409.335324074076</v>
      </c>
      <c r="C1432">
        <v>80</v>
      </c>
      <c r="D1432">
        <v>79.964347838999998</v>
      </c>
      <c r="E1432">
        <v>50</v>
      </c>
      <c r="F1432">
        <v>48.285839080999999</v>
      </c>
      <c r="G1432">
        <v>1746.8508300999999</v>
      </c>
      <c r="H1432">
        <v>1619.0377197</v>
      </c>
      <c r="I1432">
        <v>965.45330810999997</v>
      </c>
      <c r="J1432">
        <v>771.18951416000004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1110.88814</v>
      </c>
      <c r="B1433" s="1">
        <f>DATE(2013,5,15) + TIME(21,18,55)</f>
        <v>41409.888136574074</v>
      </c>
      <c r="C1433">
        <v>80</v>
      </c>
      <c r="D1433">
        <v>79.963531493999994</v>
      </c>
      <c r="E1433">
        <v>50</v>
      </c>
      <c r="F1433">
        <v>48.249355315999999</v>
      </c>
      <c r="G1433">
        <v>1749.6529541</v>
      </c>
      <c r="H1433">
        <v>1621.8669434000001</v>
      </c>
      <c r="I1433">
        <v>962.15203856999995</v>
      </c>
      <c r="J1433">
        <v>767.86285399999997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1111.4689989999999</v>
      </c>
      <c r="B1434" s="1">
        <f>DATE(2013,5,16) + TIME(11,15,21)</f>
        <v>41410.468993055554</v>
      </c>
      <c r="C1434">
        <v>80</v>
      </c>
      <c r="D1434">
        <v>79.962738036999994</v>
      </c>
      <c r="E1434">
        <v>50</v>
      </c>
      <c r="F1434">
        <v>48.211452483999999</v>
      </c>
      <c r="G1434">
        <v>1752.4262695</v>
      </c>
      <c r="H1434">
        <v>1624.6676024999999</v>
      </c>
      <c r="I1434">
        <v>958.86627196999996</v>
      </c>
      <c r="J1434">
        <v>764.55084228999999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1112.0826059999999</v>
      </c>
      <c r="B1435" s="1">
        <f>DATE(2013,5,17) + TIME(1,58,57)</f>
        <v>41411.082604166666</v>
      </c>
      <c r="C1435">
        <v>80</v>
      </c>
      <c r="D1435">
        <v>79.961967467999997</v>
      </c>
      <c r="E1435">
        <v>50</v>
      </c>
      <c r="F1435">
        <v>48.171894072999997</v>
      </c>
      <c r="G1435">
        <v>1755.1806641000001</v>
      </c>
      <c r="H1435">
        <v>1627.4495850000001</v>
      </c>
      <c r="I1435">
        <v>955.58428954999999</v>
      </c>
      <c r="J1435">
        <v>761.24145508000004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1112.7104710000001</v>
      </c>
      <c r="B1436" s="1">
        <f>DATE(2013,5,17) + TIME(17,3,4)</f>
        <v>41411.710462962961</v>
      </c>
      <c r="C1436">
        <v>80</v>
      </c>
      <c r="D1436">
        <v>79.961219787999994</v>
      </c>
      <c r="E1436">
        <v>50</v>
      </c>
      <c r="F1436">
        <v>48.131217956999997</v>
      </c>
      <c r="G1436">
        <v>1757.8186035000001</v>
      </c>
      <c r="H1436">
        <v>1630.1152344</v>
      </c>
      <c r="I1436">
        <v>952.40716553000004</v>
      </c>
      <c r="J1436">
        <v>758.03680420000001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1113.342823</v>
      </c>
      <c r="B1437" s="1">
        <f>DATE(2013,5,18) + TIME(8,13,39)</f>
        <v>41412.342812499999</v>
      </c>
      <c r="C1437">
        <v>80</v>
      </c>
      <c r="D1437">
        <v>79.960517882999994</v>
      </c>
      <c r="E1437">
        <v>50</v>
      </c>
      <c r="F1437">
        <v>48.089969635000003</v>
      </c>
      <c r="G1437">
        <v>1760.3074951000001</v>
      </c>
      <c r="H1437">
        <v>1632.6315918</v>
      </c>
      <c r="I1437">
        <v>949.37817383000004</v>
      </c>
      <c r="J1437">
        <v>754.97991943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1113.9805899999999</v>
      </c>
      <c r="B1438" s="1">
        <f>DATE(2013,5,18) + TIME(23,32,3)</f>
        <v>41412.980590277781</v>
      </c>
      <c r="C1438">
        <v>80</v>
      </c>
      <c r="D1438">
        <v>79.959869385000005</v>
      </c>
      <c r="E1438">
        <v>50</v>
      </c>
      <c r="F1438">
        <v>48.048355102999999</v>
      </c>
      <c r="G1438">
        <v>1762.6654053</v>
      </c>
      <c r="H1438">
        <v>1635.0161132999999</v>
      </c>
      <c r="I1438">
        <v>946.48565673999997</v>
      </c>
      <c r="J1438">
        <v>752.05895996000004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1114.624922</v>
      </c>
      <c r="B1439" s="1">
        <f>DATE(2013,5,19) + TIME(14,59,53)</f>
        <v>41413.624918981484</v>
      </c>
      <c r="C1439">
        <v>80</v>
      </c>
      <c r="D1439">
        <v>79.959266662999994</v>
      </c>
      <c r="E1439">
        <v>50</v>
      </c>
      <c r="F1439">
        <v>48.006462096999996</v>
      </c>
      <c r="G1439">
        <v>1764.9055175999999</v>
      </c>
      <c r="H1439">
        <v>1637.2821045000001</v>
      </c>
      <c r="I1439">
        <v>943.71777343999997</v>
      </c>
      <c r="J1439">
        <v>749.26232909999999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1115.278908</v>
      </c>
      <c r="B1440" s="1">
        <f>DATE(2013,5,20) + TIME(6,41,37)</f>
        <v>41414.278900462959</v>
      </c>
      <c r="C1440">
        <v>80</v>
      </c>
      <c r="D1440">
        <v>79.958702087000006</v>
      </c>
      <c r="E1440">
        <v>50</v>
      </c>
      <c r="F1440">
        <v>47.964233397999998</v>
      </c>
      <c r="G1440">
        <v>1767.0452881000001</v>
      </c>
      <c r="H1440">
        <v>1639.4470214999999</v>
      </c>
      <c r="I1440">
        <v>941.05688477000001</v>
      </c>
      <c r="J1440">
        <v>746.57232666000004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1115.9459850000001</v>
      </c>
      <c r="B1441" s="1">
        <f>DATE(2013,5,20) + TIME(22,42,13)</f>
        <v>41414.945983796293</v>
      </c>
      <c r="C1441">
        <v>80</v>
      </c>
      <c r="D1441">
        <v>79.958183289000004</v>
      </c>
      <c r="E1441">
        <v>50</v>
      </c>
      <c r="F1441">
        <v>47.921535491999997</v>
      </c>
      <c r="G1441">
        <v>1769.0992432</v>
      </c>
      <c r="H1441">
        <v>1641.5253906</v>
      </c>
      <c r="I1441">
        <v>938.48699951000003</v>
      </c>
      <c r="J1441">
        <v>743.97283935999997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1116.6298300000001</v>
      </c>
      <c r="B1442" s="1">
        <f>DATE(2013,5,21) + TIME(15,6,57)</f>
        <v>41415.629826388889</v>
      </c>
      <c r="C1442">
        <v>80</v>
      </c>
      <c r="D1442">
        <v>79.957687378000003</v>
      </c>
      <c r="E1442">
        <v>50</v>
      </c>
      <c r="F1442">
        <v>47.878192902000002</v>
      </c>
      <c r="G1442">
        <v>1771.0795897999999</v>
      </c>
      <c r="H1442">
        <v>1643.5297852000001</v>
      </c>
      <c r="I1442">
        <v>935.99407958999996</v>
      </c>
      <c r="J1442">
        <v>741.44964600000003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1117.3344520000001</v>
      </c>
      <c r="B1443" s="1">
        <f>DATE(2013,5,22) + TIME(8,1,36)</f>
        <v>41416.334444444445</v>
      </c>
      <c r="C1443">
        <v>80</v>
      </c>
      <c r="D1443">
        <v>79.957221985000004</v>
      </c>
      <c r="E1443">
        <v>50</v>
      </c>
      <c r="F1443">
        <v>47.834003447999997</v>
      </c>
      <c r="G1443">
        <v>1772.9970702999999</v>
      </c>
      <c r="H1443">
        <v>1645.4709473</v>
      </c>
      <c r="I1443">
        <v>933.56555175999995</v>
      </c>
      <c r="J1443">
        <v>738.99011229999996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1118.0641969999999</v>
      </c>
      <c r="B1444" s="1">
        <f>DATE(2013,5,23) + TIME(1,32,26)</f>
        <v>41417.064189814817</v>
      </c>
      <c r="C1444">
        <v>80</v>
      </c>
      <c r="D1444">
        <v>79.956779479999994</v>
      </c>
      <c r="E1444">
        <v>50</v>
      </c>
      <c r="F1444">
        <v>47.788734435999999</v>
      </c>
      <c r="G1444">
        <v>1774.8604736</v>
      </c>
      <c r="H1444">
        <v>1647.3577881000001</v>
      </c>
      <c r="I1444">
        <v>931.19061279000005</v>
      </c>
      <c r="J1444">
        <v>736.58337401999995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1118.824308</v>
      </c>
      <c r="B1445" s="1">
        <f>DATE(2013,5,23) + TIME(19,47,0)</f>
        <v>41417.824305555558</v>
      </c>
      <c r="C1445">
        <v>80</v>
      </c>
      <c r="D1445">
        <v>79.956359863000003</v>
      </c>
      <c r="E1445">
        <v>50</v>
      </c>
      <c r="F1445">
        <v>47.742111205999997</v>
      </c>
      <c r="G1445">
        <v>1776.6785889</v>
      </c>
      <c r="H1445">
        <v>1649.1992187999999</v>
      </c>
      <c r="I1445">
        <v>928.85870361000002</v>
      </c>
      <c r="J1445">
        <v>734.21838378999996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1119.611758</v>
      </c>
      <c r="B1446" s="1">
        <f>DATE(2013,5,24) + TIME(14,40,55)</f>
        <v>41418.611747685187</v>
      </c>
      <c r="C1446">
        <v>80</v>
      </c>
      <c r="D1446">
        <v>79.955947875999996</v>
      </c>
      <c r="E1446">
        <v>50</v>
      </c>
      <c r="F1446">
        <v>47.694095611999998</v>
      </c>
      <c r="G1446">
        <v>1778.4367675999999</v>
      </c>
      <c r="H1446">
        <v>1650.9808350000001</v>
      </c>
      <c r="I1446">
        <v>926.58367920000001</v>
      </c>
      <c r="J1446">
        <v>731.90924071999996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1120.0209870000001</v>
      </c>
      <c r="B1447" s="1">
        <f>DATE(2013,5,25) + TIME(0,30,13)</f>
        <v>41419.020983796298</v>
      </c>
      <c r="C1447">
        <v>80</v>
      </c>
      <c r="D1447">
        <v>79.955551146999994</v>
      </c>
      <c r="E1447">
        <v>50</v>
      </c>
      <c r="F1447">
        <v>47.660533905000001</v>
      </c>
      <c r="G1447">
        <v>1779.2152100000001</v>
      </c>
      <c r="H1447">
        <v>1651.7790527</v>
      </c>
      <c r="I1447">
        <v>925.40362548999997</v>
      </c>
      <c r="J1447">
        <v>730.71527100000003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1120.430216</v>
      </c>
      <c r="B1448" s="1">
        <f>DATE(2013,5,25) + TIME(10,19,30)</f>
        <v>41419.430208333331</v>
      </c>
      <c r="C1448">
        <v>80</v>
      </c>
      <c r="D1448">
        <v>79.955299377000003</v>
      </c>
      <c r="E1448">
        <v>50</v>
      </c>
      <c r="F1448">
        <v>47.629817963000001</v>
      </c>
      <c r="G1448">
        <v>1780.0048827999999</v>
      </c>
      <c r="H1448">
        <v>1652.5826416</v>
      </c>
      <c r="I1448">
        <v>924.28350829999999</v>
      </c>
      <c r="J1448">
        <v>729.56994628999996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1120.8394450000001</v>
      </c>
      <c r="B1449" s="1">
        <f>DATE(2013,5,25) + TIME(20,8,48)</f>
        <v>41419.839444444442</v>
      </c>
      <c r="C1449">
        <v>80</v>
      </c>
      <c r="D1449">
        <v>79.955123900999993</v>
      </c>
      <c r="E1449">
        <v>50</v>
      </c>
      <c r="F1449">
        <v>47.600952147999998</v>
      </c>
      <c r="G1449">
        <v>1780.7904053</v>
      </c>
      <c r="H1449">
        <v>1653.3803711</v>
      </c>
      <c r="I1449">
        <v>923.19952393000005</v>
      </c>
      <c r="J1449">
        <v>728.46264647999999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1121.657903</v>
      </c>
      <c r="B1450" s="1">
        <f>DATE(2013,5,26) + TIME(15,47,22)</f>
        <v>41420.657893518517</v>
      </c>
      <c r="C1450">
        <v>80</v>
      </c>
      <c r="D1450">
        <v>79.955047606999997</v>
      </c>
      <c r="E1450">
        <v>50</v>
      </c>
      <c r="F1450">
        <v>47.560134888</v>
      </c>
      <c r="G1450">
        <v>1782.4232178</v>
      </c>
      <c r="H1450">
        <v>1655.0264893000001</v>
      </c>
      <c r="I1450">
        <v>921.20477295000001</v>
      </c>
      <c r="J1450">
        <v>726.42791748000002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1122.478402</v>
      </c>
      <c r="B1451" s="1">
        <f>DATE(2013,5,27) + TIME(11,28,53)</f>
        <v>41421.478391203702</v>
      </c>
      <c r="C1451">
        <v>80</v>
      </c>
      <c r="D1451">
        <v>79.954757689999994</v>
      </c>
      <c r="E1451">
        <v>50</v>
      </c>
      <c r="F1451">
        <v>47.514225005999997</v>
      </c>
      <c r="G1451">
        <v>1783.8839111</v>
      </c>
      <c r="H1451">
        <v>1656.5072021000001</v>
      </c>
      <c r="I1451">
        <v>919.29473876999998</v>
      </c>
      <c r="J1451">
        <v>724.48693848000005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1123.3094430000001</v>
      </c>
      <c r="B1452" s="1">
        <f>DATE(2013,5,28) + TIME(7,25,35)</f>
        <v>41422.309432870374</v>
      </c>
      <c r="C1452">
        <v>80</v>
      </c>
      <c r="D1452">
        <v>79.954444885000001</v>
      </c>
      <c r="E1452">
        <v>50</v>
      </c>
      <c r="F1452">
        <v>47.465709685999997</v>
      </c>
      <c r="G1452">
        <v>1785.2395019999999</v>
      </c>
      <c r="H1452">
        <v>1657.8834228999999</v>
      </c>
      <c r="I1452">
        <v>917.47192383000004</v>
      </c>
      <c r="J1452">
        <v>722.62927246000004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1124.1525810000001</v>
      </c>
      <c r="B1453" s="1">
        <f>DATE(2013,5,29) + TIME(3,39,42)</f>
        <v>41423.152569444443</v>
      </c>
      <c r="C1453">
        <v>80</v>
      </c>
      <c r="D1453">
        <v>79.954139709000003</v>
      </c>
      <c r="E1453">
        <v>50</v>
      </c>
      <c r="F1453">
        <v>47.415672301999997</v>
      </c>
      <c r="G1453">
        <v>1786.5118408000001</v>
      </c>
      <c r="H1453">
        <v>1659.1760254000001</v>
      </c>
      <c r="I1453">
        <v>915.73059081999997</v>
      </c>
      <c r="J1453">
        <v>720.85058593999997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1125.0117090000001</v>
      </c>
      <c r="B1454" s="1">
        <f>DATE(2013,5,30) + TIME(0,16,51)</f>
        <v>41424.011701388888</v>
      </c>
      <c r="C1454">
        <v>80</v>
      </c>
      <c r="D1454">
        <v>79.953865050999994</v>
      </c>
      <c r="E1454">
        <v>50</v>
      </c>
      <c r="F1454">
        <v>47.364524840999998</v>
      </c>
      <c r="G1454">
        <v>1787.7145995999999</v>
      </c>
      <c r="H1454">
        <v>1660.3984375</v>
      </c>
      <c r="I1454">
        <v>914.06134033000001</v>
      </c>
      <c r="J1454">
        <v>719.14215088000003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1125.8911860000001</v>
      </c>
      <c r="B1455" s="1">
        <f>DATE(2013,5,30) + TIME(21,23,18)</f>
        <v>41424.891180555554</v>
      </c>
      <c r="C1455">
        <v>80</v>
      </c>
      <c r="D1455">
        <v>79.953613281000003</v>
      </c>
      <c r="E1455">
        <v>50</v>
      </c>
      <c r="F1455">
        <v>47.312335967999999</v>
      </c>
      <c r="G1455">
        <v>1788.8565673999999</v>
      </c>
      <c r="H1455">
        <v>1661.5596923999999</v>
      </c>
      <c r="I1455">
        <v>912.45568848000005</v>
      </c>
      <c r="J1455">
        <v>717.49560546999999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1126.7958550000001</v>
      </c>
      <c r="B1456" s="1">
        <f>DATE(2013,5,31) + TIME(19,6,1)</f>
        <v>41425.795844907407</v>
      </c>
      <c r="C1456">
        <v>80</v>
      </c>
      <c r="D1456">
        <v>79.953376770000006</v>
      </c>
      <c r="E1456">
        <v>50</v>
      </c>
      <c r="F1456">
        <v>47.258983612000002</v>
      </c>
      <c r="G1456">
        <v>1789.9443358999999</v>
      </c>
      <c r="H1456">
        <v>1662.666626</v>
      </c>
      <c r="I1456">
        <v>910.90582274999997</v>
      </c>
      <c r="J1456">
        <v>715.90313720999995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1127</v>
      </c>
      <c r="B1457" s="1">
        <f>DATE(2013,6,1) + TIME(0,0,0)</f>
        <v>41426</v>
      </c>
      <c r="C1457">
        <v>80</v>
      </c>
      <c r="D1457">
        <v>79.953163146999998</v>
      </c>
      <c r="E1457">
        <v>50</v>
      </c>
      <c r="F1457">
        <v>47.237846374999997</v>
      </c>
      <c r="G1457">
        <v>1790.1121826000001</v>
      </c>
      <c r="H1457">
        <v>1662.8454589999999</v>
      </c>
      <c r="I1457">
        <v>910.50640868999994</v>
      </c>
      <c r="J1457">
        <v>715.50646973000005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1127.935277</v>
      </c>
      <c r="B1458" s="1">
        <f>DATE(2013,6,1) + TIME(22,26,47)</f>
        <v>41426.935266203705</v>
      </c>
      <c r="C1458">
        <v>80</v>
      </c>
      <c r="D1458">
        <v>79.953079224000007</v>
      </c>
      <c r="E1458">
        <v>50</v>
      </c>
      <c r="F1458">
        <v>47.188011168999999</v>
      </c>
      <c r="G1458">
        <v>1791.1685791</v>
      </c>
      <c r="H1458">
        <v>1663.9150391000001</v>
      </c>
      <c r="I1458">
        <v>909.07342529000005</v>
      </c>
      <c r="J1458">
        <v>714.01031493999994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1128.916401</v>
      </c>
      <c r="B1459" s="1">
        <f>DATE(2013,6,2) + TIME(21,59,37)</f>
        <v>41427.916400462964</v>
      </c>
      <c r="C1459">
        <v>80</v>
      </c>
      <c r="D1459">
        <v>79.952926636000001</v>
      </c>
      <c r="E1459">
        <v>50</v>
      </c>
      <c r="F1459">
        <v>47.133613586000003</v>
      </c>
      <c r="G1459">
        <v>1792.1759033000001</v>
      </c>
      <c r="H1459">
        <v>1664.9398193</v>
      </c>
      <c r="I1459">
        <v>907.62762451000003</v>
      </c>
      <c r="J1459">
        <v>712.51983643000005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1129.8988999999999</v>
      </c>
      <c r="B1460" s="1">
        <f>DATE(2013,6,3) + TIME(21,34,24)</f>
        <v>41428.898888888885</v>
      </c>
      <c r="C1460">
        <v>80</v>
      </c>
      <c r="D1460">
        <v>79.952728270999998</v>
      </c>
      <c r="E1460">
        <v>50</v>
      </c>
      <c r="F1460">
        <v>47.076828003000003</v>
      </c>
      <c r="G1460">
        <v>1793.0795897999999</v>
      </c>
      <c r="H1460">
        <v>1665.8618164</v>
      </c>
      <c r="I1460">
        <v>906.26702881000006</v>
      </c>
      <c r="J1460">
        <v>711.11187743999994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1130.8829350000001</v>
      </c>
      <c r="B1461" s="1">
        <f>DATE(2013,6,4) + TIME(21,11,25)</f>
        <v>41429.882928240739</v>
      </c>
      <c r="C1461">
        <v>80</v>
      </c>
      <c r="D1461">
        <v>79.952537536999998</v>
      </c>
      <c r="E1461">
        <v>50</v>
      </c>
      <c r="F1461">
        <v>47.019050598</v>
      </c>
      <c r="G1461">
        <v>1793.9001464999999</v>
      </c>
      <c r="H1461">
        <v>1666.7001952999999</v>
      </c>
      <c r="I1461">
        <v>904.98962401999995</v>
      </c>
      <c r="J1461">
        <v>709.78430175999995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1131.873732</v>
      </c>
      <c r="B1462" s="1">
        <f>DATE(2013,6,5) + TIME(20,58,10)</f>
        <v>41430.873726851853</v>
      </c>
      <c r="C1462">
        <v>80</v>
      </c>
      <c r="D1462">
        <v>79.952369689999998</v>
      </c>
      <c r="E1462">
        <v>50</v>
      </c>
      <c r="F1462">
        <v>46.960727691999999</v>
      </c>
      <c r="G1462">
        <v>1794.652832</v>
      </c>
      <c r="H1462">
        <v>1667.4699707</v>
      </c>
      <c r="I1462">
        <v>903.78472899999997</v>
      </c>
      <c r="J1462">
        <v>708.52709961000005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1132.8768170000001</v>
      </c>
      <c r="B1463" s="1">
        <f>DATE(2013,6,6) + TIME(21,2,36)</f>
        <v>41431.876805555556</v>
      </c>
      <c r="C1463">
        <v>80</v>
      </c>
      <c r="D1463">
        <v>79.952224731000001</v>
      </c>
      <c r="E1463">
        <v>50</v>
      </c>
      <c r="F1463">
        <v>46.901874542000002</v>
      </c>
      <c r="G1463">
        <v>1795.3470459</v>
      </c>
      <c r="H1463">
        <v>1668.1807861</v>
      </c>
      <c r="I1463">
        <v>902.64270020000004</v>
      </c>
      <c r="J1463">
        <v>707.33056640999996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1133.897254</v>
      </c>
      <c r="B1464" s="1">
        <f>DATE(2013,6,7) + TIME(21,32,2)</f>
        <v>41432.897245370368</v>
      </c>
      <c r="C1464">
        <v>80</v>
      </c>
      <c r="D1464">
        <v>79.952087402000004</v>
      </c>
      <c r="E1464">
        <v>50</v>
      </c>
      <c r="F1464">
        <v>46.842311858999999</v>
      </c>
      <c r="G1464">
        <v>1795.9888916</v>
      </c>
      <c r="H1464">
        <v>1668.8387451000001</v>
      </c>
      <c r="I1464">
        <v>901.55548095999995</v>
      </c>
      <c r="J1464">
        <v>706.18670654000005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1134.940161</v>
      </c>
      <c r="B1465" s="1">
        <f>DATE(2013,6,8) + TIME(22,33,49)</f>
        <v>41433.940150462964</v>
      </c>
      <c r="C1465">
        <v>80</v>
      </c>
      <c r="D1465">
        <v>79.951965332</v>
      </c>
      <c r="E1465">
        <v>50</v>
      </c>
      <c r="F1465">
        <v>46.781784058</v>
      </c>
      <c r="G1465">
        <v>1796.5828856999999</v>
      </c>
      <c r="H1465">
        <v>1669.4483643000001</v>
      </c>
      <c r="I1465">
        <v>900.51654053000004</v>
      </c>
      <c r="J1465">
        <v>705.08837890999996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1136.0113799999999</v>
      </c>
      <c r="B1466" s="1">
        <f>DATE(2013,6,10) + TIME(0,16,23)</f>
        <v>41435.011377314811</v>
      </c>
      <c r="C1466">
        <v>80</v>
      </c>
      <c r="D1466">
        <v>79.951850891000007</v>
      </c>
      <c r="E1466">
        <v>50</v>
      </c>
      <c r="F1466">
        <v>46.719993590999998</v>
      </c>
      <c r="G1466">
        <v>1797.1323242000001</v>
      </c>
      <c r="H1466">
        <v>1670.0133057</v>
      </c>
      <c r="I1466">
        <v>899.51965331999997</v>
      </c>
      <c r="J1466">
        <v>704.02917479999996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1137.1174430000001</v>
      </c>
      <c r="B1467" s="1">
        <f>DATE(2013,6,11) + TIME(2,49,7)</f>
        <v>41436.117442129631</v>
      </c>
      <c r="C1467">
        <v>80</v>
      </c>
      <c r="D1467">
        <v>79.951744079999997</v>
      </c>
      <c r="E1467">
        <v>50</v>
      </c>
      <c r="F1467">
        <v>46.656585692999997</v>
      </c>
      <c r="G1467">
        <v>1797.6402588000001</v>
      </c>
      <c r="H1467">
        <v>1670.5363769999999</v>
      </c>
      <c r="I1467">
        <v>898.55926513999998</v>
      </c>
      <c r="J1467">
        <v>703.00280762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1138.263087</v>
      </c>
      <c r="B1468" s="1">
        <f>DATE(2013,6,12) + TIME(6,18,50)</f>
        <v>41437.263078703705</v>
      </c>
      <c r="C1468">
        <v>80</v>
      </c>
      <c r="D1468">
        <v>79.951652526999993</v>
      </c>
      <c r="E1468">
        <v>50</v>
      </c>
      <c r="F1468">
        <v>46.591228485000002</v>
      </c>
      <c r="G1468">
        <v>1798.1069336</v>
      </c>
      <c r="H1468">
        <v>1671.0180664</v>
      </c>
      <c r="I1468">
        <v>897.63208008000004</v>
      </c>
      <c r="J1468">
        <v>702.00543213000003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1139.424358</v>
      </c>
      <c r="B1469" s="1">
        <f>DATE(2013,6,13) + TIME(10,11,4)</f>
        <v>41438.424351851849</v>
      </c>
      <c r="C1469">
        <v>80</v>
      </c>
      <c r="D1469">
        <v>79.951560974000003</v>
      </c>
      <c r="E1469">
        <v>50</v>
      </c>
      <c r="F1469">
        <v>46.524242401000002</v>
      </c>
      <c r="G1469">
        <v>1798.5172118999999</v>
      </c>
      <c r="H1469">
        <v>1671.4432373</v>
      </c>
      <c r="I1469">
        <v>896.75152588000003</v>
      </c>
      <c r="J1469">
        <v>701.05090331999997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1140.5871930000001</v>
      </c>
      <c r="B1470" s="1">
        <f>DATE(2013,6,14) + TIME(14,5,33)</f>
        <v>41439.587187500001</v>
      </c>
      <c r="C1470">
        <v>80</v>
      </c>
      <c r="D1470">
        <v>79.951469420999999</v>
      </c>
      <c r="E1470">
        <v>50</v>
      </c>
      <c r="F1470">
        <v>46.456359863000003</v>
      </c>
      <c r="G1470">
        <v>1798.8693848</v>
      </c>
      <c r="H1470">
        <v>1671.8098144999999</v>
      </c>
      <c r="I1470">
        <v>895.92395020000004</v>
      </c>
      <c r="J1470">
        <v>700.14575194999998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1141.7576320000001</v>
      </c>
      <c r="B1471" s="1">
        <f>DATE(2013,6,15) + TIME(18,10,59)</f>
        <v>41440.757627314815</v>
      </c>
      <c r="C1471">
        <v>80</v>
      </c>
      <c r="D1471">
        <v>79.951400757000002</v>
      </c>
      <c r="E1471">
        <v>50</v>
      </c>
      <c r="F1471">
        <v>46.387901306000003</v>
      </c>
      <c r="G1471">
        <v>1799.1726074000001</v>
      </c>
      <c r="H1471">
        <v>1672.1269531</v>
      </c>
      <c r="I1471">
        <v>895.14331055000002</v>
      </c>
      <c r="J1471">
        <v>699.28393555000002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1142.9419969999999</v>
      </c>
      <c r="B1472" s="1">
        <f>DATE(2013,6,16) + TIME(22,36,28)</f>
        <v>41441.941990740743</v>
      </c>
      <c r="C1472">
        <v>80</v>
      </c>
      <c r="D1472">
        <v>79.951332092000001</v>
      </c>
      <c r="E1472">
        <v>50</v>
      </c>
      <c r="F1472">
        <v>46.318752289000003</v>
      </c>
      <c r="G1472">
        <v>1799.4327393000001</v>
      </c>
      <c r="H1472">
        <v>1672.4006348</v>
      </c>
      <c r="I1472">
        <v>894.40289307</v>
      </c>
      <c r="J1472">
        <v>698.45849609000004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1144.1468620000001</v>
      </c>
      <c r="B1473" s="1">
        <f>DATE(2013,6,18) + TIME(3,31,28)</f>
        <v>41443.146851851852</v>
      </c>
      <c r="C1473">
        <v>80</v>
      </c>
      <c r="D1473">
        <v>79.951286315999994</v>
      </c>
      <c r="E1473">
        <v>50</v>
      </c>
      <c r="F1473">
        <v>46.248626709</v>
      </c>
      <c r="G1473">
        <v>1799.6536865</v>
      </c>
      <c r="H1473">
        <v>1672.6346435999999</v>
      </c>
      <c r="I1473">
        <v>893.69641113</v>
      </c>
      <c r="J1473">
        <v>697.66271973000005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1145.378125</v>
      </c>
      <c r="B1474" s="1">
        <f>DATE(2013,6,19) + TIME(9,4,30)</f>
        <v>41444.378125000003</v>
      </c>
      <c r="C1474">
        <v>80</v>
      </c>
      <c r="D1474">
        <v>79.951240540000001</v>
      </c>
      <c r="E1474">
        <v>50</v>
      </c>
      <c r="F1474">
        <v>46.177173615000001</v>
      </c>
      <c r="G1474">
        <v>1799.8374022999999</v>
      </c>
      <c r="H1474">
        <v>1672.8310547000001</v>
      </c>
      <c r="I1474">
        <v>893.01873779000005</v>
      </c>
      <c r="J1474">
        <v>696.89086913999995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1146.6344730000001</v>
      </c>
      <c r="B1475" s="1">
        <f>DATE(2013,6,20) + TIME(15,13,38)</f>
        <v>41445.634467592594</v>
      </c>
      <c r="C1475">
        <v>80</v>
      </c>
      <c r="D1475">
        <v>79.951202393000003</v>
      </c>
      <c r="E1475">
        <v>50</v>
      </c>
      <c r="F1475">
        <v>46.104194640999999</v>
      </c>
      <c r="G1475">
        <v>1799.9835204999999</v>
      </c>
      <c r="H1475">
        <v>1672.989624</v>
      </c>
      <c r="I1475">
        <v>892.36761475000003</v>
      </c>
      <c r="J1475">
        <v>696.14025878999996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1147.9204870000001</v>
      </c>
      <c r="B1476" s="1">
        <f>DATE(2013,6,21) + TIME(22,5,30)</f>
        <v>41446.920486111114</v>
      </c>
      <c r="C1476">
        <v>80</v>
      </c>
      <c r="D1476">
        <v>79.951171875</v>
      </c>
      <c r="E1476">
        <v>50</v>
      </c>
      <c r="F1476">
        <v>46.029495238999999</v>
      </c>
      <c r="G1476">
        <v>1800.0935059000001</v>
      </c>
      <c r="H1476">
        <v>1673.1119385</v>
      </c>
      <c r="I1476">
        <v>891.73974609000004</v>
      </c>
      <c r="J1476">
        <v>695.40679932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1149.242857</v>
      </c>
      <c r="B1477" s="1">
        <f>DATE(2013,6,23) + TIME(5,49,42)</f>
        <v>41448.242847222224</v>
      </c>
      <c r="C1477">
        <v>80</v>
      </c>
      <c r="D1477">
        <v>79.951141356999997</v>
      </c>
      <c r="E1477">
        <v>50</v>
      </c>
      <c r="F1477">
        <v>45.952777863000001</v>
      </c>
      <c r="G1477">
        <v>1800.1691894999999</v>
      </c>
      <c r="H1477">
        <v>1673.1994629000001</v>
      </c>
      <c r="I1477">
        <v>891.13104248000002</v>
      </c>
      <c r="J1477">
        <v>694.68566895000004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1150.6016360000001</v>
      </c>
      <c r="B1478" s="1">
        <f>DATE(2013,6,24) + TIME(14,26,21)</f>
        <v>41449.601631944446</v>
      </c>
      <c r="C1478">
        <v>80</v>
      </c>
      <c r="D1478">
        <v>79.951126099000007</v>
      </c>
      <c r="E1478">
        <v>50</v>
      </c>
      <c r="F1478">
        <v>45.873786926000001</v>
      </c>
      <c r="G1478">
        <v>1800.2094727000001</v>
      </c>
      <c r="H1478">
        <v>1673.2517089999999</v>
      </c>
      <c r="I1478">
        <v>890.53894043000003</v>
      </c>
      <c r="J1478">
        <v>693.97381591999999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1151.9649159999999</v>
      </c>
      <c r="B1479" s="1">
        <f>DATE(2013,6,25) + TIME(23,9,28)</f>
        <v>41450.964907407404</v>
      </c>
      <c r="C1479">
        <v>80</v>
      </c>
      <c r="D1479">
        <v>79.951103209999999</v>
      </c>
      <c r="E1479">
        <v>50</v>
      </c>
      <c r="F1479">
        <v>45.793067932</v>
      </c>
      <c r="G1479">
        <v>1800.2098389</v>
      </c>
      <c r="H1479">
        <v>1673.2635498</v>
      </c>
      <c r="I1479">
        <v>889.96856689000003</v>
      </c>
      <c r="J1479">
        <v>693.27679443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1153.33491</v>
      </c>
      <c r="B1480" s="1">
        <f>DATE(2013,6,27) + TIME(8,2,16)</f>
        <v>41452.334907407407</v>
      </c>
      <c r="C1480">
        <v>80</v>
      </c>
      <c r="D1480">
        <v>79.951095581000004</v>
      </c>
      <c r="E1480">
        <v>50</v>
      </c>
      <c r="F1480">
        <v>45.711292266999997</v>
      </c>
      <c r="G1480">
        <v>1800.1759033000001</v>
      </c>
      <c r="H1480">
        <v>1673.2408447</v>
      </c>
      <c r="I1480">
        <v>889.42022704999999</v>
      </c>
      <c r="J1480">
        <v>692.59521484000004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1154.716079</v>
      </c>
      <c r="B1481" s="1">
        <f>DATE(2013,6,28) + TIME(17,11,9)</f>
        <v>41453.71607638889</v>
      </c>
      <c r="C1481">
        <v>80</v>
      </c>
      <c r="D1481">
        <v>79.951087951999995</v>
      </c>
      <c r="E1481">
        <v>50</v>
      </c>
      <c r="F1481">
        <v>45.628547668000003</v>
      </c>
      <c r="G1481">
        <v>1800.1116943</v>
      </c>
      <c r="H1481">
        <v>1673.1873779</v>
      </c>
      <c r="I1481">
        <v>888.89044189000003</v>
      </c>
      <c r="J1481">
        <v>691.92572021000001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1156.1149190000001</v>
      </c>
      <c r="B1482" s="1">
        <f>DATE(2013,6,30) + TIME(2,45,28)</f>
        <v>41455.114907407406</v>
      </c>
      <c r="C1482">
        <v>80</v>
      </c>
      <c r="D1482">
        <v>79.951087951999995</v>
      </c>
      <c r="E1482">
        <v>50</v>
      </c>
      <c r="F1482">
        <v>45.544639586999999</v>
      </c>
      <c r="G1482">
        <v>1800.0196533000001</v>
      </c>
      <c r="H1482">
        <v>1673.1058350000001</v>
      </c>
      <c r="I1482">
        <v>888.37524413999995</v>
      </c>
      <c r="J1482">
        <v>691.26379395000004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1157</v>
      </c>
      <c r="B1483" s="1">
        <f>DATE(2013,7,1) + TIME(0,0,0)</f>
        <v>41456</v>
      </c>
      <c r="C1483">
        <v>80</v>
      </c>
      <c r="D1483">
        <v>79.951004028</v>
      </c>
      <c r="E1483">
        <v>50</v>
      </c>
      <c r="F1483">
        <v>45.474178314</v>
      </c>
      <c r="G1483">
        <v>1799.8885498</v>
      </c>
      <c r="H1483">
        <v>1672.9836425999999</v>
      </c>
      <c r="I1483">
        <v>887.95947265999996</v>
      </c>
      <c r="J1483">
        <v>690.72570800999995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1158.423389</v>
      </c>
      <c r="B1484" s="1">
        <f>DATE(2013,7,2) + TIME(10,9,40)</f>
        <v>41457.423379629632</v>
      </c>
      <c r="C1484">
        <v>80</v>
      </c>
      <c r="D1484">
        <v>79.951103209999999</v>
      </c>
      <c r="E1484">
        <v>50</v>
      </c>
      <c r="F1484">
        <v>45.399127960000001</v>
      </c>
      <c r="G1484">
        <v>1799.7819824000001</v>
      </c>
      <c r="H1484">
        <v>1672.8848877</v>
      </c>
      <c r="I1484">
        <v>887.53948975000003</v>
      </c>
      <c r="J1484">
        <v>690.15911864999998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1159.9036799999999</v>
      </c>
      <c r="B1485" s="1">
        <f>DATE(2013,7,3) + TIME(21,41,17)</f>
        <v>41458.903668981482</v>
      </c>
      <c r="C1485">
        <v>80</v>
      </c>
      <c r="D1485">
        <v>79.951141356999997</v>
      </c>
      <c r="E1485">
        <v>50</v>
      </c>
      <c r="F1485">
        <v>45.314739226999997</v>
      </c>
      <c r="G1485">
        <v>1799.6403809000001</v>
      </c>
      <c r="H1485">
        <v>1672.7524414</v>
      </c>
      <c r="I1485">
        <v>887.05773925999995</v>
      </c>
      <c r="J1485">
        <v>689.51733397999999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1161.427817</v>
      </c>
      <c r="B1486" s="1">
        <f>DATE(2013,7,5) + TIME(10,16,3)</f>
        <v>41460.427812499998</v>
      </c>
      <c r="C1486">
        <v>80</v>
      </c>
      <c r="D1486">
        <v>79.951164246000005</v>
      </c>
      <c r="E1486">
        <v>50</v>
      </c>
      <c r="F1486">
        <v>45.224681854000004</v>
      </c>
      <c r="G1486">
        <v>1799.4617920000001</v>
      </c>
      <c r="H1486">
        <v>1672.583374</v>
      </c>
      <c r="I1486">
        <v>886.56536864999998</v>
      </c>
      <c r="J1486">
        <v>688.84783935999997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1162.964442</v>
      </c>
      <c r="B1487" s="1">
        <f>DATE(2013,7,6) + TIME(23,8,47)</f>
        <v>41461.964432870373</v>
      </c>
      <c r="C1487">
        <v>80</v>
      </c>
      <c r="D1487">
        <v>79.951179503999995</v>
      </c>
      <c r="E1487">
        <v>50</v>
      </c>
      <c r="F1487">
        <v>45.131145476999997</v>
      </c>
      <c r="G1487">
        <v>1799.2517089999999</v>
      </c>
      <c r="H1487">
        <v>1672.3826904</v>
      </c>
      <c r="I1487">
        <v>886.06982421999999</v>
      </c>
      <c r="J1487">
        <v>688.16192626999998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1164.519945</v>
      </c>
      <c r="B1488" s="1">
        <f>DATE(2013,7,8) + TIME(12,28,43)</f>
        <v>41463.519942129627</v>
      </c>
      <c r="C1488">
        <v>80</v>
      </c>
      <c r="D1488">
        <v>79.951202393000003</v>
      </c>
      <c r="E1488">
        <v>50</v>
      </c>
      <c r="F1488">
        <v>45.035392760999997</v>
      </c>
      <c r="G1488">
        <v>1799.0161132999999</v>
      </c>
      <c r="H1488">
        <v>1672.15625</v>
      </c>
      <c r="I1488">
        <v>885.57513428000004</v>
      </c>
      <c r="J1488">
        <v>687.46575928000004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1166.0859700000001</v>
      </c>
      <c r="B1489" s="1">
        <f>DATE(2013,7,10) + TIME(2,3,47)</f>
        <v>41465.085960648146</v>
      </c>
      <c r="C1489">
        <v>80</v>
      </c>
      <c r="D1489">
        <v>79.951225281000006</v>
      </c>
      <c r="E1489">
        <v>50</v>
      </c>
      <c r="F1489">
        <v>44.937873840000002</v>
      </c>
      <c r="G1489">
        <v>1798.7581786999999</v>
      </c>
      <c r="H1489">
        <v>1671.9071045000001</v>
      </c>
      <c r="I1489">
        <v>885.08032227000001</v>
      </c>
      <c r="J1489">
        <v>686.75909423999997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1167.66833</v>
      </c>
      <c r="B1490" s="1">
        <f>DATE(2013,7,11) + TIME(16,2,23)</f>
        <v>41466.668321759258</v>
      </c>
      <c r="C1490">
        <v>80</v>
      </c>
      <c r="D1490">
        <v>79.951255798000005</v>
      </c>
      <c r="E1490">
        <v>50</v>
      </c>
      <c r="F1490">
        <v>44.838775634999998</v>
      </c>
      <c r="G1490">
        <v>1798.4803466999999</v>
      </c>
      <c r="H1490">
        <v>1671.6378173999999</v>
      </c>
      <c r="I1490">
        <v>884.58496093999997</v>
      </c>
      <c r="J1490">
        <v>686.04168701000003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1169.274559</v>
      </c>
      <c r="B1491" s="1">
        <f>DATE(2013,7,13) + TIME(6,35,21)</f>
        <v>41468.274548611109</v>
      </c>
      <c r="C1491">
        <v>80</v>
      </c>
      <c r="D1491">
        <v>79.951293945000003</v>
      </c>
      <c r="E1491">
        <v>50</v>
      </c>
      <c r="F1491">
        <v>44.737876892000003</v>
      </c>
      <c r="G1491">
        <v>1798.1837158000001</v>
      </c>
      <c r="H1491">
        <v>1671.3493652</v>
      </c>
      <c r="I1491">
        <v>884.08636475000003</v>
      </c>
      <c r="J1491">
        <v>685.31005859000004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1170.9128760000001</v>
      </c>
      <c r="B1492" s="1">
        <f>DATE(2013,7,14) + TIME(21,54,32)</f>
        <v>41469.912870370368</v>
      </c>
      <c r="C1492">
        <v>80</v>
      </c>
      <c r="D1492">
        <v>79.951339722</v>
      </c>
      <c r="E1492">
        <v>50</v>
      </c>
      <c r="F1492">
        <v>44.634742737000003</v>
      </c>
      <c r="G1492">
        <v>1797.8679199000001</v>
      </c>
      <c r="H1492">
        <v>1671.0417480000001</v>
      </c>
      <c r="I1492">
        <v>883.58099364999998</v>
      </c>
      <c r="J1492">
        <v>684.55944824000005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1172.5925970000001</v>
      </c>
      <c r="B1493" s="1">
        <f>DATE(2013,7,16) + TIME(14,13,20)</f>
        <v>41471.592592592591</v>
      </c>
      <c r="C1493">
        <v>80</v>
      </c>
      <c r="D1493">
        <v>79.951385497999993</v>
      </c>
      <c r="E1493">
        <v>50</v>
      </c>
      <c r="F1493">
        <v>44.528842926000003</v>
      </c>
      <c r="G1493">
        <v>1797.5324707</v>
      </c>
      <c r="H1493">
        <v>1670.7141113</v>
      </c>
      <c r="I1493">
        <v>883.06518555000002</v>
      </c>
      <c r="J1493">
        <v>683.78442383000004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1174.295963</v>
      </c>
      <c r="B1494" s="1">
        <f>DATE(2013,7,18) + TIME(7,6,11)</f>
        <v>41473.295960648145</v>
      </c>
      <c r="C1494">
        <v>80</v>
      </c>
      <c r="D1494">
        <v>79.951431274000001</v>
      </c>
      <c r="E1494">
        <v>50</v>
      </c>
      <c r="F1494">
        <v>44.420097351000003</v>
      </c>
      <c r="G1494">
        <v>1797.1782227000001</v>
      </c>
      <c r="H1494">
        <v>1670.3675536999999</v>
      </c>
      <c r="I1494">
        <v>882.53594970999995</v>
      </c>
      <c r="J1494">
        <v>682.98150635000002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1176.016658</v>
      </c>
      <c r="B1495" s="1">
        <f>DATE(2013,7,20) + TIME(0,23,59)</f>
        <v>41475.016655092593</v>
      </c>
      <c r="C1495">
        <v>80</v>
      </c>
      <c r="D1495">
        <v>79.951477050999998</v>
      </c>
      <c r="E1495">
        <v>50</v>
      </c>
      <c r="F1495">
        <v>44.309024811</v>
      </c>
      <c r="G1495">
        <v>1796.8074951000001</v>
      </c>
      <c r="H1495">
        <v>1670.0043945</v>
      </c>
      <c r="I1495">
        <v>881.99560546999999</v>
      </c>
      <c r="J1495">
        <v>682.15368651999995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1177.749041</v>
      </c>
      <c r="B1496" s="1">
        <f>DATE(2013,7,21) + TIME(17,58,37)</f>
        <v>41476.749039351853</v>
      </c>
      <c r="C1496">
        <v>80</v>
      </c>
      <c r="D1496">
        <v>79.951522827000005</v>
      </c>
      <c r="E1496">
        <v>50</v>
      </c>
      <c r="F1496">
        <v>44.196041106999999</v>
      </c>
      <c r="G1496">
        <v>1796.4227295000001</v>
      </c>
      <c r="H1496">
        <v>1669.6268310999999</v>
      </c>
      <c r="I1496">
        <v>881.44500731999995</v>
      </c>
      <c r="J1496">
        <v>681.30273437999995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1179.499849</v>
      </c>
      <c r="B1497" s="1">
        <f>DATE(2013,7,23) + TIME(11,59,46)</f>
        <v>41478.499837962961</v>
      </c>
      <c r="C1497">
        <v>80</v>
      </c>
      <c r="D1497">
        <v>79.951576232999997</v>
      </c>
      <c r="E1497">
        <v>50</v>
      </c>
      <c r="F1497">
        <v>44.081295013000002</v>
      </c>
      <c r="G1497">
        <v>1796.0246582</v>
      </c>
      <c r="H1497">
        <v>1669.2357178</v>
      </c>
      <c r="I1497">
        <v>880.88458251999998</v>
      </c>
      <c r="J1497">
        <v>680.42907715000001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1181.277153</v>
      </c>
      <c r="B1498" s="1">
        <f>DATE(2013,7,25) + TIME(6,39,6)</f>
        <v>41480.27715277778</v>
      </c>
      <c r="C1498">
        <v>80</v>
      </c>
      <c r="D1498">
        <v>79.951637267999999</v>
      </c>
      <c r="E1498">
        <v>50</v>
      </c>
      <c r="F1498">
        <v>43.964500426999997</v>
      </c>
      <c r="G1498">
        <v>1795.6132812000001</v>
      </c>
      <c r="H1498">
        <v>1668.8311768000001</v>
      </c>
      <c r="I1498">
        <v>880.31195068</v>
      </c>
      <c r="J1498">
        <v>679.52941895000004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1183.0875530000001</v>
      </c>
      <c r="B1499" s="1">
        <f>DATE(2013,7,27) + TIME(2,6,4)</f>
        <v>41482.087546296294</v>
      </c>
      <c r="C1499">
        <v>80</v>
      </c>
      <c r="D1499">
        <v>79.951698303000001</v>
      </c>
      <c r="E1499">
        <v>50</v>
      </c>
      <c r="F1499">
        <v>43.845233917000002</v>
      </c>
      <c r="G1499">
        <v>1795.1879882999999</v>
      </c>
      <c r="H1499">
        <v>1668.4124756000001</v>
      </c>
      <c r="I1499">
        <v>879.72406006000006</v>
      </c>
      <c r="J1499">
        <v>678.59930420000001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1184.939245</v>
      </c>
      <c r="B1500" s="1">
        <f>DATE(2013,7,28) + TIME(22,32,30)</f>
        <v>41483.939236111109</v>
      </c>
      <c r="C1500">
        <v>80</v>
      </c>
      <c r="D1500">
        <v>79.951759338000002</v>
      </c>
      <c r="E1500">
        <v>50</v>
      </c>
      <c r="F1500">
        <v>43.723033905000001</v>
      </c>
      <c r="G1500">
        <v>1794.7476807</v>
      </c>
      <c r="H1500">
        <v>1667.9785156</v>
      </c>
      <c r="I1500">
        <v>879.11798095999995</v>
      </c>
      <c r="J1500">
        <v>677.63397216999999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1186.817843</v>
      </c>
      <c r="B1501" s="1">
        <f>DATE(2013,7,30) + TIME(19,37,41)</f>
        <v>41485.817835648151</v>
      </c>
      <c r="C1501">
        <v>80</v>
      </c>
      <c r="D1501">
        <v>79.951820373999993</v>
      </c>
      <c r="E1501">
        <v>50</v>
      </c>
      <c r="F1501">
        <v>43.597808837999999</v>
      </c>
      <c r="G1501">
        <v>1794.2938231999999</v>
      </c>
      <c r="H1501">
        <v>1667.5310059000001</v>
      </c>
      <c r="I1501">
        <v>878.49090576000003</v>
      </c>
      <c r="J1501">
        <v>676.62994385000002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1188</v>
      </c>
      <c r="B1502" s="1">
        <f>DATE(2013,8,1) + TIME(0,0,0)</f>
        <v>41487</v>
      </c>
      <c r="C1502">
        <v>80</v>
      </c>
      <c r="D1502">
        <v>79.951789856000005</v>
      </c>
      <c r="E1502">
        <v>50</v>
      </c>
      <c r="F1502">
        <v>43.489070892000001</v>
      </c>
      <c r="G1502">
        <v>1793.9471435999999</v>
      </c>
      <c r="H1502">
        <v>1667.1896973</v>
      </c>
      <c r="I1502">
        <v>877.88171387</v>
      </c>
      <c r="J1502">
        <v>675.68542479999996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1189.881627</v>
      </c>
      <c r="B1503" s="1">
        <f>DATE(2013,8,2) + TIME(21,9,32)</f>
        <v>41488.881620370368</v>
      </c>
      <c r="C1503">
        <v>80</v>
      </c>
      <c r="D1503">
        <v>79.951919556000007</v>
      </c>
      <c r="E1503">
        <v>50</v>
      </c>
      <c r="F1503">
        <v>43.381141663000001</v>
      </c>
      <c r="G1503">
        <v>1793.5030518000001</v>
      </c>
      <c r="H1503">
        <v>1666.7503661999999</v>
      </c>
      <c r="I1503">
        <v>877.40594481999995</v>
      </c>
      <c r="J1503">
        <v>674.87091064000003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1191.785065</v>
      </c>
      <c r="B1504" s="1">
        <f>DATE(2013,8,4) + TIME(18,50,29)</f>
        <v>41490.785057870373</v>
      </c>
      <c r="C1504">
        <v>80</v>
      </c>
      <c r="D1504">
        <v>79.952003478999998</v>
      </c>
      <c r="E1504">
        <v>50</v>
      </c>
      <c r="F1504">
        <v>43.257690429999997</v>
      </c>
      <c r="G1504">
        <v>1793.0433350000001</v>
      </c>
      <c r="H1504">
        <v>1666.2961425999999</v>
      </c>
      <c r="I1504">
        <v>876.76593018000005</v>
      </c>
      <c r="J1504">
        <v>673.83697510000002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1193.710789</v>
      </c>
      <c r="B1505" s="1">
        <f>DATE(2013,8,6) + TIME(17,3,32)</f>
        <v>41492.710787037038</v>
      </c>
      <c r="C1505">
        <v>80</v>
      </c>
      <c r="D1505">
        <v>79.952072143999999</v>
      </c>
      <c r="E1505">
        <v>50</v>
      </c>
      <c r="F1505">
        <v>43.128276825</v>
      </c>
      <c r="G1505">
        <v>1792.5666504000001</v>
      </c>
      <c r="H1505">
        <v>1665.8249512</v>
      </c>
      <c r="I1505">
        <v>876.09417725000003</v>
      </c>
      <c r="J1505">
        <v>672.74291991999996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1195.6676769999999</v>
      </c>
      <c r="B1506" s="1">
        <f>DATE(2013,8,8) + TIME(16,1,27)</f>
        <v>41494.667673611111</v>
      </c>
      <c r="C1506">
        <v>80</v>
      </c>
      <c r="D1506">
        <v>79.952133179</v>
      </c>
      <c r="E1506">
        <v>50</v>
      </c>
      <c r="F1506">
        <v>42.995597838999998</v>
      </c>
      <c r="G1506">
        <v>1792.0764160000001</v>
      </c>
      <c r="H1506">
        <v>1665.3399658000001</v>
      </c>
      <c r="I1506">
        <v>875.40240478999999</v>
      </c>
      <c r="J1506">
        <v>671.60900878999996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1197.6630439999999</v>
      </c>
      <c r="B1507" s="1">
        <f>DATE(2013,8,10) + TIME(15,54,46)</f>
        <v>41496.663032407407</v>
      </c>
      <c r="C1507">
        <v>80</v>
      </c>
      <c r="D1507">
        <v>79.952201842999997</v>
      </c>
      <c r="E1507">
        <v>50</v>
      </c>
      <c r="F1507">
        <v>42.860099792</v>
      </c>
      <c r="G1507">
        <v>1791.5734863</v>
      </c>
      <c r="H1507">
        <v>1664.8424072</v>
      </c>
      <c r="I1507">
        <v>874.69042968999997</v>
      </c>
      <c r="J1507">
        <v>670.43646239999998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1199.6967850000001</v>
      </c>
      <c r="B1508" s="1">
        <f>DATE(2013,8,12) + TIME(16,43,22)</f>
        <v>41498.696782407409</v>
      </c>
      <c r="C1508">
        <v>80</v>
      </c>
      <c r="D1508">
        <v>79.952278136999993</v>
      </c>
      <c r="E1508">
        <v>50</v>
      </c>
      <c r="F1508">
        <v>42.721763611</v>
      </c>
      <c r="G1508">
        <v>1791.0585937999999</v>
      </c>
      <c r="H1508">
        <v>1664.3326416</v>
      </c>
      <c r="I1508">
        <v>873.95672606999995</v>
      </c>
      <c r="J1508">
        <v>669.22308350000003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1201.752504</v>
      </c>
      <c r="B1509" s="1">
        <f>DATE(2013,8,14) + TIME(18,3,36)</f>
        <v>41500.752500000002</v>
      </c>
      <c r="C1509">
        <v>80</v>
      </c>
      <c r="D1509">
        <v>79.952346801999994</v>
      </c>
      <c r="E1509">
        <v>50</v>
      </c>
      <c r="F1509">
        <v>42.580966949</v>
      </c>
      <c r="G1509">
        <v>1790.534668</v>
      </c>
      <c r="H1509">
        <v>1663.8137207</v>
      </c>
      <c r="I1509">
        <v>873.20196533000001</v>
      </c>
      <c r="J1509">
        <v>667.97052001999998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1203.8146549999999</v>
      </c>
      <c r="B1510" s="1">
        <f>DATE(2013,8,16) + TIME(19,33,6)</f>
        <v>41502.814652777779</v>
      </c>
      <c r="C1510">
        <v>80</v>
      </c>
      <c r="D1510">
        <v>79.952423096000004</v>
      </c>
      <c r="E1510">
        <v>50</v>
      </c>
      <c r="F1510">
        <v>42.438728333</v>
      </c>
      <c r="G1510">
        <v>1790.0054932</v>
      </c>
      <c r="H1510">
        <v>1663.2893065999999</v>
      </c>
      <c r="I1510">
        <v>872.43188477000001</v>
      </c>
      <c r="J1510">
        <v>666.68786621000004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1205.89095</v>
      </c>
      <c r="B1511" s="1">
        <f>DATE(2013,8,18) + TIME(21,22,58)</f>
        <v>41504.890949074077</v>
      </c>
      <c r="C1511">
        <v>80</v>
      </c>
      <c r="D1511">
        <v>79.952491760000001</v>
      </c>
      <c r="E1511">
        <v>50</v>
      </c>
      <c r="F1511">
        <v>42.295780182000001</v>
      </c>
      <c r="G1511">
        <v>1789.4710693</v>
      </c>
      <c r="H1511">
        <v>1662.7596435999999</v>
      </c>
      <c r="I1511">
        <v>871.65270996000004</v>
      </c>
      <c r="J1511">
        <v>665.38391113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1207.989331</v>
      </c>
      <c r="B1512" s="1">
        <f>DATE(2013,8,20) + TIME(23,44,38)</f>
        <v>41506.989328703705</v>
      </c>
      <c r="C1512">
        <v>80</v>
      </c>
      <c r="D1512">
        <v>79.952568053999997</v>
      </c>
      <c r="E1512">
        <v>50</v>
      </c>
      <c r="F1512">
        <v>42.152065276999998</v>
      </c>
      <c r="G1512">
        <v>1788.9310303</v>
      </c>
      <c r="H1512">
        <v>1662.223999</v>
      </c>
      <c r="I1512">
        <v>870.86364746000004</v>
      </c>
      <c r="J1512">
        <v>664.05780029000005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1210.1188119999999</v>
      </c>
      <c r="B1513" s="1">
        <f>DATE(2013,8,23) + TIME(2,51,5)</f>
        <v>41509.118807870371</v>
      </c>
      <c r="C1513">
        <v>80</v>
      </c>
      <c r="D1513">
        <v>79.952644348000007</v>
      </c>
      <c r="E1513">
        <v>50</v>
      </c>
      <c r="F1513">
        <v>42.007282257</v>
      </c>
      <c r="G1513">
        <v>1788.3839111</v>
      </c>
      <c r="H1513">
        <v>1661.6812743999999</v>
      </c>
      <c r="I1513">
        <v>870.06304932</v>
      </c>
      <c r="J1513">
        <v>662.70660399999997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1212.281958</v>
      </c>
      <c r="B1514" s="1">
        <f>DATE(2013,8,25) + TIME(6,46,1)</f>
        <v>41511.281956018516</v>
      </c>
      <c r="C1514">
        <v>80</v>
      </c>
      <c r="D1514">
        <v>79.952728270999998</v>
      </c>
      <c r="E1514">
        <v>50</v>
      </c>
      <c r="F1514">
        <v>41.861221313000001</v>
      </c>
      <c r="G1514">
        <v>1787.8289795000001</v>
      </c>
      <c r="H1514">
        <v>1661.1304932</v>
      </c>
      <c r="I1514">
        <v>869.24896239999998</v>
      </c>
      <c r="J1514">
        <v>661.32733154000005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1214.471086</v>
      </c>
      <c r="B1515" s="1">
        <f>DATE(2013,8,27) + TIME(11,18,21)</f>
        <v>41513.471076388887</v>
      </c>
      <c r="C1515">
        <v>80</v>
      </c>
      <c r="D1515">
        <v>79.952804564999994</v>
      </c>
      <c r="E1515">
        <v>50</v>
      </c>
      <c r="F1515">
        <v>41.714084624999998</v>
      </c>
      <c r="G1515">
        <v>1787.2674560999999</v>
      </c>
      <c r="H1515">
        <v>1660.5732422000001</v>
      </c>
      <c r="I1515">
        <v>868.42169189000003</v>
      </c>
      <c r="J1515">
        <v>659.92083739999998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1216.6942979999999</v>
      </c>
      <c r="B1516" s="1">
        <f>DATE(2013,8,29) + TIME(16,39,47)</f>
        <v>41515.694293981483</v>
      </c>
      <c r="C1516">
        <v>80</v>
      </c>
      <c r="D1516">
        <v>79.952888489000003</v>
      </c>
      <c r="E1516">
        <v>50</v>
      </c>
      <c r="F1516">
        <v>41.566219330000003</v>
      </c>
      <c r="G1516">
        <v>1786.6984863</v>
      </c>
      <c r="H1516">
        <v>1660.0080565999999</v>
      </c>
      <c r="I1516">
        <v>867.58514404000005</v>
      </c>
      <c r="J1516">
        <v>658.4921875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1217.8471489999999</v>
      </c>
      <c r="B1517" s="1">
        <f>DATE(2013,8,30) + TIME(20,19,53)</f>
        <v>41516.847141203703</v>
      </c>
      <c r="C1517">
        <v>80</v>
      </c>
      <c r="D1517">
        <v>79.952857971</v>
      </c>
      <c r="E1517">
        <v>50</v>
      </c>
      <c r="F1517">
        <v>41.446640015</v>
      </c>
      <c r="G1517">
        <v>1786.3461914</v>
      </c>
      <c r="H1517">
        <v>1659.6591797000001</v>
      </c>
      <c r="I1517">
        <v>866.79199218999997</v>
      </c>
      <c r="J1517">
        <v>657.20410156000003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1219</v>
      </c>
      <c r="B1518" s="1">
        <f>DATE(2013,9,1) + TIME(0,0,0)</f>
        <v>41518</v>
      </c>
      <c r="C1518">
        <v>80</v>
      </c>
      <c r="D1518">
        <v>79.952873229999994</v>
      </c>
      <c r="E1518">
        <v>50</v>
      </c>
      <c r="F1518">
        <v>41.353221892999997</v>
      </c>
      <c r="G1518">
        <v>1786.0029297000001</v>
      </c>
      <c r="H1518">
        <v>1659.3181152</v>
      </c>
      <c r="I1518">
        <v>866.29583739999998</v>
      </c>
      <c r="J1518">
        <v>656.32598876999998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1220.1494580000001</v>
      </c>
      <c r="B1519" s="1">
        <f>DATE(2013,9,2) + TIME(3,35,13)</f>
        <v>41519.149456018517</v>
      </c>
      <c r="C1519">
        <v>80</v>
      </c>
      <c r="D1519">
        <v>79.952926636000001</v>
      </c>
      <c r="E1519">
        <v>50</v>
      </c>
      <c r="F1519">
        <v>41.270732879999997</v>
      </c>
      <c r="G1519">
        <v>1785.675293</v>
      </c>
      <c r="H1519">
        <v>1658.9924315999999</v>
      </c>
      <c r="I1519">
        <v>865.84509276999995</v>
      </c>
      <c r="J1519">
        <v>655.53411864999998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1221.298916</v>
      </c>
      <c r="B1520" s="1">
        <f>DATE(2013,9,3) + TIME(7,10,26)</f>
        <v>41520.29891203704</v>
      </c>
      <c r="C1520">
        <v>80</v>
      </c>
      <c r="D1520">
        <v>79.952987671000002</v>
      </c>
      <c r="E1520">
        <v>50</v>
      </c>
      <c r="F1520">
        <v>41.193027495999999</v>
      </c>
      <c r="G1520">
        <v>1785.3580322</v>
      </c>
      <c r="H1520">
        <v>1658.677124</v>
      </c>
      <c r="I1520">
        <v>865.40991211000005</v>
      </c>
      <c r="J1520">
        <v>654.77416991999996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1222.4483740000001</v>
      </c>
      <c r="B1521" s="1">
        <f>DATE(2013,9,4) + TIME(10,45,39)</f>
        <v>41521.448368055557</v>
      </c>
      <c r="C1521">
        <v>80</v>
      </c>
      <c r="D1521">
        <v>79.953041076999995</v>
      </c>
      <c r="E1521">
        <v>50</v>
      </c>
      <c r="F1521">
        <v>41.117637633999998</v>
      </c>
      <c r="G1521">
        <v>1785.0472411999999</v>
      </c>
      <c r="H1521">
        <v>1658.3681641000001</v>
      </c>
      <c r="I1521">
        <v>864.98168944999998</v>
      </c>
      <c r="J1521">
        <v>654.02783203000001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1224.74729</v>
      </c>
      <c r="B1522" s="1">
        <f>DATE(2013,9,6) + TIME(17,56,5)</f>
        <v>41523.74728009259</v>
      </c>
      <c r="C1522">
        <v>80</v>
      </c>
      <c r="D1522">
        <v>79.953216553000004</v>
      </c>
      <c r="E1522">
        <v>50</v>
      </c>
      <c r="F1522">
        <v>41.025062560999999</v>
      </c>
      <c r="G1522">
        <v>1784.5323486</v>
      </c>
      <c r="H1522">
        <v>1657.8554687999999</v>
      </c>
      <c r="I1522">
        <v>864.54138183999999</v>
      </c>
      <c r="J1522">
        <v>653.20013428000004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1227.0483449999999</v>
      </c>
      <c r="B1523" s="1">
        <f>DATE(2013,9,9) + TIME(1,9,36)</f>
        <v>41526.048333333332</v>
      </c>
      <c r="C1523">
        <v>80</v>
      </c>
      <c r="D1523">
        <v>79.953300475999995</v>
      </c>
      <c r="E1523">
        <v>50</v>
      </c>
      <c r="F1523">
        <v>40.893760681000003</v>
      </c>
      <c r="G1523">
        <v>1783.9885254000001</v>
      </c>
      <c r="H1523">
        <v>1657.3149414</v>
      </c>
      <c r="I1523">
        <v>863.74084473000005</v>
      </c>
      <c r="J1523">
        <v>651.83184814000003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1229.3997589999999</v>
      </c>
      <c r="B1524" s="1">
        <f>DATE(2013,9,11) + TIME(9,35,39)</f>
        <v>41528.399756944447</v>
      </c>
      <c r="C1524">
        <v>80</v>
      </c>
      <c r="D1524">
        <v>79.953369140999996</v>
      </c>
      <c r="E1524">
        <v>50</v>
      </c>
      <c r="F1524">
        <v>40.754116058000001</v>
      </c>
      <c r="G1524">
        <v>1783.4161377</v>
      </c>
      <c r="H1524">
        <v>1656.7458495999999</v>
      </c>
      <c r="I1524">
        <v>862.91351318</v>
      </c>
      <c r="J1524">
        <v>650.39373779000005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1231.784214</v>
      </c>
      <c r="B1525" s="1">
        <f>DATE(2013,9,13) + TIME(18,49,16)</f>
        <v>41530.784212962964</v>
      </c>
      <c r="C1525">
        <v>80</v>
      </c>
      <c r="D1525">
        <v>79.953437804999993</v>
      </c>
      <c r="E1525">
        <v>50</v>
      </c>
      <c r="F1525">
        <v>40.613098145000002</v>
      </c>
      <c r="G1525">
        <v>1782.8277588000001</v>
      </c>
      <c r="H1525">
        <v>1656.1607666</v>
      </c>
      <c r="I1525">
        <v>862.07891845999995</v>
      </c>
      <c r="J1525">
        <v>648.93353271000001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1234.208018</v>
      </c>
      <c r="B1526" s="1">
        <f>DATE(2013,9,16) + TIME(4,59,32)</f>
        <v>41533.208009259259</v>
      </c>
      <c r="C1526">
        <v>80</v>
      </c>
      <c r="D1526">
        <v>79.953521729000002</v>
      </c>
      <c r="E1526">
        <v>50</v>
      </c>
      <c r="F1526">
        <v>40.473381042</v>
      </c>
      <c r="G1526">
        <v>1782.2274170000001</v>
      </c>
      <c r="H1526">
        <v>1655.5634766000001</v>
      </c>
      <c r="I1526">
        <v>861.25006103999999</v>
      </c>
      <c r="J1526">
        <v>647.47576904000005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1236.6821010000001</v>
      </c>
      <c r="B1527" s="1">
        <f>DATE(2013,9,18) + TIME(16,22,13)</f>
        <v>41535.68209490741</v>
      </c>
      <c r="C1527">
        <v>80</v>
      </c>
      <c r="D1527">
        <v>79.953605651999993</v>
      </c>
      <c r="E1527">
        <v>50</v>
      </c>
      <c r="F1527">
        <v>40.335792542</v>
      </c>
      <c r="G1527">
        <v>1781.6151123</v>
      </c>
      <c r="H1527">
        <v>1654.9543457</v>
      </c>
      <c r="I1527">
        <v>860.43017578000001</v>
      </c>
      <c r="J1527">
        <v>646.02722168000003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1239.186068</v>
      </c>
      <c r="B1528" s="1">
        <f>DATE(2013,9,21) + TIME(4,27,56)</f>
        <v>41538.186064814814</v>
      </c>
      <c r="C1528">
        <v>80</v>
      </c>
      <c r="D1528">
        <v>79.953689574999999</v>
      </c>
      <c r="E1528">
        <v>50</v>
      </c>
      <c r="F1528">
        <v>40.201072693</v>
      </c>
      <c r="G1528">
        <v>1780.9954834</v>
      </c>
      <c r="H1528">
        <v>1654.3376464999999</v>
      </c>
      <c r="I1528">
        <v>859.62042236000002</v>
      </c>
      <c r="J1528">
        <v>644.59210204999999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1241.6960409999999</v>
      </c>
      <c r="B1529" s="1">
        <f>DATE(2013,9,23) + TIME(16,42,17)</f>
        <v>41540.696030092593</v>
      </c>
      <c r="C1529">
        <v>80</v>
      </c>
      <c r="D1529">
        <v>79.953773498999993</v>
      </c>
      <c r="E1529">
        <v>50</v>
      </c>
      <c r="F1529">
        <v>40.070892334</v>
      </c>
      <c r="G1529">
        <v>1780.3735352000001</v>
      </c>
      <c r="H1529">
        <v>1653.7186279</v>
      </c>
      <c r="I1529">
        <v>858.83093262</v>
      </c>
      <c r="J1529">
        <v>643.18835449000005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1244.220188</v>
      </c>
      <c r="B1530" s="1">
        <f>DATE(2013,9,26) + TIME(5,17,4)</f>
        <v>41543.220185185186</v>
      </c>
      <c r="C1530">
        <v>80</v>
      </c>
      <c r="D1530">
        <v>79.953857421999999</v>
      </c>
      <c r="E1530">
        <v>50</v>
      </c>
      <c r="F1530">
        <v>39.946784973</v>
      </c>
      <c r="G1530">
        <v>1779.7492675999999</v>
      </c>
      <c r="H1530">
        <v>1653.097168</v>
      </c>
      <c r="I1530">
        <v>858.07269286999997</v>
      </c>
      <c r="J1530">
        <v>641.83459473000005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1246.767006</v>
      </c>
      <c r="B1531" s="1">
        <f>DATE(2013,9,28) + TIME(18,24,29)</f>
        <v>41545.767002314817</v>
      </c>
      <c r="C1531">
        <v>80</v>
      </c>
      <c r="D1531">
        <v>79.953941345000004</v>
      </c>
      <c r="E1531">
        <v>50</v>
      </c>
      <c r="F1531">
        <v>39.829353333</v>
      </c>
      <c r="G1531">
        <v>1779.1218262</v>
      </c>
      <c r="H1531">
        <v>1652.4725341999999</v>
      </c>
      <c r="I1531">
        <v>857.34741211000005</v>
      </c>
      <c r="J1531">
        <v>640.53558350000003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1249</v>
      </c>
      <c r="B1532" s="1">
        <f>DATE(2013,10,1) + TIME(0,0,0)</f>
        <v>41548</v>
      </c>
      <c r="C1532">
        <v>80</v>
      </c>
      <c r="D1532">
        <v>79.954002380000006</v>
      </c>
      <c r="E1532">
        <v>50</v>
      </c>
      <c r="F1532">
        <v>39.722835541000002</v>
      </c>
      <c r="G1532">
        <v>1778.5526123</v>
      </c>
      <c r="H1532">
        <v>1651.9057617000001</v>
      </c>
      <c r="I1532">
        <v>856.65722656000003</v>
      </c>
      <c r="J1532">
        <v>639.31188965000001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1251.578211</v>
      </c>
      <c r="B1533" s="1">
        <f>DATE(2013,10,3) + TIME(13,52,37)</f>
        <v>41550.578206018516</v>
      </c>
      <c r="C1533">
        <v>80</v>
      </c>
      <c r="D1533">
        <v>79.954101562000005</v>
      </c>
      <c r="E1533">
        <v>50</v>
      </c>
      <c r="F1533">
        <v>39.627872467000003</v>
      </c>
      <c r="G1533">
        <v>1777.9285889</v>
      </c>
      <c r="H1533">
        <v>1651.2841797000001</v>
      </c>
      <c r="I1533">
        <v>856.08184814000003</v>
      </c>
      <c r="J1533">
        <v>638.25714111000002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1254.225021</v>
      </c>
      <c r="B1534" s="1">
        <f>DATE(2013,10,6) + TIME(5,24,1)</f>
        <v>41553.225011574075</v>
      </c>
      <c r="C1534">
        <v>80</v>
      </c>
      <c r="D1534">
        <v>79.954200744999994</v>
      </c>
      <c r="E1534">
        <v>50</v>
      </c>
      <c r="F1534">
        <v>39.535221100000001</v>
      </c>
      <c r="G1534">
        <v>1777.2929687999999</v>
      </c>
      <c r="H1534">
        <v>1650.6508789</v>
      </c>
      <c r="I1534">
        <v>855.47277831999997</v>
      </c>
      <c r="J1534">
        <v>637.16400146000001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1256.880584</v>
      </c>
      <c r="B1535" s="1">
        <f>DATE(2013,10,8) + TIME(21,8,2)</f>
        <v>41555.880578703705</v>
      </c>
      <c r="C1535">
        <v>80</v>
      </c>
      <c r="D1535">
        <v>79.954284668</v>
      </c>
      <c r="E1535">
        <v>50</v>
      </c>
      <c r="F1535">
        <v>39.450057983000001</v>
      </c>
      <c r="G1535">
        <v>1776.6536865</v>
      </c>
      <c r="H1535">
        <v>1650.0140381000001</v>
      </c>
      <c r="I1535">
        <v>854.89068603999999</v>
      </c>
      <c r="J1535">
        <v>636.12280272999999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1259.5551170000001</v>
      </c>
      <c r="B1536" s="1">
        <f>DATE(2013,10,11) + TIME(13,19,22)</f>
        <v>41558.555115740739</v>
      </c>
      <c r="C1536">
        <v>80</v>
      </c>
      <c r="D1536">
        <v>79.954376221000004</v>
      </c>
      <c r="E1536">
        <v>50</v>
      </c>
      <c r="F1536">
        <v>39.375434875000003</v>
      </c>
      <c r="G1536">
        <v>1776.0109863</v>
      </c>
      <c r="H1536">
        <v>1649.3737793</v>
      </c>
      <c r="I1536">
        <v>854.35675048999997</v>
      </c>
      <c r="J1536">
        <v>635.17022704999999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1262.2761049999999</v>
      </c>
      <c r="B1537" s="1">
        <f>DATE(2013,10,14) + TIME(6,37,35)</f>
        <v>41561.276099537034</v>
      </c>
      <c r="C1537">
        <v>80</v>
      </c>
      <c r="D1537">
        <v>79.954460143999995</v>
      </c>
      <c r="E1537">
        <v>50</v>
      </c>
      <c r="F1537">
        <v>39.312358856000003</v>
      </c>
      <c r="G1537">
        <v>1775.3614502</v>
      </c>
      <c r="H1537">
        <v>1648.7264404</v>
      </c>
      <c r="I1537">
        <v>853.87292479999996</v>
      </c>
      <c r="J1537">
        <v>634.3125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1265.036834</v>
      </c>
      <c r="B1538" s="1">
        <f>DATE(2013,10,17) + TIME(0,53,2)</f>
        <v>41564.036828703705</v>
      </c>
      <c r="C1538">
        <v>80</v>
      </c>
      <c r="D1538">
        <v>79.954551696999999</v>
      </c>
      <c r="E1538">
        <v>50</v>
      </c>
      <c r="F1538">
        <v>39.261524199999997</v>
      </c>
      <c r="G1538">
        <v>1774.7062988</v>
      </c>
      <c r="H1538">
        <v>1648.0734863</v>
      </c>
      <c r="I1538">
        <v>853.43627930000002</v>
      </c>
      <c r="J1538">
        <v>633.54876708999996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1267.8276020000001</v>
      </c>
      <c r="B1539" s="1">
        <f>DATE(2013,10,19) + TIME(19,51,44)</f>
        <v>41566.827592592592</v>
      </c>
      <c r="C1539">
        <v>80</v>
      </c>
      <c r="D1539">
        <v>79.954643250000004</v>
      </c>
      <c r="E1539">
        <v>50</v>
      </c>
      <c r="F1539">
        <v>39.224025726000001</v>
      </c>
      <c r="G1539">
        <v>1774.0473632999999</v>
      </c>
      <c r="H1539">
        <v>1647.4167480000001</v>
      </c>
      <c r="I1539">
        <v>853.04980468999997</v>
      </c>
      <c r="J1539">
        <v>632.88659668000003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1270.6578689999999</v>
      </c>
      <c r="B1540" s="1">
        <f>DATE(2013,10,22) + TIME(15,47,19)</f>
        <v>41569.657858796294</v>
      </c>
      <c r="C1540">
        <v>80</v>
      </c>
      <c r="D1540">
        <v>79.954734802000004</v>
      </c>
      <c r="E1540">
        <v>50</v>
      </c>
      <c r="F1540">
        <v>39.200839995999999</v>
      </c>
      <c r="G1540">
        <v>1773.3835449000001</v>
      </c>
      <c r="H1540">
        <v>1646.7550048999999</v>
      </c>
      <c r="I1540">
        <v>852.71630859000004</v>
      </c>
      <c r="J1540">
        <v>632.33270263999998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1272.0977869999999</v>
      </c>
      <c r="B1541" s="1">
        <f>DATE(2013,10,24) + TIME(2,20,48)</f>
        <v>41571.097777777781</v>
      </c>
      <c r="C1541">
        <v>80</v>
      </c>
      <c r="D1541">
        <v>79.954727172999995</v>
      </c>
      <c r="E1541">
        <v>50</v>
      </c>
      <c r="F1541">
        <v>39.194377899000003</v>
      </c>
      <c r="G1541">
        <v>1772.9975586</v>
      </c>
      <c r="H1541">
        <v>1646.3706055</v>
      </c>
      <c r="I1541">
        <v>852.42285156000003</v>
      </c>
      <c r="J1541">
        <v>631.88793944999998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1273.537705</v>
      </c>
      <c r="B1542" s="1">
        <f>DATE(2013,10,25) + TIME(12,54,17)</f>
        <v>41572.53769675926</v>
      </c>
      <c r="C1542">
        <v>80</v>
      </c>
      <c r="D1542">
        <v>79.954757689999994</v>
      </c>
      <c r="E1542">
        <v>50</v>
      </c>
      <c r="F1542">
        <v>39.196056366000001</v>
      </c>
      <c r="G1542">
        <v>1772.6159668</v>
      </c>
      <c r="H1542">
        <v>1645.9902344</v>
      </c>
      <c r="I1542">
        <v>852.28833008000004</v>
      </c>
      <c r="J1542">
        <v>631.69042968999997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1274.9776220000001</v>
      </c>
      <c r="B1543" s="1">
        <f>DATE(2013,10,26) + TIME(23,27,46)</f>
        <v>41573.97761574074</v>
      </c>
      <c r="C1543">
        <v>80</v>
      </c>
      <c r="D1543">
        <v>79.954811096</v>
      </c>
      <c r="E1543">
        <v>50</v>
      </c>
      <c r="F1543">
        <v>39.203037262000002</v>
      </c>
      <c r="G1543">
        <v>1772.2470702999999</v>
      </c>
      <c r="H1543">
        <v>1645.6223144999999</v>
      </c>
      <c r="I1543">
        <v>852.18975829999999</v>
      </c>
      <c r="J1543">
        <v>631.55145263999998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1276.4175399999999</v>
      </c>
      <c r="B1544" s="1">
        <f>DATE(2013,10,28) + TIME(10,1,15)</f>
        <v>41575.417534722219</v>
      </c>
      <c r="C1544">
        <v>80</v>
      </c>
      <c r="D1544">
        <v>79.954864502000007</v>
      </c>
      <c r="E1544">
        <v>50</v>
      </c>
      <c r="F1544">
        <v>39.214366912999999</v>
      </c>
      <c r="G1544">
        <v>1771.8881836</v>
      </c>
      <c r="H1544">
        <v>1645.2644043</v>
      </c>
      <c r="I1544">
        <v>852.10845946999996</v>
      </c>
      <c r="J1544">
        <v>631.44671631000006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1277.857458</v>
      </c>
      <c r="B1545" s="1">
        <f>DATE(2013,10,29) + TIME(20,34,44)</f>
        <v>41576.857453703706</v>
      </c>
      <c r="C1545">
        <v>80</v>
      </c>
      <c r="D1545">
        <v>79.954925536999994</v>
      </c>
      <c r="E1545">
        <v>50</v>
      </c>
      <c r="F1545">
        <v>39.229701996000003</v>
      </c>
      <c r="G1545">
        <v>1771.536499</v>
      </c>
      <c r="H1545">
        <v>1644.9136963000001</v>
      </c>
      <c r="I1545">
        <v>852.03985595999995</v>
      </c>
      <c r="J1545">
        <v>631.36987305000002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1280</v>
      </c>
      <c r="B1546" s="1">
        <f>DATE(2013,11,1) + TIME(0,0,0)</f>
        <v>41579</v>
      </c>
      <c r="C1546">
        <v>80</v>
      </c>
      <c r="D1546">
        <v>79.955032349000007</v>
      </c>
      <c r="E1546">
        <v>50</v>
      </c>
      <c r="F1546">
        <v>39.251167297000002</v>
      </c>
      <c r="G1546">
        <v>1771.0560303</v>
      </c>
      <c r="H1546">
        <v>1644.4343262</v>
      </c>
      <c r="I1546">
        <v>851.99591064000003</v>
      </c>
      <c r="J1546">
        <v>631.33874512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1280.0000010000001</v>
      </c>
      <c r="B1547" s="1">
        <f>DATE(2013,11,1) + TIME(0,0,0)</f>
        <v>41579</v>
      </c>
      <c r="C1547">
        <v>80</v>
      </c>
      <c r="D1547">
        <v>79.955001831000004</v>
      </c>
      <c r="E1547">
        <v>50</v>
      </c>
      <c r="F1547">
        <v>39.251190186000002</v>
      </c>
      <c r="G1547">
        <v>1644.4243164</v>
      </c>
      <c r="H1547">
        <v>1517.9023437999999</v>
      </c>
      <c r="I1547">
        <v>1072.5153809000001</v>
      </c>
      <c r="J1547">
        <v>852.00531006000006</v>
      </c>
      <c r="K1547">
        <v>0</v>
      </c>
      <c r="L1547">
        <v>2400</v>
      </c>
      <c r="M1547">
        <v>2400</v>
      </c>
      <c r="N1547">
        <v>0</v>
      </c>
    </row>
    <row r="1548" spans="1:14" x14ac:dyDescent="0.25">
      <c r="A1548">
        <v>1280.000004</v>
      </c>
      <c r="B1548" s="1">
        <f>DATE(2013,11,1) + TIME(0,0,0)</f>
        <v>41579</v>
      </c>
      <c r="C1548">
        <v>80</v>
      </c>
      <c r="D1548">
        <v>79.954910278</v>
      </c>
      <c r="E1548">
        <v>50</v>
      </c>
      <c r="F1548">
        <v>39.251266479000002</v>
      </c>
      <c r="G1548">
        <v>1644.3942870999999</v>
      </c>
      <c r="H1548">
        <v>1517.8720702999999</v>
      </c>
      <c r="I1548">
        <v>1072.5446777</v>
      </c>
      <c r="J1548">
        <v>852.03332520000004</v>
      </c>
      <c r="K1548">
        <v>0</v>
      </c>
      <c r="L1548">
        <v>2400</v>
      </c>
      <c r="M1548">
        <v>2400</v>
      </c>
      <c r="N1548">
        <v>0</v>
      </c>
    </row>
    <row r="1549" spans="1:14" x14ac:dyDescent="0.25">
      <c r="A1549">
        <v>1280.0000130000001</v>
      </c>
      <c r="B1549" s="1">
        <f>DATE(2013,11,1) + TIME(0,0,1)</f>
        <v>41579.000011574077</v>
      </c>
      <c r="C1549">
        <v>80</v>
      </c>
      <c r="D1549">
        <v>79.954635620000005</v>
      </c>
      <c r="E1549">
        <v>50</v>
      </c>
      <c r="F1549">
        <v>39.251491547000001</v>
      </c>
      <c r="G1549">
        <v>1644.3041992000001</v>
      </c>
      <c r="H1549">
        <v>1517.7816161999999</v>
      </c>
      <c r="I1549">
        <v>1072.6323242000001</v>
      </c>
      <c r="J1549">
        <v>852.11749268000005</v>
      </c>
      <c r="K1549">
        <v>0</v>
      </c>
      <c r="L1549">
        <v>2400</v>
      </c>
      <c r="M1549">
        <v>2400</v>
      </c>
      <c r="N1549">
        <v>0</v>
      </c>
    </row>
    <row r="1550" spans="1:14" x14ac:dyDescent="0.25">
      <c r="A1550">
        <v>1280.0000399999999</v>
      </c>
      <c r="B1550" s="1">
        <f>DATE(2013,11,1) + TIME(0,0,3)</f>
        <v>41579.000034722223</v>
      </c>
      <c r="C1550">
        <v>80</v>
      </c>
      <c r="D1550">
        <v>79.953804016000007</v>
      </c>
      <c r="E1550">
        <v>50</v>
      </c>
      <c r="F1550">
        <v>39.252170563</v>
      </c>
      <c r="G1550">
        <v>1644.0345459</v>
      </c>
      <c r="H1550">
        <v>1517.5106201000001</v>
      </c>
      <c r="I1550">
        <v>1072.8948975000001</v>
      </c>
      <c r="J1550">
        <v>852.36968993999994</v>
      </c>
      <c r="K1550">
        <v>0</v>
      </c>
      <c r="L1550">
        <v>2400</v>
      </c>
      <c r="M1550">
        <v>2400</v>
      </c>
      <c r="N1550">
        <v>0</v>
      </c>
    </row>
    <row r="1551" spans="1:14" x14ac:dyDescent="0.25">
      <c r="A1551">
        <v>1280.000121</v>
      </c>
      <c r="B1551" s="1">
        <f>DATE(2013,11,1) + TIME(0,0,10)</f>
        <v>41579.000115740739</v>
      </c>
      <c r="C1551">
        <v>80</v>
      </c>
      <c r="D1551">
        <v>79.951332092000001</v>
      </c>
      <c r="E1551">
        <v>50</v>
      </c>
      <c r="F1551">
        <v>39.254199982000003</v>
      </c>
      <c r="G1551">
        <v>1643.2303466999999</v>
      </c>
      <c r="H1551">
        <v>1516.7022704999999</v>
      </c>
      <c r="I1551">
        <v>1073.6801757999999</v>
      </c>
      <c r="J1551">
        <v>853.12414550999995</v>
      </c>
      <c r="K1551">
        <v>0</v>
      </c>
      <c r="L1551">
        <v>2400</v>
      </c>
      <c r="M1551">
        <v>2400</v>
      </c>
      <c r="N1551">
        <v>0</v>
      </c>
    </row>
    <row r="1552" spans="1:14" x14ac:dyDescent="0.25">
      <c r="A1552">
        <v>1280.000364</v>
      </c>
      <c r="B1552" s="1">
        <f>DATE(2013,11,1) + TIME(0,0,31)</f>
        <v>41579.000358796293</v>
      </c>
      <c r="C1552">
        <v>80</v>
      </c>
      <c r="D1552">
        <v>79.944053650000001</v>
      </c>
      <c r="E1552">
        <v>50</v>
      </c>
      <c r="F1552">
        <v>39.260265349999997</v>
      </c>
      <c r="G1552">
        <v>1640.8592529</v>
      </c>
      <c r="H1552">
        <v>1514.3192139</v>
      </c>
      <c r="I1552">
        <v>1076.0129394999999</v>
      </c>
      <c r="J1552">
        <v>855.36877441000001</v>
      </c>
      <c r="K1552">
        <v>0</v>
      </c>
      <c r="L1552">
        <v>2400</v>
      </c>
      <c r="M1552">
        <v>2400</v>
      </c>
      <c r="N1552">
        <v>0</v>
      </c>
    </row>
    <row r="1553" spans="1:14" x14ac:dyDescent="0.25">
      <c r="A1553">
        <v>1280.0010930000001</v>
      </c>
      <c r="B1553" s="1">
        <f>DATE(2013,11,1) + TIME(0,1,34)</f>
        <v>41579.001087962963</v>
      </c>
      <c r="C1553">
        <v>80</v>
      </c>
      <c r="D1553">
        <v>79.923286438000005</v>
      </c>
      <c r="E1553">
        <v>50</v>
      </c>
      <c r="F1553">
        <v>39.278274535999998</v>
      </c>
      <c r="G1553">
        <v>1634.097168</v>
      </c>
      <c r="H1553">
        <v>1507.5231934000001</v>
      </c>
      <c r="I1553">
        <v>1082.8116454999999</v>
      </c>
      <c r="J1553">
        <v>861.93841553000004</v>
      </c>
      <c r="K1553">
        <v>0</v>
      </c>
      <c r="L1553">
        <v>2400</v>
      </c>
      <c r="M1553">
        <v>2400</v>
      </c>
      <c r="N1553">
        <v>0</v>
      </c>
    </row>
    <row r="1554" spans="1:14" x14ac:dyDescent="0.25">
      <c r="A1554">
        <v>1280.0032799999999</v>
      </c>
      <c r="B1554" s="1">
        <f>DATE(2013,11,1) + TIME(0,4,43)</f>
        <v>41579.003275462965</v>
      </c>
      <c r="C1554">
        <v>80</v>
      </c>
      <c r="D1554">
        <v>79.869033813000001</v>
      </c>
      <c r="E1554">
        <v>50</v>
      </c>
      <c r="F1554">
        <v>39.330696105999998</v>
      </c>
      <c r="G1554">
        <v>1616.432251</v>
      </c>
      <c r="H1554">
        <v>1489.7714844</v>
      </c>
      <c r="I1554">
        <v>1101.5992432</v>
      </c>
      <c r="J1554">
        <v>880.27996826000003</v>
      </c>
      <c r="K1554">
        <v>0</v>
      </c>
      <c r="L1554">
        <v>2400</v>
      </c>
      <c r="M1554">
        <v>2400</v>
      </c>
      <c r="N1554">
        <v>0</v>
      </c>
    </row>
    <row r="1555" spans="1:14" x14ac:dyDescent="0.25">
      <c r="A1555">
        <v>1280.0098410000001</v>
      </c>
      <c r="B1555" s="1">
        <f>DATE(2013,11,1) + TIME(0,14,10)</f>
        <v>41579.009837962964</v>
      </c>
      <c r="C1555">
        <v>80</v>
      </c>
      <c r="D1555">
        <v>79.752113342000001</v>
      </c>
      <c r="E1555">
        <v>50</v>
      </c>
      <c r="F1555">
        <v>39.476112366000002</v>
      </c>
      <c r="G1555">
        <v>1578.4057617000001</v>
      </c>
      <c r="H1555">
        <v>1451.5646973</v>
      </c>
      <c r="I1555">
        <v>1147.125</v>
      </c>
      <c r="J1555">
        <v>925.55218506000006</v>
      </c>
      <c r="K1555">
        <v>0</v>
      </c>
      <c r="L1555">
        <v>2400</v>
      </c>
      <c r="M1555">
        <v>2400</v>
      </c>
      <c r="N1555">
        <v>0</v>
      </c>
    </row>
    <row r="1556" spans="1:14" x14ac:dyDescent="0.25">
      <c r="A1556">
        <v>1280.029524</v>
      </c>
      <c r="B1556" s="1">
        <f>DATE(2013,11,1) + TIME(0,42,30)</f>
        <v>41579.029513888891</v>
      </c>
      <c r="C1556">
        <v>80</v>
      </c>
      <c r="D1556">
        <v>79.568237304999997</v>
      </c>
      <c r="E1556">
        <v>50</v>
      </c>
      <c r="F1556">
        <v>39.8424263</v>
      </c>
      <c r="G1556">
        <v>1518.2008057</v>
      </c>
      <c r="H1556">
        <v>1391.0975341999999</v>
      </c>
      <c r="I1556">
        <v>1232.3725586</v>
      </c>
      <c r="J1556">
        <v>1012.1326294</v>
      </c>
      <c r="K1556">
        <v>0</v>
      </c>
      <c r="L1556">
        <v>2400</v>
      </c>
      <c r="M1556">
        <v>2400</v>
      </c>
      <c r="N1556">
        <v>0</v>
      </c>
    </row>
    <row r="1557" spans="1:14" x14ac:dyDescent="0.25">
      <c r="A1557">
        <v>1280.078585</v>
      </c>
      <c r="B1557" s="1">
        <f>DATE(2013,11,1) + TIME(1,53,9)</f>
        <v>41579.078576388885</v>
      </c>
      <c r="C1557">
        <v>80</v>
      </c>
      <c r="D1557">
        <v>79.383094787999994</v>
      </c>
      <c r="E1557">
        <v>50</v>
      </c>
      <c r="F1557">
        <v>40.565109253000003</v>
      </c>
      <c r="G1557">
        <v>1454.2005615</v>
      </c>
      <c r="H1557">
        <v>1326.8477783000001</v>
      </c>
      <c r="I1557">
        <v>1335.0699463000001</v>
      </c>
      <c r="J1557">
        <v>1118.0704346</v>
      </c>
      <c r="K1557">
        <v>0</v>
      </c>
      <c r="L1557">
        <v>2400</v>
      </c>
      <c r="M1557">
        <v>2400</v>
      </c>
      <c r="N1557">
        <v>0</v>
      </c>
    </row>
    <row r="1558" spans="1:14" x14ac:dyDescent="0.25">
      <c r="A1558">
        <v>1280.1367969999999</v>
      </c>
      <c r="B1558" s="1">
        <f>DATE(2013,11,1) + TIME(3,16,59)</f>
        <v>41579.136793981481</v>
      </c>
      <c r="C1558">
        <v>80</v>
      </c>
      <c r="D1558">
        <v>79.275276184000006</v>
      </c>
      <c r="E1558">
        <v>50</v>
      </c>
      <c r="F1558">
        <v>41.284667968999997</v>
      </c>
      <c r="G1558">
        <v>1414.1600341999999</v>
      </c>
      <c r="H1558">
        <v>1286.6677245999999</v>
      </c>
      <c r="I1558">
        <v>1401.5407714999999</v>
      </c>
      <c r="J1558">
        <v>1187.2937012</v>
      </c>
      <c r="K1558">
        <v>0</v>
      </c>
      <c r="L1558">
        <v>2400</v>
      </c>
      <c r="M1558">
        <v>2400</v>
      </c>
      <c r="N1558">
        <v>0</v>
      </c>
    </row>
    <row r="1559" spans="1:14" x14ac:dyDescent="0.25">
      <c r="A1559">
        <v>1280.203526</v>
      </c>
      <c r="B1559" s="1">
        <f>DATE(2013,11,1) + TIME(4,53,4)</f>
        <v>41579.203518518516</v>
      </c>
      <c r="C1559">
        <v>80</v>
      </c>
      <c r="D1559">
        <v>79.204292296999995</v>
      </c>
      <c r="E1559">
        <v>50</v>
      </c>
      <c r="F1559">
        <v>42.004081726000003</v>
      </c>
      <c r="G1559">
        <v>1385.5776367000001</v>
      </c>
      <c r="H1559">
        <v>1258.0017089999999</v>
      </c>
      <c r="I1559">
        <v>1448.7204589999999</v>
      </c>
      <c r="J1559">
        <v>1236.8510742000001</v>
      </c>
      <c r="K1559">
        <v>0</v>
      </c>
      <c r="L1559">
        <v>2400</v>
      </c>
      <c r="M1559">
        <v>2400</v>
      </c>
      <c r="N1559">
        <v>0</v>
      </c>
    </row>
    <row r="1560" spans="1:14" x14ac:dyDescent="0.25">
      <c r="A1560">
        <v>1280.2779660000001</v>
      </c>
      <c r="B1560" s="1">
        <f>DATE(2013,11,1) + TIME(6,40,16)</f>
        <v>41579.277962962966</v>
      </c>
      <c r="C1560">
        <v>80</v>
      </c>
      <c r="D1560">
        <v>79.153282165999997</v>
      </c>
      <c r="E1560">
        <v>50</v>
      </c>
      <c r="F1560">
        <v>42.715011597</v>
      </c>
      <c r="G1560">
        <v>1363.4165039</v>
      </c>
      <c r="H1560">
        <v>1235.7862548999999</v>
      </c>
      <c r="I1560">
        <v>1484.7785644999999</v>
      </c>
      <c r="J1560">
        <v>1275.0266113</v>
      </c>
      <c r="K1560">
        <v>0</v>
      </c>
      <c r="L1560">
        <v>2400</v>
      </c>
      <c r="M1560">
        <v>2400</v>
      </c>
      <c r="N1560">
        <v>0</v>
      </c>
    </row>
    <row r="1561" spans="1:14" x14ac:dyDescent="0.25">
      <c r="A1561">
        <v>1280.3601269999999</v>
      </c>
      <c r="B1561" s="1">
        <f>DATE(2013,11,1) + TIME(8,38,34)</f>
        <v>41579.360115740739</v>
      </c>
      <c r="C1561">
        <v>80</v>
      </c>
      <c r="D1561">
        <v>79.113952636999997</v>
      </c>
      <c r="E1561">
        <v>50</v>
      </c>
      <c r="F1561">
        <v>43.4127388</v>
      </c>
      <c r="G1561">
        <v>1345.1942139</v>
      </c>
      <c r="H1561">
        <v>1217.5266113</v>
      </c>
      <c r="I1561">
        <v>1514.0296631000001</v>
      </c>
      <c r="J1561">
        <v>1306.2077637</v>
      </c>
      <c r="K1561">
        <v>0</v>
      </c>
      <c r="L1561">
        <v>2400</v>
      </c>
      <c r="M1561">
        <v>2400</v>
      </c>
      <c r="N1561">
        <v>0</v>
      </c>
    </row>
    <row r="1562" spans="1:14" x14ac:dyDescent="0.25">
      <c r="A1562">
        <v>1280.45064</v>
      </c>
      <c r="B1562" s="1">
        <f>DATE(2013,11,1) + TIME(10,48,55)</f>
        <v>41579.450636574074</v>
      </c>
      <c r="C1562">
        <v>80</v>
      </c>
      <c r="D1562">
        <v>79.081703185999999</v>
      </c>
      <c r="E1562">
        <v>50</v>
      </c>
      <c r="F1562">
        <v>44.094612122000001</v>
      </c>
      <c r="G1562">
        <v>1329.5439452999999</v>
      </c>
      <c r="H1562">
        <v>1201.8492432</v>
      </c>
      <c r="I1562">
        <v>1538.8751221</v>
      </c>
      <c r="J1562">
        <v>1332.8391113</v>
      </c>
      <c r="K1562">
        <v>0</v>
      </c>
      <c r="L1562">
        <v>2400</v>
      </c>
      <c r="M1562">
        <v>2400</v>
      </c>
      <c r="N1562">
        <v>0</v>
      </c>
    </row>
    <row r="1563" spans="1:14" x14ac:dyDescent="0.25">
      <c r="A1563">
        <v>1280.5506310000001</v>
      </c>
      <c r="B1563" s="1">
        <f>DATE(2013,11,1) + TIME(13,12,54)</f>
        <v>41579.550625000003</v>
      </c>
      <c r="C1563">
        <v>80</v>
      </c>
      <c r="D1563">
        <v>79.053741454999994</v>
      </c>
      <c r="E1563">
        <v>50</v>
      </c>
      <c r="F1563">
        <v>44.758598327999998</v>
      </c>
      <c r="G1563">
        <v>1315.6409911999999</v>
      </c>
      <c r="H1563">
        <v>1187.9255370999999</v>
      </c>
      <c r="I1563">
        <v>1560.7573242000001</v>
      </c>
      <c r="J1563">
        <v>1356.3896483999999</v>
      </c>
      <c r="K1563">
        <v>0</v>
      </c>
      <c r="L1563">
        <v>2400</v>
      </c>
      <c r="M1563">
        <v>2400</v>
      </c>
      <c r="N1563">
        <v>0</v>
      </c>
    </row>
    <row r="1564" spans="1:14" x14ac:dyDescent="0.25">
      <c r="A1564">
        <v>1280.6617920000001</v>
      </c>
      <c r="B1564" s="1">
        <f>DATE(2013,11,1) + TIME(15,52,58)</f>
        <v>41579.661782407406</v>
      </c>
      <c r="C1564">
        <v>80</v>
      </c>
      <c r="D1564">
        <v>79.028137207</v>
      </c>
      <c r="E1564">
        <v>50</v>
      </c>
      <c r="F1564">
        <v>45.403221129999999</v>
      </c>
      <c r="G1564">
        <v>1302.9367675999999</v>
      </c>
      <c r="H1564">
        <v>1175.2045897999999</v>
      </c>
      <c r="I1564">
        <v>1580.6269531</v>
      </c>
      <c r="J1564">
        <v>1377.8272704999999</v>
      </c>
      <c r="K1564">
        <v>0</v>
      </c>
      <c r="L1564">
        <v>2400</v>
      </c>
      <c r="M1564">
        <v>2400</v>
      </c>
      <c r="N1564">
        <v>0</v>
      </c>
    </row>
    <row r="1565" spans="1:14" x14ac:dyDescent="0.25">
      <c r="A1565">
        <v>1280.7864729999999</v>
      </c>
      <c r="B1565" s="1">
        <f>DATE(2013,11,1) + TIME(18,52,31)</f>
        <v>41579.786469907405</v>
      </c>
      <c r="C1565">
        <v>80</v>
      </c>
      <c r="D1565">
        <v>79.003456115999995</v>
      </c>
      <c r="E1565">
        <v>50</v>
      </c>
      <c r="F1565">
        <v>46.026508331000002</v>
      </c>
      <c r="G1565">
        <v>1291.0394286999999</v>
      </c>
      <c r="H1565">
        <v>1163.2926024999999</v>
      </c>
      <c r="I1565">
        <v>1599.1571045000001</v>
      </c>
      <c r="J1565">
        <v>1397.8341064000001</v>
      </c>
      <c r="K1565">
        <v>0</v>
      </c>
      <c r="L1565">
        <v>2400</v>
      </c>
      <c r="M1565">
        <v>2400</v>
      </c>
      <c r="N1565">
        <v>0</v>
      </c>
    </row>
    <row r="1566" spans="1:14" x14ac:dyDescent="0.25">
      <c r="A1566">
        <v>1280.927948</v>
      </c>
      <c r="B1566" s="1">
        <f>DATE(2013,11,1) + TIME(22,16,14)</f>
        <v>41579.927939814814</v>
      </c>
      <c r="C1566">
        <v>80</v>
      </c>
      <c r="D1566">
        <v>78.978454589999998</v>
      </c>
      <c r="E1566">
        <v>50</v>
      </c>
      <c r="F1566">
        <v>46.626029967999997</v>
      </c>
      <c r="G1566">
        <v>1279.6411132999999</v>
      </c>
      <c r="H1566">
        <v>1151.8804932</v>
      </c>
      <c r="I1566">
        <v>1616.8676757999999</v>
      </c>
      <c r="J1566">
        <v>1416.9346923999999</v>
      </c>
      <c r="K1566">
        <v>0</v>
      </c>
      <c r="L1566">
        <v>2400</v>
      </c>
      <c r="M1566">
        <v>2400</v>
      </c>
      <c r="N1566">
        <v>0</v>
      </c>
    </row>
    <row r="1567" spans="1:14" x14ac:dyDescent="0.25">
      <c r="A1567">
        <v>1281.0909469999999</v>
      </c>
      <c r="B1567" s="1">
        <f>DATE(2013,11,2) + TIME(2,10,57)</f>
        <v>41580.090937499997</v>
      </c>
      <c r="C1567">
        <v>80</v>
      </c>
      <c r="D1567">
        <v>78.951927185000002</v>
      </c>
      <c r="E1567">
        <v>50</v>
      </c>
      <c r="F1567">
        <v>47.198947906000001</v>
      </c>
      <c r="G1567">
        <v>1268.4691161999999</v>
      </c>
      <c r="H1567">
        <v>1140.6942139</v>
      </c>
      <c r="I1567">
        <v>1634.2092285000001</v>
      </c>
      <c r="J1567">
        <v>1435.5812988</v>
      </c>
      <c r="K1567">
        <v>0</v>
      </c>
      <c r="L1567">
        <v>2400</v>
      </c>
      <c r="M1567">
        <v>2400</v>
      </c>
      <c r="N1567">
        <v>0</v>
      </c>
    </row>
    <row r="1568" spans="1:14" x14ac:dyDescent="0.25">
      <c r="A1568">
        <v>1281.282496</v>
      </c>
      <c r="B1568" s="1">
        <f>DATE(2013,11,2) + TIME(6,46,47)</f>
        <v>41580.282488425924</v>
      </c>
      <c r="C1568">
        <v>80</v>
      </c>
      <c r="D1568">
        <v>78.922576903999996</v>
      </c>
      <c r="E1568">
        <v>50</v>
      </c>
      <c r="F1568">
        <v>47.741615295000003</v>
      </c>
      <c r="G1568">
        <v>1257.2537841999999</v>
      </c>
      <c r="H1568">
        <v>1129.4632568</v>
      </c>
      <c r="I1568">
        <v>1651.6170654</v>
      </c>
      <c r="J1568">
        <v>1454.2076416</v>
      </c>
      <c r="K1568">
        <v>0</v>
      </c>
      <c r="L1568">
        <v>2400</v>
      </c>
      <c r="M1568">
        <v>2400</v>
      </c>
      <c r="N1568">
        <v>0</v>
      </c>
    </row>
    <row r="1569" spans="1:14" x14ac:dyDescent="0.25">
      <c r="A1569">
        <v>1281.513541</v>
      </c>
      <c r="B1569" s="1">
        <f>DATE(2013,11,2) + TIME(12,19,29)</f>
        <v>41580.51353009259</v>
      </c>
      <c r="C1569">
        <v>80</v>
      </c>
      <c r="D1569">
        <v>78.888786315999994</v>
      </c>
      <c r="E1569">
        <v>50</v>
      </c>
      <c r="F1569">
        <v>48.249187468999999</v>
      </c>
      <c r="G1569">
        <v>1245.6914062000001</v>
      </c>
      <c r="H1569">
        <v>1117.8829346</v>
      </c>
      <c r="I1569">
        <v>1669.567749</v>
      </c>
      <c r="J1569">
        <v>1473.2844238</v>
      </c>
      <c r="K1569">
        <v>0</v>
      </c>
      <c r="L1569">
        <v>2400</v>
      </c>
      <c r="M1569">
        <v>2400</v>
      </c>
      <c r="N1569">
        <v>0</v>
      </c>
    </row>
    <row r="1570" spans="1:14" x14ac:dyDescent="0.25">
      <c r="A1570">
        <v>1281.7556400000001</v>
      </c>
      <c r="B1570" s="1">
        <f>DATE(2013,11,2) + TIME(18,8,7)</f>
        <v>41580.755636574075</v>
      </c>
      <c r="C1570">
        <v>80</v>
      </c>
      <c r="D1570">
        <v>78.852752686000002</v>
      </c>
      <c r="E1570">
        <v>50</v>
      </c>
      <c r="F1570">
        <v>48.657119751000003</v>
      </c>
      <c r="G1570">
        <v>1235.1488036999999</v>
      </c>
      <c r="H1570">
        <v>1107.3217772999999</v>
      </c>
      <c r="I1570">
        <v>1685.8702393000001</v>
      </c>
      <c r="J1570">
        <v>1490.4803466999999</v>
      </c>
      <c r="K1570">
        <v>0</v>
      </c>
      <c r="L1570">
        <v>2400</v>
      </c>
      <c r="M1570">
        <v>2400</v>
      </c>
      <c r="N1570">
        <v>0</v>
      </c>
    </row>
    <row r="1571" spans="1:14" x14ac:dyDescent="0.25">
      <c r="A1571">
        <v>1282.0109440000001</v>
      </c>
      <c r="B1571" s="1">
        <f>DATE(2013,11,3) + TIME(0,15,45)</f>
        <v>41581.010937500003</v>
      </c>
      <c r="C1571">
        <v>80</v>
      </c>
      <c r="D1571">
        <v>78.814399718999994</v>
      </c>
      <c r="E1571">
        <v>50</v>
      </c>
      <c r="F1571">
        <v>48.983039855999998</v>
      </c>
      <c r="G1571">
        <v>1225.3554687999999</v>
      </c>
      <c r="H1571">
        <v>1097.5084228999999</v>
      </c>
      <c r="I1571">
        <v>1700.9680175999999</v>
      </c>
      <c r="J1571">
        <v>1506.2878418</v>
      </c>
      <c r="K1571">
        <v>0</v>
      </c>
      <c r="L1571">
        <v>2400</v>
      </c>
      <c r="M1571">
        <v>2400</v>
      </c>
      <c r="N1571">
        <v>0</v>
      </c>
    </row>
    <row r="1572" spans="1:14" x14ac:dyDescent="0.25">
      <c r="A1572">
        <v>1282.2756670000001</v>
      </c>
      <c r="B1572" s="1">
        <f>DATE(2013,11,3) + TIME(6,36,57)</f>
        <v>41581.275659722225</v>
      </c>
      <c r="C1572">
        <v>80</v>
      </c>
      <c r="D1572">
        <v>78.774261475000003</v>
      </c>
      <c r="E1572">
        <v>50</v>
      </c>
      <c r="F1572">
        <v>49.236816406000003</v>
      </c>
      <c r="G1572">
        <v>1216.3063964999999</v>
      </c>
      <c r="H1572">
        <v>1088.4383545000001</v>
      </c>
      <c r="I1572">
        <v>1714.8613281</v>
      </c>
      <c r="J1572">
        <v>1520.7314452999999</v>
      </c>
      <c r="K1572">
        <v>0</v>
      </c>
      <c r="L1572">
        <v>2400</v>
      </c>
      <c r="M1572">
        <v>2400</v>
      </c>
      <c r="N1572">
        <v>0</v>
      </c>
    </row>
    <row r="1573" spans="1:14" x14ac:dyDescent="0.25">
      <c r="A1573">
        <v>1282.553844</v>
      </c>
      <c r="B1573" s="1">
        <f>DATE(2013,11,3) + TIME(13,17,32)</f>
        <v>41581.553842592592</v>
      </c>
      <c r="C1573">
        <v>80</v>
      </c>
      <c r="D1573">
        <v>78.732177734000004</v>
      </c>
      <c r="E1573">
        <v>50</v>
      </c>
      <c r="F1573">
        <v>49.434566498000002</v>
      </c>
      <c r="G1573">
        <v>1207.7681885</v>
      </c>
      <c r="H1573">
        <v>1079.8780518000001</v>
      </c>
      <c r="I1573">
        <v>1727.9146728999999</v>
      </c>
      <c r="J1573">
        <v>1534.2130127</v>
      </c>
      <c r="K1573">
        <v>0</v>
      </c>
      <c r="L1573">
        <v>2400</v>
      </c>
      <c r="M1573">
        <v>2400</v>
      </c>
      <c r="N1573">
        <v>0</v>
      </c>
    </row>
    <row r="1574" spans="1:14" x14ac:dyDescent="0.25">
      <c r="A1574">
        <v>1282.849203</v>
      </c>
      <c r="B1574" s="1">
        <f>DATE(2013,11,3) + TIME(20,22,51)</f>
        <v>41581.84920138889</v>
      </c>
      <c r="C1574">
        <v>80</v>
      </c>
      <c r="D1574">
        <v>78.687927246000001</v>
      </c>
      <c r="E1574">
        <v>50</v>
      </c>
      <c r="F1574">
        <v>49.587776183999999</v>
      </c>
      <c r="G1574">
        <v>1199.5865478999999</v>
      </c>
      <c r="H1574">
        <v>1071.6733397999999</v>
      </c>
      <c r="I1574">
        <v>1740.3587646000001</v>
      </c>
      <c r="J1574">
        <v>1546.9888916</v>
      </c>
      <c r="K1574">
        <v>0</v>
      </c>
      <c r="L1574">
        <v>2400</v>
      </c>
      <c r="M1574">
        <v>2400</v>
      </c>
      <c r="N1574">
        <v>0</v>
      </c>
    </row>
    <row r="1575" spans="1:14" x14ac:dyDescent="0.25">
      <c r="A1575">
        <v>1283.1661489999999</v>
      </c>
      <c r="B1575" s="1">
        <f>DATE(2013,11,4) + TIME(3,59,15)</f>
        <v>41582.166145833333</v>
      </c>
      <c r="C1575">
        <v>80</v>
      </c>
      <c r="D1575">
        <v>78.641204834000007</v>
      </c>
      <c r="E1575">
        <v>50</v>
      </c>
      <c r="F1575">
        <v>49.705341339</v>
      </c>
      <c r="G1575">
        <v>1191.6392822</v>
      </c>
      <c r="H1575">
        <v>1063.7020264</v>
      </c>
      <c r="I1575">
        <v>1752.3718262</v>
      </c>
      <c r="J1575">
        <v>1559.2567139</v>
      </c>
      <c r="K1575">
        <v>0</v>
      </c>
      <c r="L1575">
        <v>2400</v>
      </c>
      <c r="M1575">
        <v>2400</v>
      </c>
      <c r="N1575">
        <v>0</v>
      </c>
    </row>
    <row r="1576" spans="1:14" x14ac:dyDescent="0.25">
      <c r="A1576">
        <v>1283.510252</v>
      </c>
      <c r="B1576" s="1">
        <f>DATE(2013,11,4) + TIME(12,14,45)</f>
        <v>41582.510243055556</v>
      </c>
      <c r="C1576">
        <v>80</v>
      </c>
      <c r="D1576">
        <v>78.591567992999998</v>
      </c>
      <c r="E1576">
        <v>50</v>
      </c>
      <c r="F1576">
        <v>49.794330596999998</v>
      </c>
      <c r="G1576">
        <v>1183.8198242000001</v>
      </c>
      <c r="H1576">
        <v>1055.8572998</v>
      </c>
      <c r="I1576">
        <v>1764.1049805</v>
      </c>
      <c r="J1576">
        <v>1571.1834716999999</v>
      </c>
      <c r="K1576">
        <v>0</v>
      </c>
      <c r="L1576">
        <v>2400</v>
      </c>
      <c r="M1576">
        <v>2400</v>
      </c>
      <c r="N1576">
        <v>0</v>
      </c>
    </row>
    <row r="1577" spans="1:14" x14ac:dyDescent="0.25">
      <c r="A1577">
        <v>1283.8885700000001</v>
      </c>
      <c r="B1577" s="1">
        <f>DATE(2013,11,4) + TIME(21,19,32)</f>
        <v>41582.888564814813</v>
      </c>
      <c r="C1577">
        <v>80</v>
      </c>
      <c r="D1577">
        <v>78.538429260000001</v>
      </c>
      <c r="E1577">
        <v>50</v>
      </c>
      <c r="F1577">
        <v>49.860408782999997</v>
      </c>
      <c r="G1577">
        <v>1176.0322266000001</v>
      </c>
      <c r="H1577">
        <v>1048.043457</v>
      </c>
      <c r="I1577">
        <v>1775.6899414</v>
      </c>
      <c r="J1577">
        <v>1582.9129639</v>
      </c>
      <c r="K1577">
        <v>0</v>
      </c>
      <c r="L1577">
        <v>2400</v>
      </c>
      <c r="M1577">
        <v>2400</v>
      </c>
      <c r="N1577">
        <v>0</v>
      </c>
    </row>
    <row r="1578" spans="1:14" x14ac:dyDescent="0.25">
      <c r="A1578">
        <v>1284.3105169999999</v>
      </c>
      <c r="B1578" s="1">
        <f>DATE(2013,11,5) + TIME(7,27,8)</f>
        <v>41583.31050925926</v>
      </c>
      <c r="C1578">
        <v>80</v>
      </c>
      <c r="D1578">
        <v>78.480949401999993</v>
      </c>
      <c r="E1578">
        <v>50</v>
      </c>
      <c r="F1578">
        <v>49.908206939999999</v>
      </c>
      <c r="G1578">
        <v>1168.1805420000001</v>
      </c>
      <c r="H1578">
        <v>1040.1640625</v>
      </c>
      <c r="I1578">
        <v>1787.2532959</v>
      </c>
      <c r="J1578">
        <v>1594.5819091999999</v>
      </c>
      <c r="K1578">
        <v>0</v>
      </c>
      <c r="L1578">
        <v>2400</v>
      </c>
      <c r="M1578">
        <v>2400</v>
      </c>
      <c r="N1578">
        <v>0</v>
      </c>
    </row>
    <row r="1579" spans="1:14" x14ac:dyDescent="0.25">
      <c r="A1579">
        <v>1284.789139</v>
      </c>
      <c r="B1579" s="1">
        <f>DATE(2013,11,5) + TIME(18,56,21)</f>
        <v>41583.789131944446</v>
      </c>
      <c r="C1579">
        <v>80</v>
      </c>
      <c r="D1579">
        <v>78.418014525999993</v>
      </c>
      <c r="E1579">
        <v>50</v>
      </c>
      <c r="F1579">
        <v>49.941555022999999</v>
      </c>
      <c r="G1579">
        <v>1160.1599120999999</v>
      </c>
      <c r="H1579">
        <v>1032.1138916</v>
      </c>
      <c r="I1579">
        <v>1798.9272461</v>
      </c>
      <c r="J1579">
        <v>1606.3314209</v>
      </c>
      <c r="K1579">
        <v>0</v>
      </c>
      <c r="L1579">
        <v>2400</v>
      </c>
      <c r="M1579">
        <v>2400</v>
      </c>
      <c r="N1579">
        <v>0</v>
      </c>
    </row>
    <row r="1580" spans="1:14" x14ac:dyDescent="0.25">
      <c r="A1580">
        <v>1285.2951700000001</v>
      </c>
      <c r="B1580" s="1">
        <f>DATE(2013,11,6) + TIME(7,5,2)</f>
        <v>41584.295162037037</v>
      </c>
      <c r="C1580">
        <v>80</v>
      </c>
      <c r="D1580">
        <v>78.351531981999997</v>
      </c>
      <c r="E1580">
        <v>50</v>
      </c>
      <c r="F1580">
        <v>49.962482452000003</v>
      </c>
      <c r="G1580">
        <v>1152.4976807</v>
      </c>
      <c r="H1580">
        <v>1024.4222411999999</v>
      </c>
      <c r="I1580">
        <v>1809.8892822</v>
      </c>
      <c r="J1580">
        <v>1617.3441161999999</v>
      </c>
      <c r="K1580">
        <v>0</v>
      </c>
      <c r="L1580">
        <v>2400</v>
      </c>
      <c r="M1580">
        <v>2400</v>
      </c>
      <c r="N1580">
        <v>0</v>
      </c>
    </row>
    <row r="1581" spans="1:14" x14ac:dyDescent="0.25">
      <c r="A1581">
        <v>1285.810739</v>
      </c>
      <c r="B1581" s="1">
        <f>DATE(2013,11,6) + TIME(19,27,27)</f>
        <v>41584.810729166667</v>
      </c>
      <c r="C1581">
        <v>80</v>
      </c>
      <c r="D1581">
        <v>78.283248900999993</v>
      </c>
      <c r="E1581">
        <v>50</v>
      </c>
      <c r="F1581">
        <v>49.974792479999998</v>
      </c>
      <c r="G1581">
        <v>1145.4055175999999</v>
      </c>
      <c r="H1581">
        <v>1017.3008423</v>
      </c>
      <c r="I1581">
        <v>1819.864624</v>
      </c>
      <c r="J1581">
        <v>1627.3540039</v>
      </c>
      <c r="K1581">
        <v>0</v>
      </c>
      <c r="L1581">
        <v>2400</v>
      </c>
      <c r="M1581">
        <v>2400</v>
      </c>
      <c r="N1581">
        <v>0</v>
      </c>
    </row>
    <row r="1582" spans="1:14" x14ac:dyDescent="0.25">
      <c r="A1582">
        <v>1286.3447510000001</v>
      </c>
      <c r="B1582" s="1">
        <f>DATE(2013,11,7) + TIME(8,16,26)</f>
        <v>41585.34474537037</v>
      </c>
      <c r="C1582">
        <v>80</v>
      </c>
      <c r="D1582">
        <v>78.213142395000006</v>
      </c>
      <c r="E1582">
        <v>50</v>
      </c>
      <c r="F1582">
        <v>49.981811522999998</v>
      </c>
      <c r="G1582">
        <v>1138.7125243999999</v>
      </c>
      <c r="H1582">
        <v>1010.5778809</v>
      </c>
      <c r="I1582">
        <v>1829.1447754000001</v>
      </c>
      <c r="J1582">
        <v>1636.6586914</v>
      </c>
      <c r="K1582">
        <v>0</v>
      </c>
      <c r="L1582">
        <v>2400</v>
      </c>
      <c r="M1582">
        <v>2400</v>
      </c>
      <c r="N1582">
        <v>0</v>
      </c>
    </row>
    <row r="1583" spans="1:14" x14ac:dyDescent="0.25">
      <c r="A1583">
        <v>1286.9058560000001</v>
      </c>
      <c r="B1583" s="1">
        <f>DATE(2013,11,7) + TIME(21,44,25)</f>
        <v>41585.905844907407</v>
      </c>
      <c r="C1583">
        <v>80</v>
      </c>
      <c r="D1583">
        <v>78.140792847</v>
      </c>
      <c r="E1583">
        <v>50</v>
      </c>
      <c r="F1583">
        <v>49.985519408999998</v>
      </c>
      <c r="G1583">
        <v>1132.2941894999999</v>
      </c>
      <c r="H1583">
        <v>1004.1291504</v>
      </c>
      <c r="I1583">
        <v>1837.9169922000001</v>
      </c>
      <c r="J1583">
        <v>1645.449707</v>
      </c>
      <c r="K1583">
        <v>0</v>
      </c>
      <c r="L1583">
        <v>2400</v>
      </c>
      <c r="M1583">
        <v>2400</v>
      </c>
      <c r="N1583">
        <v>0</v>
      </c>
    </row>
    <row r="1584" spans="1:14" x14ac:dyDescent="0.25">
      <c r="A1584">
        <v>1287.503504</v>
      </c>
      <c r="B1584" s="1">
        <f>DATE(2013,11,8) + TIME(12,5,2)</f>
        <v>41586.503495370373</v>
      </c>
      <c r="C1584">
        <v>80</v>
      </c>
      <c r="D1584">
        <v>78.065490722999996</v>
      </c>
      <c r="E1584">
        <v>50</v>
      </c>
      <c r="F1584">
        <v>49.987152100000003</v>
      </c>
      <c r="G1584">
        <v>1126.0534668</v>
      </c>
      <c r="H1584">
        <v>997.85717772999999</v>
      </c>
      <c r="I1584">
        <v>1846.3200684000001</v>
      </c>
      <c r="J1584">
        <v>1653.8685303</v>
      </c>
      <c r="K1584">
        <v>0</v>
      </c>
      <c r="L1584">
        <v>2400</v>
      </c>
      <c r="M1584">
        <v>2400</v>
      </c>
      <c r="N1584">
        <v>0</v>
      </c>
    </row>
    <row r="1585" spans="1:14" x14ac:dyDescent="0.25">
      <c r="A1585">
        <v>1288.1489590000001</v>
      </c>
      <c r="B1585" s="1">
        <f>DATE(2013,11,9) + TIME(3,34,30)</f>
        <v>41587.148958333331</v>
      </c>
      <c r="C1585">
        <v>80</v>
      </c>
      <c r="D1585">
        <v>77.986305236999996</v>
      </c>
      <c r="E1585">
        <v>50</v>
      </c>
      <c r="F1585">
        <v>49.987483978</v>
      </c>
      <c r="G1585">
        <v>1119.9073486</v>
      </c>
      <c r="H1585">
        <v>991.67864989999998</v>
      </c>
      <c r="I1585">
        <v>1854.4665527</v>
      </c>
      <c r="J1585">
        <v>1662.0295410000001</v>
      </c>
      <c r="K1585">
        <v>0</v>
      </c>
      <c r="L1585">
        <v>2400</v>
      </c>
      <c r="M1585">
        <v>2400</v>
      </c>
      <c r="N1585">
        <v>0</v>
      </c>
    </row>
    <row r="1586" spans="1:14" x14ac:dyDescent="0.25">
      <c r="A1586">
        <v>1288.855728</v>
      </c>
      <c r="B1586" s="1">
        <f>DATE(2013,11,9) + TIME(20,32,14)</f>
        <v>41587.855717592596</v>
      </c>
      <c r="C1586">
        <v>80</v>
      </c>
      <c r="D1586">
        <v>77.902069092000005</v>
      </c>
      <c r="E1586">
        <v>50</v>
      </c>
      <c r="F1586">
        <v>49.987022400000001</v>
      </c>
      <c r="G1586">
        <v>1113.7843018000001</v>
      </c>
      <c r="H1586">
        <v>985.52178954999999</v>
      </c>
      <c r="I1586">
        <v>1862.4466553</v>
      </c>
      <c r="J1586">
        <v>1670.0242920000001</v>
      </c>
      <c r="K1586">
        <v>0</v>
      </c>
      <c r="L1586">
        <v>2400</v>
      </c>
      <c r="M1586">
        <v>2400</v>
      </c>
      <c r="N1586">
        <v>0</v>
      </c>
    </row>
    <row r="1587" spans="1:14" x14ac:dyDescent="0.25">
      <c r="A1587">
        <v>1289.625378</v>
      </c>
      <c r="B1587" s="1">
        <f>DATE(2013,11,10) + TIME(15,0,32)</f>
        <v>41588.62537037037</v>
      </c>
      <c r="C1587">
        <v>80</v>
      </c>
      <c r="D1587">
        <v>77.812171935999999</v>
      </c>
      <c r="E1587">
        <v>50</v>
      </c>
      <c r="F1587">
        <v>49.986103057999998</v>
      </c>
      <c r="G1587">
        <v>1107.7279053</v>
      </c>
      <c r="H1587">
        <v>979.43011475000003</v>
      </c>
      <c r="I1587">
        <v>1870.1900635</v>
      </c>
      <c r="J1587">
        <v>1677.7834473</v>
      </c>
      <c r="K1587">
        <v>0</v>
      </c>
      <c r="L1587">
        <v>2400</v>
      </c>
      <c r="M1587">
        <v>2400</v>
      </c>
      <c r="N1587">
        <v>0</v>
      </c>
    </row>
    <row r="1588" spans="1:14" x14ac:dyDescent="0.25">
      <c r="A1588">
        <v>1290.449378</v>
      </c>
      <c r="B1588" s="1">
        <f>DATE(2013,11,11) + TIME(10,47,6)</f>
        <v>41589.449374999997</v>
      </c>
      <c r="C1588">
        <v>80</v>
      </c>
      <c r="D1588">
        <v>77.716796875</v>
      </c>
      <c r="E1588">
        <v>50</v>
      </c>
      <c r="F1588">
        <v>49.984973906999997</v>
      </c>
      <c r="G1588">
        <v>1101.8393555</v>
      </c>
      <c r="H1588">
        <v>973.50488281000003</v>
      </c>
      <c r="I1588">
        <v>1877.5609131000001</v>
      </c>
      <c r="J1588">
        <v>1685.1716309000001</v>
      </c>
      <c r="K1588">
        <v>0</v>
      </c>
      <c r="L1588">
        <v>2400</v>
      </c>
      <c r="M1588">
        <v>2400</v>
      </c>
      <c r="N1588">
        <v>0</v>
      </c>
    </row>
    <row r="1589" spans="1:14" x14ac:dyDescent="0.25">
      <c r="A1589">
        <v>1291.287122</v>
      </c>
      <c r="B1589" s="1">
        <f>DATE(2013,11,12) + TIME(6,53,27)</f>
        <v>41590.287118055552</v>
      </c>
      <c r="C1589">
        <v>80</v>
      </c>
      <c r="D1589">
        <v>77.618293761999993</v>
      </c>
      <c r="E1589">
        <v>50</v>
      </c>
      <c r="F1589">
        <v>49.983825684000003</v>
      </c>
      <c r="G1589">
        <v>1096.3770752</v>
      </c>
      <c r="H1589">
        <v>968.00573729999996</v>
      </c>
      <c r="I1589">
        <v>1884.2344971</v>
      </c>
      <c r="J1589">
        <v>1691.8642577999999</v>
      </c>
      <c r="K1589">
        <v>0</v>
      </c>
      <c r="L1589">
        <v>2400</v>
      </c>
      <c r="M1589">
        <v>2400</v>
      </c>
      <c r="N1589">
        <v>0</v>
      </c>
    </row>
    <row r="1590" spans="1:14" x14ac:dyDescent="0.25">
      <c r="A1590">
        <v>1292.1490610000001</v>
      </c>
      <c r="B1590" s="1">
        <f>DATE(2013,11,13) + TIME(3,34,38)</f>
        <v>41591.149050925924</v>
      </c>
      <c r="C1590">
        <v>80</v>
      </c>
      <c r="D1590">
        <v>77.517578125</v>
      </c>
      <c r="E1590">
        <v>50</v>
      </c>
      <c r="F1590">
        <v>49.982742309999999</v>
      </c>
      <c r="G1590">
        <v>1091.2403564000001</v>
      </c>
      <c r="H1590">
        <v>962.83093262</v>
      </c>
      <c r="I1590">
        <v>1890.3841553</v>
      </c>
      <c r="J1590">
        <v>1698.0332031</v>
      </c>
      <c r="K1590">
        <v>0</v>
      </c>
      <c r="L1590">
        <v>2400</v>
      </c>
      <c r="M1590">
        <v>2400</v>
      </c>
      <c r="N1590">
        <v>0</v>
      </c>
    </row>
    <row r="1591" spans="1:14" x14ac:dyDescent="0.25">
      <c r="A1591">
        <v>1293.048642</v>
      </c>
      <c r="B1591" s="1">
        <f>DATE(2013,11,14) + TIME(1,10,2)</f>
        <v>41592.048634259256</v>
      </c>
      <c r="C1591">
        <v>80</v>
      </c>
      <c r="D1591">
        <v>77.414329529</v>
      </c>
      <c r="E1591">
        <v>50</v>
      </c>
      <c r="F1591">
        <v>49.981731414999999</v>
      </c>
      <c r="G1591">
        <v>1086.3358154</v>
      </c>
      <c r="H1591">
        <v>957.88732909999999</v>
      </c>
      <c r="I1591">
        <v>1896.1405029</v>
      </c>
      <c r="J1591">
        <v>1703.8092041</v>
      </c>
      <c r="K1591">
        <v>0</v>
      </c>
      <c r="L1591">
        <v>2400</v>
      </c>
      <c r="M1591">
        <v>2400</v>
      </c>
      <c r="N1591">
        <v>0</v>
      </c>
    </row>
    <row r="1592" spans="1:14" x14ac:dyDescent="0.25">
      <c r="A1592">
        <v>1294.0001199999999</v>
      </c>
      <c r="B1592" s="1">
        <f>DATE(2013,11,15) + TIME(0,0,10)</f>
        <v>41593.000115740739</v>
      </c>
      <c r="C1592">
        <v>80</v>
      </c>
      <c r="D1592">
        <v>77.307617187999995</v>
      </c>
      <c r="E1592">
        <v>50</v>
      </c>
      <c r="F1592">
        <v>49.980800629000001</v>
      </c>
      <c r="G1592">
        <v>1081.5911865</v>
      </c>
      <c r="H1592">
        <v>953.10229491999996</v>
      </c>
      <c r="I1592">
        <v>1901.5957031</v>
      </c>
      <c r="J1592">
        <v>1709.2844238</v>
      </c>
      <c r="K1592">
        <v>0</v>
      </c>
      <c r="L1592">
        <v>2400</v>
      </c>
      <c r="M1592">
        <v>2400</v>
      </c>
      <c r="N1592">
        <v>0</v>
      </c>
    </row>
    <row r="1593" spans="1:14" x14ac:dyDescent="0.25">
      <c r="A1593">
        <v>1295.0205350000001</v>
      </c>
      <c r="B1593" s="1">
        <f>DATE(2013,11,16) + TIME(0,29,34)</f>
        <v>41594.020532407405</v>
      </c>
      <c r="C1593">
        <v>80</v>
      </c>
      <c r="D1593">
        <v>77.196105957</v>
      </c>
      <c r="E1593">
        <v>50</v>
      </c>
      <c r="F1593">
        <v>49.979934692</v>
      </c>
      <c r="G1593">
        <v>1076.9443358999999</v>
      </c>
      <c r="H1593">
        <v>948.41314696999996</v>
      </c>
      <c r="I1593">
        <v>1906.8231201000001</v>
      </c>
      <c r="J1593">
        <v>1714.5323486</v>
      </c>
      <c r="K1593">
        <v>0</v>
      </c>
      <c r="L1593">
        <v>2400</v>
      </c>
      <c r="M1593">
        <v>2400</v>
      </c>
      <c r="N1593">
        <v>0</v>
      </c>
    </row>
    <row r="1594" spans="1:14" x14ac:dyDescent="0.25">
      <c r="A1594">
        <v>1296.1311009999999</v>
      </c>
      <c r="B1594" s="1">
        <f>DATE(2013,11,17) + TIME(3,8,47)</f>
        <v>41595.131099537037</v>
      </c>
      <c r="C1594">
        <v>80</v>
      </c>
      <c r="D1594">
        <v>77.078086853000002</v>
      </c>
      <c r="E1594">
        <v>50</v>
      </c>
      <c r="F1594">
        <v>49.979129790999998</v>
      </c>
      <c r="G1594">
        <v>1072.3388672000001</v>
      </c>
      <c r="H1594">
        <v>943.76312256000006</v>
      </c>
      <c r="I1594">
        <v>1911.8825684000001</v>
      </c>
      <c r="J1594">
        <v>1719.6132812000001</v>
      </c>
      <c r="K1594">
        <v>0</v>
      </c>
      <c r="L1594">
        <v>2400</v>
      </c>
      <c r="M1594">
        <v>2400</v>
      </c>
      <c r="N1594">
        <v>0</v>
      </c>
    </row>
    <row r="1595" spans="1:14" x14ac:dyDescent="0.25">
      <c r="A1595">
        <v>1297.347229</v>
      </c>
      <c r="B1595" s="1">
        <f>DATE(2013,11,18) + TIME(8,20,0)</f>
        <v>41596.347222222219</v>
      </c>
      <c r="C1595">
        <v>80</v>
      </c>
      <c r="D1595">
        <v>76.951904296999999</v>
      </c>
      <c r="E1595">
        <v>50</v>
      </c>
      <c r="F1595">
        <v>49.978382111000002</v>
      </c>
      <c r="G1595">
        <v>1067.7615966999999</v>
      </c>
      <c r="H1595">
        <v>939.13830566000001</v>
      </c>
      <c r="I1595">
        <v>1916.7773437999999</v>
      </c>
      <c r="J1595">
        <v>1724.5305175999999</v>
      </c>
      <c r="K1595">
        <v>0</v>
      </c>
      <c r="L1595">
        <v>2400</v>
      </c>
      <c r="M1595">
        <v>2400</v>
      </c>
      <c r="N1595">
        <v>0</v>
      </c>
    </row>
    <row r="1596" spans="1:14" x14ac:dyDescent="0.25">
      <c r="A1596">
        <v>1298.5763710000001</v>
      </c>
      <c r="B1596" s="1">
        <f>DATE(2013,11,19) + TIME(13,49,58)</f>
        <v>41597.576365740744</v>
      </c>
      <c r="C1596">
        <v>80</v>
      </c>
      <c r="D1596">
        <v>76.820137024000005</v>
      </c>
      <c r="E1596">
        <v>50</v>
      </c>
      <c r="F1596">
        <v>49.977718353</v>
      </c>
      <c r="G1596">
        <v>1063.5358887</v>
      </c>
      <c r="H1596">
        <v>934.86401366999996</v>
      </c>
      <c r="I1596">
        <v>1921.1296387</v>
      </c>
      <c r="J1596">
        <v>1728.9063721</v>
      </c>
      <c r="K1596">
        <v>0</v>
      </c>
      <c r="L1596">
        <v>2400</v>
      </c>
      <c r="M1596">
        <v>2400</v>
      </c>
      <c r="N1596">
        <v>0</v>
      </c>
    </row>
    <row r="1597" spans="1:14" x14ac:dyDescent="0.25">
      <c r="A1597">
        <v>1299.836391</v>
      </c>
      <c r="B1597" s="1">
        <f>DATE(2013,11,20) + TIME(20,4,24)</f>
        <v>41598.836388888885</v>
      </c>
      <c r="C1597">
        <v>80</v>
      </c>
      <c r="D1597">
        <v>76.685676575000002</v>
      </c>
      <c r="E1597">
        <v>50</v>
      </c>
      <c r="F1597">
        <v>49.977142334</v>
      </c>
      <c r="G1597">
        <v>1059.5793457</v>
      </c>
      <c r="H1597">
        <v>930.85644531000003</v>
      </c>
      <c r="I1597">
        <v>1925.0795897999999</v>
      </c>
      <c r="J1597">
        <v>1732.8791504000001</v>
      </c>
      <c r="K1597">
        <v>0</v>
      </c>
      <c r="L1597">
        <v>2400</v>
      </c>
      <c r="M1597">
        <v>2400</v>
      </c>
      <c r="N1597">
        <v>0</v>
      </c>
    </row>
    <row r="1598" spans="1:14" x14ac:dyDescent="0.25">
      <c r="A1598">
        <v>1301.1472859999999</v>
      </c>
      <c r="B1598" s="1">
        <f>DATE(2013,11,22) + TIME(3,32,5)</f>
        <v>41600.147280092591</v>
      </c>
      <c r="C1598">
        <v>80</v>
      </c>
      <c r="D1598">
        <v>76.548393250000004</v>
      </c>
      <c r="E1598">
        <v>50</v>
      </c>
      <c r="F1598">
        <v>49.976642609000002</v>
      </c>
      <c r="G1598">
        <v>1055.8195800999999</v>
      </c>
      <c r="H1598">
        <v>927.04351807</v>
      </c>
      <c r="I1598">
        <v>1928.7177733999999</v>
      </c>
      <c r="J1598">
        <v>1736.5395507999999</v>
      </c>
      <c r="K1598">
        <v>0</v>
      </c>
      <c r="L1598">
        <v>2400</v>
      </c>
      <c r="M1598">
        <v>2400</v>
      </c>
      <c r="N1598">
        <v>0</v>
      </c>
    </row>
    <row r="1599" spans="1:14" x14ac:dyDescent="0.25">
      <c r="A1599">
        <v>1302.53027</v>
      </c>
      <c r="B1599" s="1">
        <f>DATE(2013,11,23) + TIME(12,43,35)</f>
        <v>41601.530266203707</v>
      </c>
      <c r="C1599">
        <v>80</v>
      </c>
      <c r="D1599">
        <v>76.406951903999996</v>
      </c>
      <c r="E1599">
        <v>50</v>
      </c>
      <c r="F1599">
        <v>49.976192474000001</v>
      </c>
      <c r="G1599">
        <v>1052.2005615</v>
      </c>
      <c r="H1599">
        <v>923.36889647999999</v>
      </c>
      <c r="I1599">
        <v>1932.1042480000001</v>
      </c>
      <c r="J1599">
        <v>1739.947876</v>
      </c>
      <c r="K1599">
        <v>0</v>
      </c>
      <c r="L1599">
        <v>2400</v>
      </c>
      <c r="M1599">
        <v>2400</v>
      </c>
      <c r="N1599">
        <v>0</v>
      </c>
    </row>
    <row r="1600" spans="1:14" x14ac:dyDescent="0.25">
      <c r="A1600">
        <v>1304.0107210000001</v>
      </c>
      <c r="B1600" s="1">
        <f>DATE(2013,11,25) + TIME(0,15,26)</f>
        <v>41603.010717592595</v>
      </c>
      <c r="C1600">
        <v>80</v>
      </c>
      <c r="D1600">
        <v>76.259437560999999</v>
      </c>
      <c r="E1600">
        <v>50</v>
      </c>
      <c r="F1600">
        <v>49.975788115999997</v>
      </c>
      <c r="G1600">
        <v>1048.6746826000001</v>
      </c>
      <c r="H1600">
        <v>919.78393555000002</v>
      </c>
      <c r="I1600">
        <v>1935.2838135</v>
      </c>
      <c r="J1600">
        <v>1743.1489257999999</v>
      </c>
      <c r="K1600">
        <v>0</v>
      </c>
      <c r="L1600">
        <v>2400</v>
      </c>
      <c r="M1600">
        <v>2400</v>
      </c>
      <c r="N1600">
        <v>0</v>
      </c>
    </row>
    <row r="1601" spans="1:14" x14ac:dyDescent="0.25">
      <c r="A1601">
        <v>1305.6026959999999</v>
      </c>
      <c r="B1601" s="1">
        <f>DATE(2013,11,26) + TIME(14,27,52)</f>
        <v>41604.602685185186</v>
      </c>
      <c r="C1601">
        <v>80</v>
      </c>
      <c r="D1601">
        <v>76.103973389000004</v>
      </c>
      <c r="E1601">
        <v>50</v>
      </c>
      <c r="F1601">
        <v>49.975421906000001</v>
      </c>
      <c r="G1601">
        <v>1045.2319336</v>
      </c>
      <c r="H1601">
        <v>916.27777100000003</v>
      </c>
      <c r="I1601">
        <v>1938.2567139</v>
      </c>
      <c r="J1601">
        <v>1746.1435547000001</v>
      </c>
      <c r="K1601">
        <v>0</v>
      </c>
      <c r="L1601">
        <v>2400</v>
      </c>
      <c r="M1601">
        <v>2400</v>
      </c>
      <c r="N1601">
        <v>0</v>
      </c>
    </row>
    <row r="1602" spans="1:14" x14ac:dyDescent="0.25">
      <c r="A1602">
        <v>1307.2689230000001</v>
      </c>
      <c r="B1602" s="1">
        <f>DATE(2013,11,28) + TIME(6,27,14)</f>
        <v>41606.268912037034</v>
      </c>
      <c r="C1602">
        <v>80</v>
      </c>
      <c r="D1602">
        <v>75.940628051999994</v>
      </c>
      <c r="E1602">
        <v>50</v>
      </c>
      <c r="F1602">
        <v>49.975093842</v>
      </c>
      <c r="G1602">
        <v>1041.9532471</v>
      </c>
      <c r="H1602">
        <v>912.93133545000001</v>
      </c>
      <c r="I1602">
        <v>1940.9382324000001</v>
      </c>
      <c r="J1602">
        <v>1748.8469238</v>
      </c>
      <c r="K1602">
        <v>0</v>
      </c>
      <c r="L1602">
        <v>2400</v>
      </c>
      <c r="M1602">
        <v>2400</v>
      </c>
      <c r="N1602">
        <v>0</v>
      </c>
    </row>
    <row r="1603" spans="1:14" x14ac:dyDescent="0.25">
      <c r="A1603">
        <v>1308.9578039999999</v>
      </c>
      <c r="B1603" s="1">
        <f>DATE(2013,11,29) + TIME(22,59,14)</f>
        <v>41607.957800925928</v>
      </c>
      <c r="C1603">
        <v>80</v>
      </c>
      <c r="D1603">
        <v>75.772422790999997</v>
      </c>
      <c r="E1603">
        <v>50</v>
      </c>
      <c r="F1603">
        <v>49.974807738999999</v>
      </c>
      <c r="G1603">
        <v>1038.9160156</v>
      </c>
      <c r="H1603">
        <v>909.82220458999996</v>
      </c>
      <c r="I1603">
        <v>1943.2717285000001</v>
      </c>
      <c r="J1603">
        <v>1751.2016602000001</v>
      </c>
      <c r="K1603">
        <v>0</v>
      </c>
      <c r="L1603">
        <v>2400</v>
      </c>
      <c r="M1603">
        <v>2400</v>
      </c>
      <c r="N1603">
        <v>0</v>
      </c>
    </row>
    <row r="1604" spans="1:14" x14ac:dyDescent="0.25">
      <c r="A1604">
        <v>1310</v>
      </c>
      <c r="B1604" s="1">
        <f>DATE(2013,12,1) + TIME(0,0,0)</f>
        <v>41609</v>
      </c>
      <c r="C1604">
        <v>80</v>
      </c>
      <c r="D1604">
        <v>75.630256653000004</v>
      </c>
      <c r="E1604">
        <v>50</v>
      </c>
      <c r="F1604">
        <v>49.974590302000003</v>
      </c>
      <c r="G1604">
        <v>1037.0592041</v>
      </c>
      <c r="H1604">
        <v>907.90954590000001</v>
      </c>
      <c r="I1604">
        <v>1944.4855957</v>
      </c>
      <c r="J1604">
        <v>1752.4345702999999</v>
      </c>
      <c r="K1604">
        <v>0</v>
      </c>
      <c r="L1604">
        <v>2400</v>
      </c>
      <c r="M1604">
        <v>2400</v>
      </c>
      <c r="N1604">
        <v>0</v>
      </c>
    </row>
    <row r="1605" spans="1:14" x14ac:dyDescent="0.25">
      <c r="A1605">
        <v>1311.7364</v>
      </c>
      <c r="B1605" s="1">
        <f>DATE(2013,12,2) + TIME(17,40,25)</f>
        <v>41610.736400462964</v>
      </c>
      <c r="C1605">
        <v>80</v>
      </c>
      <c r="D1605">
        <v>75.485527039000004</v>
      </c>
      <c r="E1605">
        <v>50</v>
      </c>
      <c r="F1605">
        <v>49.974445342999999</v>
      </c>
      <c r="G1605">
        <v>1034.4141846</v>
      </c>
      <c r="H1605">
        <v>905.18627930000002</v>
      </c>
      <c r="I1605">
        <v>1946.4288329999999</v>
      </c>
      <c r="J1605">
        <v>1754.3913574000001</v>
      </c>
      <c r="K1605">
        <v>0</v>
      </c>
      <c r="L1605">
        <v>2400</v>
      </c>
      <c r="M1605">
        <v>2400</v>
      </c>
      <c r="N1605">
        <v>0</v>
      </c>
    </row>
    <row r="1606" spans="1:14" x14ac:dyDescent="0.25">
      <c r="A1606">
        <v>1313.6070239999999</v>
      </c>
      <c r="B1606" s="1">
        <f>DATE(2013,12,4) + TIME(14,34,6)</f>
        <v>41612.60701388889</v>
      </c>
      <c r="C1606">
        <v>80</v>
      </c>
      <c r="D1606">
        <v>75.318161011000001</v>
      </c>
      <c r="E1606">
        <v>50</v>
      </c>
      <c r="F1606">
        <v>49.974262238000001</v>
      </c>
      <c r="G1606">
        <v>1031.7751464999999</v>
      </c>
      <c r="H1606">
        <v>902.46899413999995</v>
      </c>
      <c r="I1606">
        <v>1948.175293</v>
      </c>
      <c r="J1606">
        <v>1756.1555175999999</v>
      </c>
      <c r="K1606">
        <v>0</v>
      </c>
      <c r="L1606">
        <v>2400</v>
      </c>
      <c r="M1606">
        <v>2400</v>
      </c>
      <c r="N1606">
        <v>0</v>
      </c>
    </row>
    <row r="1607" spans="1:14" x14ac:dyDescent="0.25">
      <c r="A1607">
        <v>1315.5966249999999</v>
      </c>
      <c r="B1607" s="1">
        <f>DATE(2013,12,6) + TIME(14,19,8)</f>
        <v>41614.596620370372</v>
      </c>
      <c r="C1607">
        <v>80</v>
      </c>
      <c r="D1607">
        <v>75.136070251000007</v>
      </c>
      <c r="E1607">
        <v>50</v>
      </c>
      <c r="F1607">
        <v>49.974090576000002</v>
      </c>
      <c r="G1607">
        <v>1029.2080077999999</v>
      </c>
      <c r="H1607">
        <v>899.81176758000004</v>
      </c>
      <c r="I1607">
        <v>1949.7170410000001</v>
      </c>
      <c r="J1607">
        <v>1757.7155762</v>
      </c>
      <c r="K1607">
        <v>0</v>
      </c>
      <c r="L1607">
        <v>2400</v>
      </c>
      <c r="M1607">
        <v>2400</v>
      </c>
      <c r="N1607">
        <v>0</v>
      </c>
    </row>
    <row r="1608" spans="1:14" x14ac:dyDescent="0.25">
      <c r="A1608">
        <v>1317.5975699999999</v>
      </c>
      <c r="B1608" s="1">
        <f>DATE(2013,12,8) + TIME(14,20,30)</f>
        <v>41616.597569444442</v>
      </c>
      <c r="C1608">
        <v>80</v>
      </c>
      <c r="D1608">
        <v>74.945220946999996</v>
      </c>
      <c r="E1608">
        <v>50</v>
      </c>
      <c r="F1608">
        <v>49.973941803000002</v>
      </c>
      <c r="G1608">
        <v>1026.8210449000001</v>
      </c>
      <c r="H1608">
        <v>897.32556151999995</v>
      </c>
      <c r="I1608">
        <v>1950.9892577999999</v>
      </c>
      <c r="J1608">
        <v>1759.0056152</v>
      </c>
      <c r="K1608">
        <v>0</v>
      </c>
      <c r="L1608">
        <v>2400</v>
      </c>
      <c r="M1608">
        <v>2400</v>
      </c>
      <c r="N1608">
        <v>0</v>
      </c>
    </row>
    <row r="1609" spans="1:14" x14ac:dyDescent="0.25">
      <c r="A1609">
        <v>1319.6356350000001</v>
      </c>
      <c r="B1609" s="1">
        <f>DATE(2013,12,10) + TIME(15,15,18)</f>
        <v>41618.635625000003</v>
      </c>
      <c r="C1609">
        <v>80</v>
      </c>
      <c r="D1609">
        <v>74.751228333</v>
      </c>
      <c r="E1609">
        <v>50</v>
      </c>
      <c r="F1609">
        <v>49.973827362000002</v>
      </c>
      <c r="G1609">
        <v>1024.5784911999999</v>
      </c>
      <c r="H1609">
        <v>894.97558593999997</v>
      </c>
      <c r="I1609">
        <v>1952.0548096</v>
      </c>
      <c r="J1609">
        <v>1760.0878906</v>
      </c>
      <c r="K1609">
        <v>0</v>
      </c>
      <c r="L1609">
        <v>2400</v>
      </c>
      <c r="M1609">
        <v>2400</v>
      </c>
      <c r="N1609">
        <v>0</v>
      </c>
    </row>
    <row r="1610" spans="1:14" x14ac:dyDescent="0.25">
      <c r="A1610">
        <v>1321.736122</v>
      </c>
      <c r="B1610" s="1">
        <f>DATE(2013,12,12) + TIME(17,40,0)</f>
        <v>41620.736111111109</v>
      </c>
      <c r="C1610">
        <v>80</v>
      </c>
      <c r="D1610">
        <v>74.554000853999995</v>
      </c>
      <c r="E1610">
        <v>50</v>
      </c>
      <c r="F1610">
        <v>49.973735808999997</v>
      </c>
      <c r="G1610">
        <v>1022.4431763</v>
      </c>
      <c r="H1610">
        <v>892.72442626999998</v>
      </c>
      <c r="I1610">
        <v>1952.9487305</v>
      </c>
      <c r="J1610">
        <v>1760.9976807</v>
      </c>
      <c r="K1610">
        <v>0</v>
      </c>
      <c r="L1610">
        <v>2400</v>
      </c>
      <c r="M1610">
        <v>2400</v>
      </c>
      <c r="N1610">
        <v>0</v>
      </c>
    </row>
    <row r="1611" spans="1:14" x14ac:dyDescent="0.25">
      <c r="A1611">
        <v>1323.924888</v>
      </c>
      <c r="B1611" s="1">
        <f>DATE(2013,12,14) + TIME(22,11,50)</f>
        <v>41622.924884259257</v>
      </c>
      <c r="C1611">
        <v>80</v>
      </c>
      <c r="D1611">
        <v>74.351715088000006</v>
      </c>
      <c r="E1611">
        <v>50</v>
      </c>
      <c r="F1611">
        <v>49.973663330000001</v>
      </c>
      <c r="G1611">
        <v>1020.3834839</v>
      </c>
      <c r="H1611">
        <v>890.53869628999996</v>
      </c>
      <c r="I1611">
        <v>1953.6931152</v>
      </c>
      <c r="J1611">
        <v>1761.7570800999999</v>
      </c>
      <c r="K1611">
        <v>0</v>
      </c>
      <c r="L1611">
        <v>2400</v>
      </c>
      <c r="M1611">
        <v>2400</v>
      </c>
      <c r="N1611">
        <v>0</v>
      </c>
    </row>
    <row r="1612" spans="1:14" x14ac:dyDescent="0.25">
      <c r="A1612">
        <v>1326.13132</v>
      </c>
      <c r="B1612" s="1">
        <f>DATE(2013,12,17) + TIME(3,9,6)</f>
        <v>41625.131319444445</v>
      </c>
      <c r="C1612">
        <v>80</v>
      </c>
      <c r="D1612">
        <v>74.144203185999999</v>
      </c>
      <c r="E1612">
        <v>50</v>
      </c>
      <c r="F1612">
        <v>49.973606109999999</v>
      </c>
      <c r="G1612">
        <v>1018.4334106</v>
      </c>
      <c r="H1612">
        <v>888.45178223000005</v>
      </c>
      <c r="I1612">
        <v>1954.2718506000001</v>
      </c>
      <c r="J1612">
        <v>1762.3502197</v>
      </c>
      <c r="K1612">
        <v>0</v>
      </c>
      <c r="L1612">
        <v>2400</v>
      </c>
      <c r="M1612">
        <v>2400</v>
      </c>
      <c r="N1612">
        <v>0</v>
      </c>
    </row>
    <row r="1613" spans="1:14" x14ac:dyDescent="0.25">
      <c r="A1613">
        <v>1328.374607</v>
      </c>
      <c r="B1613" s="1">
        <f>DATE(2013,12,19) + TIME(8,59,26)</f>
        <v>41627.374606481484</v>
      </c>
      <c r="C1613">
        <v>80</v>
      </c>
      <c r="D1613">
        <v>73.934020996000001</v>
      </c>
      <c r="E1613">
        <v>50</v>
      </c>
      <c r="F1613">
        <v>49.973564148000001</v>
      </c>
      <c r="G1613">
        <v>1016.5717773</v>
      </c>
      <c r="H1613">
        <v>886.44219970999995</v>
      </c>
      <c r="I1613">
        <v>1954.7174072</v>
      </c>
      <c r="J1613">
        <v>1762.8093262</v>
      </c>
      <c r="K1613">
        <v>0</v>
      </c>
      <c r="L1613">
        <v>2400</v>
      </c>
      <c r="M1613">
        <v>2400</v>
      </c>
      <c r="N1613">
        <v>0</v>
      </c>
    </row>
    <row r="1614" spans="1:14" x14ac:dyDescent="0.25">
      <c r="A1614">
        <v>1330.679394</v>
      </c>
      <c r="B1614" s="1">
        <f>DATE(2013,12,21) + TIME(16,18,19)</f>
        <v>41629.679386574076</v>
      </c>
      <c r="C1614">
        <v>80</v>
      </c>
      <c r="D1614">
        <v>73.720230103000006</v>
      </c>
      <c r="E1614">
        <v>50</v>
      </c>
      <c r="F1614">
        <v>49.973541259999998</v>
      </c>
      <c r="G1614">
        <v>1014.7705078</v>
      </c>
      <c r="H1614">
        <v>884.48065185999997</v>
      </c>
      <c r="I1614">
        <v>1955.0509033000001</v>
      </c>
      <c r="J1614">
        <v>1763.1553954999999</v>
      </c>
      <c r="K1614">
        <v>0</v>
      </c>
      <c r="L1614">
        <v>2400</v>
      </c>
      <c r="M1614">
        <v>2400</v>
      </c>
      <c r="N1614">
        <v>0</v>
      </c>
    </row>
    <row r="1615" spans="1:14" x14ac:dyDescent="0.25">
      <c r="A1615">
        <v>1333.071537</v>
      </c>
      <c r="B1615" s="1">
        <f>DATE(2013,12,24) + TIME(1,43,0)</f>
        <v>41632.071527777778</v>
      </c>
      <c r="C1615">
        <v>80</v>
      </c>
      <c r="D1615">
        <v>73.500701903999996</v>
      </c>
      <c r="E1615">
        <v>50</v>
      </c>
      <c r="F1615">
        <v>49.973526001000003</v>
      </c>
      <c r="G1615">
        <v>1013.00354</v>
      </c>
      <c r="H1615">
        <v>882.53851318</v>
      </c>
      <c r="I1615">
        <v>1955.2860106999999</v>
      </c>
      <c r="J1615">
        <v>1763.4023437999999</v>
      </c>
      <c r="K1615">
        <v>0</v>
      </c>
      <c r="L1615">
        <v>2400</v>
      </c>
      <c r="M1615">
        <v>2400</v>
      </c>
      <c r="N1615">
        <v>0</v>
      </c>
    </row>
    <row r="1616" spans="1:14" x14ac:dyDescent="0.25">
      <c r="A1616">
        <v>1335.4900950000001</v>
      </c>
      <c r="B1616" s="1">
        <f>DATE(2013,12,26) + TIME(11,45,44)</f>
        <v>41634.49009259259</v>
      </c>
      <c r="C1616">
        <v>80</v>
      </c>
      <c r="D1616">
        <v>73.274818420000003</v>
      </c>
      <c r="E1616">
        <v>50</v>
      </c>
      <c r="F1616">
        <v>49.973522185999997</v>
      </c>
      <c r="G1616">
        <v>1011.2860717999999</v>
      </c>
      <c r="H1616">
        <v>880.62933350000003</v>
      </c>
      <c r="I1616">
        <v>1955.4212646000001</v>
      </c>
      <c r="J1616">
        <v>1763.5491943</v>
      </c>
      <c r="K1616">
        <v>0</v>
      </c>
      <c r="L1616">
        <v>2400</v>
      </c>
      <c r="M1616">
        <v>2400</v>
      </c>
      <c r="N1616">
        <v>0</v>
      </c>
    </row>
    <row r="1617" spans="1:14" x14ac:dyDescent="0.25">
      <c r="A1617">
        <v>1337.948269</v>
      </c>
      <c r="B1617" s="1">
        <f>DATE(2013,12,28) + TIME(22,45,30)</f>
        <v>41636.948263888888</v>
      </c>
      <c r="C1617">
        <v>80</v>
      </c>
      <c r="D1617">
        <v>73.044822693</v>
      </c>
      <c r="E1617">
        <v>50</v>
      </c>
      <c r="F1617">
        <v>49.973529816000003</v>
      </c>
      <c r="G1617">
        <v>1009.6079712</v>
      </c>
      <c r="H1617">
        <v>878.74310303000004</v>
      </c>
      <c r="I1617">
        <v>1955.4758300999999</v>
      </c>
      <c r="J1617">
        <v>1763.6143798999999</v>
      </c>
      <c r="K1617">
        <v>0</v>
      </c>
      <c r="L1617">
        <v>2400</v>
      </c>
      <c r="M1617">
        <v>2400</v>
      </c>
      <c r="N1617">
        <v>0</v>
      </c>
    </row>
    <row r="1618" spans="1:14" x14ac:dyDescent="0.25">
      <c r="A1618">
        <v>1340.47047</v>
      </c>
      <c r="B1618" s="1">
        <f>DATE(2013,12,31) + TIME(11,17,28)</f>
        <v>41639.470462962963</v>
      </c>
      <c r="C1618">
        <v>80</v>
      </c>
      <c r="D1618">
        <v>72.809844971000004</v>
      </c>
      <c r="E1618">
        <v>50</v>
      </c>
      <c r="F1618">
        <v>49.973548889</v>
      </c>
      <c r="G1618">
        <v>1007.9484253000001</v>
      </c>
      <c r="H1618">
        <v>876.85729979999996</v>
      </c>
      <c r="I1618">
        <v>1955.4622803</v>
      </c>
      <c r="J1618">
        <v>1763.6109618999999</v>
      </c>
      <c r="K1618">
        <v>0</v>
      </c>
      <c r="L1618">
        <v>2400</v>
      </c>
      <c r="M1618">
        <v>2400</v>
      </c>
      <c r="N1618">
        <v>0</v>
      </c>
    </row>
    <row r="1619" spans="1:14" x14ac:dyDescent="0.25">
      <c r="A1619">
        <v>1341</v>
      </c>
      <c r="B1619" s="1">
        <f>DATE(2014,1,1) + TIME(0,0,0)</f>
        <v>41640</v>
      </c>
      <c r="C1619">
        <v>80</v>
      </c>
      <c r="D1619">
        <v>72.682228088000002</v>
      </c>
      <c r="E1619">
        <v>50</v>
      </c>
      <c r="F1619">
        <v>49.973491668999998</v>
      </c>
      <c r="G1619">
        <v>1007.270813</v>
      </c>
      <c r="H1619">
        <v>876.05737305000002</v>
      </c>
      <c r="I1619">
        <v>1955.3880615</v>
      </c>
      <c r="J1619">
        <v>1763.5427245999999</v>
      </c>
      <c r="K1619">
        <v>0</v>
      </c>
      <c r="L1619">
        <v>2400</v>
      </c>
      <c r="M1619">
        <v>2400</v>
      </c>
      <c r="N1619">
        <v>0</v>
      </c>
    </row>
    <row r="1620" spans="1:14" x14ac:dyDescent="0.25">
      <c r="A1620">
        <v>1343.6122700000001</v>
      </c>
      <c r="B1620" s="1">
        <f>DATE(2014,1,3) + TIME(14,41,40)</f>
        <v>41642.612268518518</v>
      </c>
      <c r="C1620">
        <v>80</v>
      </c>
      <c r="D1620">
        <v>72.498458862000007</v>
      </c>
      <c r="E1620">
        <v>50</v>
      </c>
      <c r="F1620">
        <v>49.973575592000003</v>
      </c>
      <c r="G1620">
        <v>1005.8886108</v>
      </c>
      <c r="H1620">
        <v>874.47149658000001</v>
      </c>
      <c r="I1620">
        <v>1955.3444824000001</v>
      </c>
      <c r="J1620">
        <v>1763.5050048999999</v>
      </c>
      <c r="K1620">
        <v>0</v>
      </c>
      <c r="L1620">
        <v>2400</v>
      </c>
      <c r="M1620">
        <v>2400</v>
      </c>
      <c r="N1620">
        <v>0</v>
      </c>
    </row>
    <row r="1621" spans="1:14" x14ac:dyDescent="0.25">
      <c r="A1621">
        <v>1346.255854</v>
      </c>
      <c r="B1621" s="1">
        <f>DATE(2014,1,6) + TIME(6,8,25)</f>
        <v>41645.255844907406</v>
      </c>
      <c r="C1621">
        <v>80</v>
      </c>
      <c r="D1621">
        <v>72.261398314999994</v>
      </c>
      <c r="E1621">
        <v>50</v>
      </c>
      <c r="F1621">
        <v>49.973613739000001</v>
      </c>
      <c r="G1621">
        <v>1004.2667236</v>
      </c>
      <c r="H1621">
        <v>872.59167479999996</v>
      </c>
      <c r="I1621">
        <v>1955.2229004000001</v>
      </c>
      <c r="J1621">
        <v>1763.3919678</v>
      </c>
      <c r="K1621">
        <v>0</v>
      </c>
      <c r="L1621">
        <v>2400</v>
      </c>
      <c r="M1621">
        <v>2400</v>
      </c>
      <c r="N1621">
        <v>0</v>
      </c>
    </row>
    <row r="1622" spans="1:14" x14ac:dyDescent="0.25">
      <c r="A1622">
        <v>1348.950008</v>
      </c>
      <c r="B1622" s="1">
        <f>DATE(2014,1,8) + TIME(22,48,0)</f>
        <v>41647.949999999997</v>
      </c>
      <c r="C1622">
        <v>80</v>
      </c>
      <c r="D1622">
        <v>72.007644653</v>
      </c>
      <c r="E1622">
        <v>50</v>
      </c>
      <c r="F1622">
        <v>49.973648071</v>
      </c>
      <c r="G1622">
        <v>1002.6182861</v>
      </c>
      <c r="H1622">
        <v>870.64782715000001</v>
      </c>
      <c r="I1622">
        <v>1955.0446777</v>
      </c>
      <c r="J1622">
        <v>1763.2220459</v>
      </c>
      <c r="K1622">
        <v>0</v>
      </c>
      <c r="L1622">
        <v>2400</v>
      </c>
      <c r="M1622">
        <v>2400</v>
      </c>
      <c r="N1622">
        <v>0</v>
      </c>
    </row>
    <row r="1623" spans="1:14" x14ac:dyDescent="0.25">
      <c r="A1623">
        <v>1351.7192150000001</v>
      </c>
      <c r="B1623" s="1">
        <f>DATE(2014,1,11) + TIME(17,15,40)</f>
        <v>41650.719212962962</v>
      </c>
      <c r="C1623">
        <v>80</v>
      </c>
      <c r="D1623">
        <v>71.743858337000006</v>
      </c>
      <c r="E1623">
        <v>50</v>
      </c>
      <c r="F1623">
        <v>49.973690032999997</v>
      </c>
      <c r="G1623">
        <v>1000.9421996999999</v>
      </c>
      <c r="H1623">
        <v>868.64642333999996</v>
      </c>
      <c r="I1623">
        <v>1954.8259277</v>
      </c>
      <c r="J1623">
        <v>1763.0112305</v>
      </c>
      <c r="K1623">
        <v>0</v>
      </c>
      <c r="L1623">
        <v>2400</v>
      </c>
      <c r="M1623">
        <v>2400</v>
      </c>
      <c r="N1623">
        <v>0</v>
      </c>
    </row>
    <row r="1624" spans="1:14" x14ac:dyDescent="0.25">
      <c r="A1624">
        <v>1354.5515009999999</v>
      </c>
      <c r="B1624" s="1">
        <f>DATE(2014,1,14) + TIME(13,14,9)</f>
        <v>41653.551493055558</v>
      </c>
      <c r="C1624">
        <v>80</v>
      </c>
      <c r="D1624">
        <v>71.470092773000005</v>
      </c>
      <c r="E1624">
        <v>50</v>
      </c>
      <c r="F1624">
        <v>49.973739623999997</v>
      </c>
      <c r="G1624">
        <v>999.23272704999999</v>
      </c>
      <c r="H1624">
        <v>866.58032227000001</v>
      </c>
      <c r="I1624">
        <v>1954.5736084</v>
      </c>
      <c r="J1624">
        <v>1762.7663574000001</v>
      </c>
      <c r="K1624">
        <v>0</v>
      </c>
      <c r="L1624">
        <v>2400</v>
      </c>
      <c r="M1624">
        <v>2400</v>
      </c>
      <c r="N1624">
        <v>0</v>
      </c>
    </row>
    <row r="1625" spans="1:14" x14ac:dyDescent="0.25">
      <c r="A1625">
        <v>1357.417267</v>
      </c>
      <c r="B1625" s="1">
        <f>DATE(2014,1,17) + TIME(10,0,51)</f>
        <v>41656.417256944442</v>
      </c>
      <c r="C1625">
        <v>80</v>
      </c>
      <c r="D1625">
        <v>71.187202454000001</v>
      </c>
      <c r="E1625">
        <v>50</v>
      </c>
      <c r="F1625">
        <v>49.973789214999996</v>
      </c>
      <c r="G1625">
        <v>997.49328613</v>
      </c>
      <c r="H1625">
        <v>864.45214843999997</v>
      </c>
      <c r="I1625">
        <v>1954.2946777</v>
      </c>
      <c r="J1625">
        <v>1762.4946289</v>
      </c>
      <c r="K1625">
        <v>0</v>
      </c>
      <c r="L1625">
        <v>2400</v>
      </c>
      <c r="M1625">
        <v>2400</v>
      </c>
      <c r="N1625">
        <v>0</v>
      </c>
    </row>
    <row r="1626" spans="1:14" x14ac:dyDescent="0.25">
      <c r="A1626">
        <v>1360.341651</v>
      </c>
      <c r="B1626" s="1">
        <f>DATE(2014,1,20) + TIME(8,11,58)</f>
        <v>41659.341643518521</v>
      </c>
      <c r="C1626">
        <v>80</v>
      </c>
      <c r="D1626">
        <v>70.896232604999994</v>
      </c>
      <c r="E1626">
        <v>50</v>
      </c>
      <c r="F1626">
        <v>49.973842621000003</v>
      </c>
      <c r="G1626">
        <v>995.71765137</v>
      </c>
      <c r="H1626">
        <v>862.25537109000004</v>
      </c>
      <c r="I1626">
        <v>1953.9951172000001</v>
      </c>
      <c r="J1626">
        <v>1762.2016602000001</v>
      </c>
      <c r="K1626">
        <v>0</v>
      </c>
      <c r="L1626">
        <v>2400</v>
      </c>
      <c r="M1626">
        <v>2400</v>
      </c>
      <c r="N1626">
        <v>0</v>
      </c>
    </row>
    <row r="1627" spans="1:14" x14ac:dyDescent="0.25">
      <c r="A1627">
        <v>1363.3504029999999</v>
      </c>
      <c r="B1627" s="1">
        <f>DATE(2014,1,23) + TIME(8,24,34)</f>
        <v>41662.350393518522</v>
      </c>
      <c r="C1627">
        <v>80</v>
      </c>
      <c r="D1627">
        <v>70.594917296999995</v>
      </c>
      <c r="E1627">
        <v>50</v>
      </c>
      <c r="F1627">
        <v>49.973903655999997</v>
      </c>
      <c r="G1627">
        <v>993.88781738</v>
      </c>
      <c r="H1627">
        <v>859.96728515999996</v>
      </c>
      <c r="I1627">
        <v>1953.6768798999999</v>
      </c>
      <c r="J1627">
        <v>1761.8897704999999</v>
      </c>
      <c r="K1627">
        <v>0</v>
      </c>
      <c r="L1627">
        <v>2400</v>
      </c>
      <c r="M1627">
        <v>2400</v>
      </c>
      <c r="N1627">
        <v>0</v>
      </c>
    </row>
    <row r="1628" spans="1:14" x14ac:dyDescent="0.25">
      <c r="A1628">
        <v>1366.395984</v>
      </c>
      <c r="B1628" s="1">
        <f>DATE(2014,1,26) + TIME(9,30,12)</f>
        <v>41665.395972222221</v>
      </c>
      <c r="C1628">
        <v>80</v>
      </c>
      <c r="D1628">
        <v>70.281562804999993</v>
      </c>
      <c r="E1628">
        <v>50</v>
      </c>
      <c r="F1628">
        <v>49.973960876</v>
      </c>
      <c r="G1628">
        <v>992.00128173999997</v>
      </c>
      <c r="H1628">
        <v>857.58093262</v>
      </c>
      <c r="I1628">
        <v>1953.3443603999999</v>
      </c>
      <c r="J1628">
        <v>1761.5631103999999</v>
      </c>
      <c r="K1628">
        <v>0</v>
      </c>
      <c r="L1628">
        <v>2400</v>
      </c>
      <c r="M1628">
        <v>2400</v>
      </c>
      <c r="N1628">
        <v>0</v>
      </c>
    </row>
    <row r="1629" spans="1:14" x14ac:dyDescent="0.25">
      <c r="A1629">
        <v>1369.4864909999999</v>
      </c>
      <c r="B1629" s="1">
        <f>DATE(2014,1,29) + TIME(11,40,32)</f>
        <v>41668.486481481479</v>
      </c>
      <c r="C1629">
        <v>80</v>
      </c>
      <c r="D1629">
        <v>69.957984924000002</v>
      </c>
      <c r="E1629">
        <v>50</v>
      </c>
      <c r="F1629">
        <v>49.974025726000001</v>
      </c>
      <c r="G1629">
        <v>990.06164550999995</v>
      </c>
      <c r="H1629">
        <v>855.10107421999999</v>
      </c>
      <c r="I1629">
        <v>1953.0017089999999</v>
      </c>
      <c r="J1629">
        <v>1761.2261963000001</v>
      </c>
      <c r="K1629">
        <v>0</v>
      </c>
      <c r="L1629">
        <v>2400</v>
      </c>
      <c r="M1629">
        <v>2400</v>
      </c>
      <c r="N1629">
        <v>0</v>
      </c>
    </row>
    <row r="1630" spans="1:14" x14ac:dyDescent="0.25">
      <c r="A1630">
        <v>1372</v>
      </c>
      <c r="B1630" s="1">
        <f>DATE(2014,2,1) + TIME(0,0,0)</f>
        <v>41671</v>
      </c>
      <c r="C1630">
        <v>80</v>
      </c>
      <c r="D1630">
        <v>69.638793945000003</v>
      </c>
      <c r="E1630">
        <v>50</v>
      </c>
      <c r="F1630">
        <v>49.974063872999999</v>
      </c>
      <c r="G1630">
        <v>988.21734618999994</v>
      </c>
      <c r="H1630">
        <v>852.69842529000005</v>
      </c>
      <c r="I1630">
        <v>1952.6881103999999</v>
      </c>
      <c r="J1630">
        <v>1760.9177245999999</v>
      </c>
      <c r="K1630">
        <v>0</v>
      </c>
      <c r="L1630">
        <v>2400</v>
      </c>
      <c r="M1630">
        <v>2400</v>
      </c>
      <c r="N1630">
        <v>0</v>
      </c>
    </row>
    <row r="1631" spans="1:14" x14ac:dyDescent="0.25">
      <c r="A1631">
        <v>1375.161087</v>
      </c>
      <c r="B1631" s="1">
        <f>DATE(2014,2,4) + TIME(3,51,57)</f>
        <v>41674.161076388889</v>
      </c>
      <c r="C1631">
        <v>80</v>
      </c>
      <c r="D1631">
        <v>69.334693908999995</v>
      </c>
      <c r="E1631">
        <v>50</v>
      </c>
      <c r="F1631">
        <v>49.974143982000001</v>
      </c>
      <c r="G1631">
        <v>986.36444091999999</v>
      </c>
      <c r="H1631">
        <v>850.29693603999999</v>
      </c>
      <c r="I1631">
        <v>1952.3570557</v>
      </c>
      <c r="J1631">
        <v>1760.5909423999999</v>
      </c>
      <c r="K1631">
        <v>0</v>
      </c>
      <c r="L1631">
        <v>2400</v>
      </c>
      <c r="M1631">
        <v>2400</v>
      </c>
      <c r="N1631">
        <v>0</v>
      </c>
    </row>
    <row r="1632" spans="1:14" x14ac:dyDescent="0.25">
      <c r="A1632">
        <v>1378.41112</v>
      </c>
      <c r="B1632" s="1">
        <f>DATE(2014,2,7) + TIME(9,52,0)</f>
        <v>41677.411111111112</v>
      </c>
      <c r="C1632">
        <v>80</v>
      </c>
      <c r="D1632">
        <v>68.986488342000001</v>
      </c>
      <c r="E1632">
        <v>50</v>
      </c>
      <c r="F1632">
        <v>49.974212645999998</v>
      </c>
      <c r="G1632">
        <v>984.27032470999995</v>
      </c>
      <c r="H1632">
        <v>847.55175781000003</v>
      </c>
      <c r="I1632">
        <v>1952.0064697</v>
      </c>
      <c r="J1632">
        <v>1760.2449951000001</v>
      </c>
      <c r="K1632">
        <v>0</v>
      </c>
      <c r="L1632">
        <v>2400</v>
      </c>
      <c r="M1632">
        <v>2400</v>
      </c>
      <c r="N1632">
        <v>0</v>
      </c>
    </row>
    <row r="1633" spans="1:14" x14ac:dyDescent="0.25">
      <c r="A1633">
        <v>1381.715686</v>
      </c>
      <c r="B1633" s="1">
        <f>DATE(2014,2,10) + TIME(17,10,35)</f>
        <v>41680.715682870374</v>
      </c>
      <c r="C1633">
        <v>80</v>
      </c>
      <c r="D1633">
        <v>68.615158081000004</v>
      </c>
      <c r="E1633">
        <v>50</v>
      </c>
      <c r="F1633">
        <v>49.974277495999999</v>
      </c>
      <c r="G1633">
        <v>982.06518555000002</v>
      </c>
      <c r="H1633">
        <v>844.62548828000001</v>
      </c>
      <c r="I1633">
        <v>1951.6457519999999</v>
      </c>
      <c r="J1633">
        <v>1759.8887939000001</v>
      </c>
      <c r="K1633">
        <v>0</v>
      </c>
      <c r="L1633">
        <v>2400</v>
      </c>
      <c r="M1633">
        <v>2400</v>
      </c>
      <c r="N1633">
        <v>0</v>
      </c>
    </row>
    <row r="1634" spans="1:14" x14ac:dyDescent="0.25">
      <c r="A1634">
        <v>1385.1019289999999</v>
      </c>
      <c r="B1634" s="1">
        <f>DATE(2014,2,14) + TIME(2,26,46)</f>
        <v>41684.101921296293</v>
      </c>
      <c r="C1634">
        <v>80</v>
      </c>
      <c r="D1634">
        <v>68.226501464999998</v>
      </c>
      <c r="E1634">
        <v>50</v>
      </c>
      <c r="F1634">
        <v>49.974346161</v>
      </c>
      <c r="G1634">
        <v>979.76287841999999</v>
      </c>
      <c r="H1634">
        <v>841.54138183999999</v>
      </c>
      <c r="I1634">
        <v>1951.2799072</v>
      </c>
      <c r="J1634">
        <v>1759.5270995999999</v>
      </c>
      <c r="K1634">
        <v>0</v>
      </c>
      <c r="L1634">
        <v>2400</v>
      </c>
      <c r="M1634">
        <v>2400</v>
      </c>
      <c r="N1634">
        <v>0</v>
      </c>
    </row>
    <row r="1635" spans="1:14" x14ac:dyDescent="0.25">
      <c r="A1635">
        <v>1388.518683</v>
      </c>
      <c r="B1635" s="1">
        <f>DATE(2014,2,17) + TIME(12,26,54)</f>
        <v>41687.518680555557</v>
      </c>
      <c r="C1635">
        <v>80</v>
      </c>
      <c r="D1635">
        <v>67.81968689</v>
      </c>
      <c r="E1635">
        <v>50</v>
      </c>
      <c r="F1635">
        <v>49.974414824999997</v>
      </c>
      <c r="G1635">
        <v>977.36236571999996</v>
      </c>
      <c r="H1635">
        <v>838.29504395000004</v>
      </c>
      <c r="I1635">
        <v>1950.9130858999999</v>
      </c>
      <c r="J1635">
        <v>1759.1644286999999</v>
      </c>
      <c r="K1635">
        <v>0</v>
      </c>
      <c r="L1635">
        <v>2400</v>
      </c>
      <c r="M1635">
        <v>2400</v>
      </c>
      <c r="N1635">
        <v>0</v>
      </c>
    </row>
    <row r="1636" spans="1:14" x14ac:dyDescent="0.25">
      <c r="A1636">
        <v>1391.983943</v>
      </c>
      <c r="B1636" s="1">
        <f>DATE(2014,2,20) + TIME(23,36,52)</f>
        <v>41690.983935185184</v>
      </c>
      <c r="C1636">
        <v>80</v>
      </c>
      <c r="D1636">
        <v>67.397445679</v>
      </c>
      <c r="E1636">
        <v>50</v>
      </c>
      <c r="F1636">
        <v>49.974483489999997</v>
      </c>
      <c r="G1636">
        <v>974.87567138999998</v>
      </c>
      <c r="H1636">
        <v>834.90240478999999</v>
      </c>
      <c r="I1636">
        <v>1950.5471190999999</v>
      </c>
      <c r="J1636">
        <v>1758.8023682</v>
      </c>
      <c r="K1636">
        <v>0</v>
      </c>
      <c r="L1636">
        <v>2400</v>
      </c>
      <c r="M1636">
        <v>2400</v>
      </c>
      <c r="N1636">
        <v>0</v>
      </c>
    </row>
    <row r="1637" spans="1:14" x14ac:dyDescent="0.25">
      <c r="A1637">
        <v>1395.5148730000001</v>
      </c>
      <c r="B1637" s="1">
        <f>DATE(2014,2,24) + TIME(12,21,25)</f>
        <v>41694.514872685184</v>
      </c>
      <c r="C1637">
        <v>80</v>
      </c>
      <c r="D1637">
        <v>66.957908630000006</v>
      </c>
      <c r="E1637">
        <v>50</v>
      </c>
      <c r="F1637">
        <v>49.974555969000001</v>
      </c>
      <c r="G1637">
        <v>972.29125977000001</v>
      </c>
      <c r="H1637">
        <v>831.34704590000001</v>
      </c>
      <c r="I1637">
        <v>1950.1818848</v>
      </c>
      <c r="J1637">
        <v>1758.4405518000001</v>
      </c>
      <c r="K1637">
        <v>0</v>
      </c>
      <c r="L1637">
        <v>2400</v>
      </c>
      <c r="M1637">
        <v>2400</v>
      </c>
      <c r="N1637">
        <v>0</v>
      </c>
    </row>
    <row r="1638" spans="1:14" x14ac:dyDescent="0.25">
      <c r="A1638">
        <v>1399.065282</v>
      </c>
      <c r="B1638" s="1">
        <f>DATE(2014,2,28) + TIME(1,34,0)</f>
        <v>41698.06527777778</v>
      </c>
      <c r="C1638">
        <v>80</v>
      </c>
      <c r="D1638">
        <v>66.499595642000003</v>
      </c>
      <c r="E1638">
        <v>50</v>
      </c>
      <c r="F1638">
        <v>49.974628447999997</v>
      </c>
      <c r="G1638">
        <v>969.60644531000003</v>
      </c>
      <c r="H1638">
        <v>827.62139893000005</v>
      </c>
      <c r="I1638">
        <v>1949.8193358999999</v>
      </c>
      <c r="J1638">
        <v>1758.081543</v>
      </c>
      <c r="K1638">
        <v>0</v>
      </c>
      <c r="L1638">
        <v>2400</v>
      </c>
      <c r="M1638">
        <v>2400</v>
      </c>
      <c r="N1638">
        <v>0</v>
      </c>
    </row>
    <row r="1639" spans="1:14" x14ac:dyDescent="0.25">
      <c r="A1639">
        <v>1400</v>
      </c>
      <c r="B1639" s="1">
        <f>DATE(2014,3,1) + TIME(0,0,0)</f>
        <v>41699</v>
      </c>
      <c r="C1639">
        <v>80</v>
      </c>
      <c r="D1639">
        <v>66.182548522999994</v>
      </c>
      <c r="E1639">
        <v>50</v>
      </c>
      <c r="F1639">
        <v>49.974609375</v>
      </c>
      <c r="G1639">
        <v>967.70111083999996</v>
      </c>
      <c r="H1639">
        <v>824.9375</v>
      </c>
      <c r="I1639">
        <v>1949.6711425999999</v>
      </c>
      <c r="J1639">
        <v>1757.9353027</v>
      </c>
      <c r="K1639">
        <v>0</v>
      </c>
      <c r="L1639">
        <v>2400</v>
      </c>
      <c r="M1639">
        <v>2400</v>
      </c>
      <c r="N1639">
        <v>0</v>
      </c>
    </row>
    <row r="1640" spans="1:14" x14ac:dyDescent="0.25">
      <c r="A1640">
        <v>1403.5756839999999</v>
      </c>
      <c r="B1640" s="1">
        <f>DATE(2014,3,4) + TIME(13,48,59)</f>
        <v>41702.575682870367</v>
      </c>
      <c r="C1640">
        <v>80</v>
      </c>
      <c r="D1640">
        <v>65.861709594999994</v>
      </c>
      <c r="E1640">
        <v>50</v>
      </c>
      <c r="F1640">
        <v>49.974716186999999</v>
      </c>
      <c r="G1640">
        <v>965.95983887</v>
      </c>
      <c r="H1640">
        <v>822.47589111000002</v>
      </c>
      <c r="I1640">
        <v>1949.3433838000001</v>
      </c>
      <c r="J1640">
        <v>1757.6096190999999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1407.1912990000001</v>
      </c>
      <c r="B1641" s="1">
        <f>DATE(2014,3,8) + TIME(4,35,28)</f>
        <v>41706.191296296296</v>
      </c>
      <c r="C1641">
        <v>80</v>
      </c>
      <c r="D1641">
        <v>65.397666931000003</v>
      </c>
      <c r="E1641">
        <v>50</v>
      </c>
      <c r="F1641">
        <v>49.974792479999998</v>
      </c>
      <c r="G1641">
        <v>963.18487548999997</v>
      </c>
      <c r="H1641">
        <v>818.58947753999996</v>
      </c>
      <c r="I1641">
        <v>1949.0069579999999</v>
      </c>
      <c r="J1641">
        <v>1757.276001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1410.845697</v>
      </c>
      <c r="B1642" s="1">
        <f>DATE(2014,3,11) + TIME(20,17,48)</f>
        <v>41709.845694444448</v>
      </c>
      <c r="C1642">
        <v>80</v>
      </c>
      <c r="D1642">
        <v>64.891021729000002</v>
      </c>
      <c r="E1642">
        <v>50</v>
      </c>
      <c r="F1642">
        <v>49.974861144999998</v>
      </c>
      <c r="G1642">
        <v>960.23535156000003</v>
      </c>
      <c r="H1642">
        <v>814.39483643000005</v>
      </c>
      <c r="I1642">
        <v>1948.6619873</v>
      </c>
      <c r="J1642">
        <v>1756.9337158000001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1414.5344190000001</v>
      </c>
      <c r="B1643" s="1">
        <f>DATE(2014,3,15) + TIME(12,49,33)</f>
        <v>41713.534409722219</v>
      </c>
      <c r="C1643">
        <v>80</v>
      </c>
      <c r="D1643">
        <v>64.362335204999994</v>
      </c>
      <c r="E1643">
        <v>50</v>
      </c>
      <c r="F1643">
        <v>49.974929809999999</v>
      </c>
      <c r="G1643">
        <v>957.17590331999997</v>
      </c>
      <c r="H1643">
        <v>810.00732421999999</v>
      </c>
      <c r="I1643">
        <v>1948.3164062000001</v>
      </c>
      <c r="J1643">
        <v>1756.5908202999999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1418.2536299999999</v>
      </c>
      <c r="B1644" s="1">
        <f>DATE(2014,3,19) + TIME(6,5,13)</f>
        <v>41717.253622685188</v>
      </c>
      <c r="C1644">
        <v>80</v>
      </c>
      <c r="D1644">
        <v>63.814601897999999</v>
      </c>
      <c r="E1644">
        <v>50</v>
      </c>
      <c r="F1644">
        <v>49.974998474000003</v>
      </c>
      <c r="G1644">
        <v>954.01824951000003</v>
      </c>
      <c r="H1644">
        <v>805.44561768000005</v>
      </c>
      <c r="I1644">
        <v>1947.9731445</v>
      </c>
      <c r="J1644">
        <v>1756.25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1422.0021409999999</v>
      </c>
      <c r="B1645" s="1">
        <f>DATE(2014,3,23) + TIME(0,3,5)</f>
        <v>41721.002141203702</v>
      </c>
      <c r="C1645">
        <v>80</v>
      </c>
      <c r="D1645">
        <v>63.249282837000003</v>
      </c>
      <c r="E1645">
        <v>50</v>
      </c>
      <c r="F1645">
        <v>49.975070952999999</v>
      </c>
      <c r="G1645">
        <v>950.76898193</v>
      </c>
      <c r="H1645">
        <v>800.71868896000001</v>
      </c>
      <c r="I1645">
        <v>1947.6326904</v>
      </c>
      <c r="J1645">
        <v>1755.9117432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1425.7839140000001</v>
      </c>
      <c r="B1646" s="1">
        <f>DATE(2014,3,26) + TIME(18,48,50)</f>
        <v>41724.783912037034</v>
      </c>
      <c r="C1646">
        <v>80</v>
      </c>
      <c r="D1646">
        <v>62.666488647000001</v>
      </c>
      <c r="E1646">
        <v>50</v>
      </c>
      <c r="F1646">
        <v>49.975139618</v>
      </c>
      <c r="G1646">
        <v>947.42956543000003</v>
      </c>
      <c r="H1646">
        <v>795.82733154000005</v>
      </c>
      <c r="I1646">
        <v>1947.2947998</v>
      </c>
      <c r="J1646">
        <v>1755.5760498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1429.598</v>
      </c>
      <c r="B1647" s="1">
        <f>DATE(2014,3,30) + TIME(14,21,7)</f>
        <v>41728.597997685189</v>
      </c>
      <c r="C1647">
        <v>80</v>
      </c>
      <c r="D1647">
        <v>62.066375731999997</v>
      </c>
      <c r="E1647">
        <v>50</v>
      </c>
      <c r="F1647">
        <v>49.975208281999997</v>
      </c>
      <c r="G1647">
        <v>944.00024413999995</v>
      </c>
      <c r="H1647">
        <v>790.77105713000003</v>
      </c>
      <c r="I1647">
        <v>1946.9591064000001</v>
      </c>
      <c r="J1647">
        <v>1755.2425536999999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1431</v>
      </c>
      <c r="B1648" s="1">
        <f>DATE(2014,4,1) + TIME(0,0,0)</f>
        <v>41730</v>
      </c>
      <c r="C1648">
        <v>80</v>
      </c>
      <c r="D1648">
        <v>61.585575104</v>
      </c>
      <c r="E1648">
        <v>50</v>
      </c>
      <c r="F1648">
        <v>49.975208281999997</v>
      </c>
      <c r="G1648">
        <v>941.17706298999997</v>
      </c>
      <c r="H1648">
        <v>786.58850098000005</v>
      </c>
      <c r="I1648">
        <v>1946.7863769999999</v>
      </c>
      <c r="J1648">
        <v>1755.0711670000001</v>
      </c>
      <c r="K1648">
        <v>0</v>
      </c>
      <c r="L1648">
        <v>2400</v>
      </c>
      <c r="M1648">
        <v>2400</v>
      </c>
      <c r="N1648">
        <v>0</v>
      </c>
    </row>
    <row r="1649" spans="1:14" x14ac:dyDescent="0.25">
      <c r="A1649">
        <v>1434.8388319999999</v>
      </c>
      <c r="B1649" s="1">
        <f>DATE(2014,4,4) + TIME(20,7,55)</f>
        <v>41733.838831018518</v>
      </c>
      <c r="C1649">
        <v>80</v>
      </c>
      <c r="D1649">
        <v>61.174182891999997</v>
      </c>
      <c r="E1649">
        <v>50</v>
      </c>
      <c r="F1649">
        <v>49.975307465</v>
      </c>
      <c r="G1649">
        <v>939.01593018000005</v>
      </c>
      <c r="H1649">
        <v>783.30987548999997</v>
      </c>
      <c r="I1649">
        <v>1946.4802245999999</v>
      </c>
      <c r="J1649">
        <v>1754.7662353999999</v>
      </c>
      <c r="K1649">
        <v>0</v>
      </c>
      <c r="L1649">
        <v>2400</v>
      </c>
      <c r="M1649">
        <v>2400</v>
      </c>
      <c r="N1649">
        <v>0</v>
      </c>
    </row>
    <row r="1650" spans="1:14" x14ac:dyDescent="0.25">
      <c r="A1650">
        <v>1438.7154089999999</v>
      </c>
      <c r="B1650" s="1">
        <f>DATE(2014,4,8) + TIME(17,10,11)</f>
        <v>41737.715405092589</v>
      </c>
      <c r="C1650">
        <v>80</v>
      </c>
      <c r="D1650">
        <v>60.574764252000001</v>
      </c>
      <c r="E1650">
        <v>50</v>
      </c>
      <c r="F1650">
        <v>49.975376128999997</v>
      </c>
      <c r="G1650">
        <v>935.52496338000003</v>
      </c>
      <c r="H1650">
        <v>778.13519286999997</v>
      </c>
      <c r="I1650">
        <v>1946.1649170000001</v>
      </c>
      <c r="J1650">
        <v>1754.4527588000001</v>
      </c>
      <c r="K1650">
        <v>0</v>
      </c>
      <c r="L1650">
        <v>2400</v>
      </c>
      <c r="M1650">
        <v>2400</v>
      </c>
      <c r="N1650">
        <v>0</v>
      </c>
    </row>
    <row r="1651" spans="1:14" x14ac:dyDescent="0.25">
      <c r="A1651">
        <v>1442.6298899999999</v>
      </c>
      <c r="B1651" s="1">
        <f>DATE(2014,4,12) + TIME(15,7,2)</f>
        <v>41741.629884259259</v>
      </c>
      <c r="C1651">
        <v>80</v>
      </c>
      <c r="D1651">
        <v>59.927490233999997</v>
      </c>
      <c r="E1651">
        <v>50</v>
      </c>
      <c r="F1651">
        <v>49.975444793999998</v>
      </c>
      <c r="G1651">
        <v>931.85125731999995</v>
      </c>
      <c r="H1651">
        <v>772.60791015999996</v>
      </c>
      <c r="I1651">
        <v>1945.8398437999999</v>
      </c>
      <c r="J1651">
        <v>1754.1292725000001</v>
      </c>
      <c r="K1651">
        <v>0</v>
      </c>
      <c r="L1651">
        <v>2400</v>
      </c>
      <c r="M1651">
        <v>2400</v>
      </c>
      <c r="N1651">
        <v>0</v>
      </c>
    </row>
    <row r="1652" spans="1:14" x14ac:dyDescent="0.25">
      <c r="A1652">
        <v>1446.5783489999999</v>
      </c>
      <c r="B1652" s="1">
        <f>DATE(2014,4,16) + TIME(13,52,49)</f>
        <v>41745.578344907408</v>
      </c>
      <c r="C1652">
        <v>80</v>
      </c>
      <c r="D1652">
        <v>59.260761260999999</v>
      </c>
      <c r="E1652">
        <v>50</v>
      </c>
      <c r="F1652">
        <v>49.975509643999999</v>
      </c>
      <c r="G1652">
        <v>928.08441161999997</v>
      </c>
      <c r="H1652">
        <v>766.90167236000002</v>
      </c>
      <c r="I1652">
        <v>1945.5112305</v>
      </c>
      <c r="J1652">
        <v>1753.8023682</v>
      </c>
      <c r="K1652">
        <v>0</v>
      </c>
      <c r="L1652">
        <v>2400</v>
      </c>
      <c r="M1652">
        <v>2400</v>
      </c>
      <c r="N1652">
        <v>0</v>
      </c>
    </row>
    <row r="1653" spans="1:14" x14ac:dyDescent="0.25">
      <c r="A1653">
        <v>1450.5630410000001</v>
      </c>
      <c r="B1653" s="1">
        <f>DATE(2014,4,20) + TIME(13,30,46)</f>
        <v>41749.563032407408</v>
      </c>
      <c r="C1653">
        <v>80</v>
      </c>
      <c r="D1653">
        <v>58.579143524000003</v>
      </c>
      <c r="E1653">
        <v>50</v>
      </c>
      <c r="F1653">
        <v>49.975578308000003</v>
      </c>
      <c r="G1653">
        <v>924.23919678000004</v>
      </c>
      <c r="H1653">
        <v>761.04119873000002</v>
      </c>
      <c r="I1653">
        <v>1945.1812743999999</v>
      </c>
      <c r="J1653">
        <v>1753.4738769999999</v>
      </c>
      <c r="K1653">
        <v>0</v>
      </c>
      <c r="L1653">
        <v>2400</v>
      </c>
      <c r="M1653">
        <v>2400</v>
      </c>
      <c r="N1653">
        <v>0</v>
      </c>
    </row>
    <row r="1654" spans="1:14" x14ac:dyDescent="0.25">
      <c r="A1654">
        <v>1454.5857490000001</v>
      </c>
      <c r="B1654" s="1">
        <f>DATE(2014,4,24) + TIME(14,3,28)</f>
        <v>41753.585740740738</v>
      </c>
      <c r="C1654">
        <v>80</v>
      </c>
      <c r="D1654">
        <v>57.886058806999998</v>
      </c>
      <c r="E1654">
        <v>50</v>
      </c>
      <c r="F1654">
        <v>49.975646973000003</v>
      </c>
      <c r="G1654">
        <v>920.32574463000003</v>
      </c>
      <c r="H1654">
        <v>755.04595946999996</v>
      </c>
      <c r="I1654">
        <v>1944.8498535000001</v>
      </c>
      <c r="J1654">
        <v>1753.1439209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1458.6484869999999</v>
      </c>
      <c r="B1655" s="1">
        <f>DATE(2014,4,28) + TIME(15,33,49)</f>
        <v>41757.6484837963</v>
      </c>
      <c r="C1655">
        <v>80</v>
      </c>
      <c r="D1655">
        <v>57.181728362999998</v>
      </c>
      <c r="E1655">
        <v>50</v>
      </c>
      <c r="F1655">
        <v>49.975715637</v>
      </c>
      <c r="G1655">
        <v>916.34545897999999</v>
      </c>
      <c r="H1655">
        <v>748.91442871000004</v>
      </c>
      <c r="I1655">
        <v>1944.5168457</v>
      </c>
      <c r="J1655">
        <v>1752.8121338000001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1461</v>
      </c>
      <c r="B1656" s="1">
        <f>DATE(2014,5,1) + TIME(0,0,0)</f>
        <v>41760</v>
      </c>
      <c r="C1656">
        <v>80</v>
      </c>
      <c r="D1656">
        <v>56.541259766000003</v>
      </c>
      <c r="E1656">
        <v>50</v>
      </c>
      <c r="F1656">
        <v>49.975734711000001</v>
      </c>
      <c r="G1656">
        <v>912.68499756000006</v>
      </c>
      <c r="H1656">
        <v>743.25262451000003</v>
      </c>
      <c r="I1656">
        <v>1944.2823486</v>
      </c>
      <c r="J1656">
        <v>1752.5788574000001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1461.0000010000001</v>
      </c>
      <c r="B1657" s="1">
        <f>DATE(2014,5,1) + TIME(0,0,0)</f>
        <v>41760</v>
      </c>
      <c r="C1657">
        <v>80</v>
      </c>
      <c r="D1657">
        <v>56.541309357000003</v>
      </c>
      <c r="E1657">
        <v>50</v>
      </c>
      <c r="F1657">
        <v>49.975719452</v>
      </c>
      <c r="G1657">
        <v>1081.8392334</v>
      </c>
      <c r="H1657">
        <v>912.69464111000002</v>
      </c>
      <c r="I1657">
        <v>1752.5689697</v>
      </c>
      <c r="J1657">
        <v>1560.8842772999999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1461.000004</v>
      </c>
      <c r="B1658" s="1">
        <f>DATE(2014,5,1) + TIME(0,0,0)</f>
        <v>41760</v>
      </c>
      <c r="C1658">
        <v>80</v>
      </c>
      <c r="D1658">
        <v>56.541461945000002</v>
      </c>
      <c r="E1658">
        <v>50</v>
      </c>
      <c r="F1658">
        <v>49.975677490000002</v>
      </c>
      <c r="G1658">
        <v>1081.8685303</v>
      </c>
      <c r="H1658">
        <v>912.72351074000005</v>
      </c>
      <c r="I1658">
        <v>1752.5395507999999</v>
      </c>
      <c r="J1658">
        <v>1560.8546143000001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1461.0000130000001</v>
      </c>
      <c r="B1659" s="1">
        <f>DATE(2014,5,1) + TIME(0,0,1)</f>
        <v>41760.000011574077</v>
      </c>
      <c r="C1659">
        <v>80</v>
      </c>
      <c r="D1659">
        <v>56.541915893999999</v>
      </c>
      <c r="E1659">
        <v>50</v>
      </c>
      <c r="F1659">
        <v>49.975543975999997</v>
      </c>
      <c r="G1659">
        <v>1081.9564209</v>
      </c>
      <c r="H1659">
        <v>912.81024170000001</v>
      </c>
      <c r="I1659">
        <v>1752.4511719</v>
      </c>
      <c r="J1659">
        <v>1560.7658690999999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1461.0000399999999</v>
      </c>
      <c r="B1660" s="1">
        <f>DATE(2014,5,1) + TIME(0,0,3)</f>
        <v>41760.000034722223</v>
      </c>
      <c r="C1660">
        <v>80</v>
      </c>
      <c r="D1660">
        <v>56.543277740000001</v>
      </c>
      <c r="E1660">
        <v>50</v>
      </c>
      <c r="F1660">
        <v>49.975139618</v>
      </c>
      <c r="G1660">
        <v>1082.2198486</v>
      </c>
      <c r="H1660">
        <v>913.07006836000005</v>
      </c>
      <c r="I1660">
        <v>1752.1862793</v>
      </c>
      <c r="J1660">
        <v>1560.4996338000001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1461.000121</v>
      </c>
      <c r="B1661" s="1">
        <f>DATE(2014,5,1) + TIME(0,0,10)</f>
        <v>41760.000115740739</v>
      </c>
      <c r="C1661">
        <v>80</v>
      </c>
      <c r="D1661">
        <v>56.547359467</v>
      </c>
      <c r="E1661">
        <v>50</v>
      </c>
      <c r="F1661">
        <v>49.973945618000002</v>
      </c>
      <c r="G1661">
        <v>1083.0065918</v>
      </c>
      <c r="H1661">
        <v>913.84655762</v>
      </c>
      <c r="I1661">
        <v>1751.3947754000001</v>
      </c>
      <c r="J1661">
        <v>1559.7042236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1461.000364</v>
      </c>
      <c r="B1662" s="1">
        <f>DATE(2014,5,1) + TIME(0,0,31)</f>
        <v>41760.000358796293</v>
      </c>
      <c r="C1662">
        <v>80</v>
      </c>
      <c r="D1662">
        <v>56.559555054</v>
      </c>
      <c r="E1662">
        <v>50</v>
      </c>
      <c r="F1662">
        <v>49.970394134999999</v>
      </c>
      <c r="G1662">
        <v>1085.3364257999999</v>
      </c>
      <c r="H1662">
        <v>916.14916991999996</v>
      </c>
      <c r="I1662">
        <v>1749.0469971</v>
      </c>
      <c r="J1662">
        <v>1557.3448486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1461.0010930000001</v>
      </c>
      <c r="B1663" s="1">
        <f>DATE(2014,5,1) + TIME(0,1,34)</f>
        <v>41760.001087962963</v>
      </c>
      <c r="C1663">
        <v>80</v>
      </c>
      <c r="D1663">
        <v>56.595672606999997</v>
      </c>
      <c r="E1663">
        <v>50</v>
      </c>
      <c r="F1663">
        <v>49.960090637</v>
      </c>
      <c r="G1663">
        <v>1092.0667725000001</v>
      </c>
      <c r="H1663">
        <v>922.82556151999995</v>
      </c>
      <c r="I1663">
        <v>1742.2351074000001</v>
      </c>
      <c r="J1663">
        <v>1550.4993896000001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1461.0032799999999</v>
      </c>
      <c r="B1664" s="1">
        <f>DATE(2014,5,1) + TIME(0,4,43)</f>
        <v>41760.003275462965</v>
      </c>
      <c r="C1664">
        <v>80</v>
      </c>
      <c r="D1664">
        <v>56.700283051</v>
      </c>
      <c r="E1664">
        <v>50</v>
      </c>
      <c r="F1664">
        <v>49.931964874000002</v>
      </c>
      <c r="G1664">
        <v>1110.2325439000001</v>
      </c>
      <c r="H1664">
        <v>940.99566649999997</v>
      </c>
      <c r="I1664">
        <v>1723.6328125</v>
      </c>
      <c r="J1664">
        <v>1531.8065185999999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1461.0098410000001</v>
      </c>
      <c r="B1665" s="1">
        <f>DATE(2014,5,1) + TIME(0,14,10)</f>
        <v>41760.009837962964</v>
      </c>
      <c r="C1665">
        <v>80</v>
      </c>
      <c r="D1665">
        <v>56.988971710000001</v>
      </c>
      <c r="E1665">
        <v>50</v>
      </c>
      <c r="F1665">
        <v>49.865596771</v>
      </c>
      <c r="G1665">
        <v>1152.0087891000001</v>
      </c>
      <c r="H1665">
        <v>983.33398437999995</v>
      </c>
      <c r="I1665">
        <v>1679.7349853999999</v>
      </c>
      <c r="J1665">
        <v>1487.6981201000001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1461.029524</v>
      </c>
      <c r="B1666" s="1">
        <f>DATE(2014,5,1) + TIME(0,42,30)</f>
        <v>41760.029513888891</v>
      </c>
      <c r="C1666">
        <v>80</v>
      </c>
      <c r="D1666">
        <v>57.729129790999998</v>
      </c>
      <c r="E1666">
        <v>50</v>
      </c>
      <c r="F1666">
        <v>49.746250152999998</v>
      </c>
      <c r="G1666">
        <v>1223.878418</v>
      </c>
      <c r="H1666">
        <v>1057.2728271000001</v>
      </c>
      <c r="I1666">
        <v>1600.5667725000001</v>
      </c>
      <c r="J1666">
        <v>1408.1647949000001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1461.0550989999999</v>
      </c>
      <c r="B1667" s="1">
        <f>DATE(2014,5,1) + TIME(1,19,20)</f>
        <v>41760.055092592593</v>
      </c>
      <c r="C1667">
        <v>80</v>
      </c>
      <c r="D1667">
        <v>58.566833496000001</v>
      </c>
      <c r="E1667">
        <v>50</v>
      </c>
      <c r="F1667">
        <v>49.654418945000003</v>
      </c>
      <c r="G1667">
        <v>1277.6738281</v>
      </c>
      <c r="H1667">
        <v>1113.2600098</v>
      </c>
      <c r="I1667">
        <v>1538.5577393000001</v>
      </c>
      <c r="J1667">
        <v>1345.8857422000001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1461.0834890000001</v>
      </c>
      <c r="B1668" s="1">
        <f>DATE(2014,5,1) + TIME(2,0,13)</f>
        <v>41760.083483796298</v>
      </c>
      <c r="C1668">
        <v>80</v>
      </c>
      <c r="D1668">
        <v>59.409118651999997</v>
      </c>
      <c r="E1668">
        <v>50</v>
      </c>
      <c r="F1668">
        <v>49.590354918999999</v>
      </c>
      <c r="G1668">
        <v>1315.0957031</v>
      </c>
      <c r="H1668">
        <v>1152.6794434000001</v>
      </c>
      <c r="I1668">
        <v>1493.8165283000001</v>
      </c>
      <c r="J1668">
        <v>1300.9610596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1461.114219</v>
      </c>
      <c r="B1669" s="1">
        <f>DATE(2014,5,1) + TIME(2,44,28)</f>
        <v>41760.114212962966</v>
      </c>
      <c r="C1669">
        <v>80</v>
      </c>
      <c r="D1669">
        <v>60.253776549999998</v>
      </c>
      <c r="E1669">
        <v>50</v>
      </c>
      <c r="F1669">
        <v>49.543853759999998</v>
      </c>
      <c r="G1669">
        <v>1342.703125</v>
      </c>
      <c r="H1669">
        <v>1182.1462402</v>
      </c>
      <c r="I1669">
        <v>1459.8435059000001</v>
      </c>
      <c r="J1669">
        <v>1266.8585204999999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1461.1469259999999</v>
      </c>
      <c r="B1670" s="1">
        <f>DATE(2014,5,1) + TIME(3,31,34)</f>
        <v>41760.146921296298</v>
      </c>
      <c r="C1670">
        <v>80</v>
      </c>
      <c r="D1670">
        <v>61.096218108999999</v>
      </c>
      <c r="E1670">
        <v>50</v>
      </c>
      <c r="F1670">
        <v>49.508666992000002</v>
      </c>
      <c r="G1670">
        <v>1364.1746826000001</v>
      </c>
      <c r="H1670">
        <v>1205.3728027</v>
      </c>
      <c r="I1670">
        <v>1432.7889404</v>
      </c>
      <c r="J1670">
        <v>1239.7086182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1461.1814179999999</v>
      </c>
      <c r="B1671" s="1">
        <f>DATE(2014,5,1) + TIME(4,21,14)</f>
        <v>41760.18141203704</v>
      </c>
      <c r="C1671">
        <v>80</v>
      </c>
      <c r="D1671">
        <v>61.93391037</v>
      </c>
      <c r="E1671">
        <v>50</v>
      </c>
      <c r="F1671">
        <v>49.481044769</v>
      </c>
      <c r="G1671">
        <v>1381.6136475000001</v>
      </c>
      <c r="H1671">
        <v>1224.4816894999999</v>
      </c>
      <c r="I1671">
        <v>1410.3630370999999</v>
      </c>
      <c r="J1671">
        <v>1217.2102050999999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1461.217623</v>
      </c>
      <c r="B1672" s="1">
        <f>DATE(2014,5,1) + TIME(5,13,22)</f>
        <v>41760.217615740738</v>
      </c>
      <c r="C1672">
        <v>80</v>
      </c>
      <c r="D1672">
        <v>62.765171051000003</v>
      </c>
      <c r="E1672">
        <v>50</v>
      </c>
      <c r="F1672">
        <v>49.458690642999997</v>
      </c>
      <c r="G1672">
        <v>1396.2648925999999</v>
      </c>
      <c r="H1672">
        <v>1240.7308350000001</v>
      </c>
      <c r="I1672">
        <v>1391.1765137</v>
      </c>
      <c r="J1672">
        <v>1197.9669189000001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1461.255545</v>
      </c>
      <c r="B1673" s="1">
        <f>DATE(2014,5,1) + TIME(6,7,59)</f>
        <v>41760.255543981482</v>
      </c>
      <c r="C1673">
        <v>80</v>
      </c>
      <c r="D1673">
        <v>63.589000702</v>
      </c>
      <c r="E1673">
        <v>50</v>
      </c>
      <c r="F1673">
        <v>49.440151215</v>
      </c>
      <c r="G1673">
        <v>1408.9046631000001</v>
      </c>
      <c r="H1673">
        <v>1254.9050293</v>
      </c>
      <c r="I1673">
        <v>1374.3527832</v>
      </c>
      <c r="J1673">
        <v>1181.0977783000001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1461.2952359999999</v>
      </c>
      <c r="B1674" s="1">
        <f>DATE(2014,5,1) + TIME(7,5,8)</f>
        <v>41760.295231481483</v>
      </c>
      <c r="C1674">
        <v>80</v>
      </c>
      <c r="D1674">
        <v>64.404716492000006</v>
      </c>
      <c r="E1674">
        <v>50</v>
      </c>
      <c r="F1674">
        <v>49.424468994000001</v>
      </c>
      <c r="G1674">
        <v>1420.0432129000001</v>
      </c>
      <c r="H1674">
        <v>1267.5214844</v>
      </c>
      <c r="I1674">
        <v>1359.3123779</v>
      </c>
      <c r="J1674">
        <v>1166.0207519999999</v>
      </c>
      <c r="K1674">
        <v>2400</v>
      </c>
      <c r="L1674">
        <v>0</v>
      </c>
      <c r="M1674">
        <v>0</v>
      </c>
      <c r="N1674">
        <v>2400</v>
      </c>
    </row>
    <row r="1675" spans="1:14" x14ac:dyDescent="0.25">
      <c r="A1675">
        <v>1461.3367840000001</v>
      </c>
      <c r="B1675" s="1">
        <f>DATE(2014,5,1) + TIME(8,4,58)</f>
        <v>41760.336782407408</v>
      </c>
      <c r="C1675">
        <v>80</v>
      </c>
      <c r="D1675">
        <v>65.211830139</v>
      </c>
      <c r="E1675">
        <v>50</v>
      </c>
      <c r="F1675">
        <v>49.410972594999997</v>
      </c>
      <c r="G1675">
        <v>1430.0323486</v>
      </c>
      <c r="H1675">
        <v>1278.9376221</v>
      </c>
      <c r="I1675">
        <v>1345.6555175999999</v>
      </c>
      <c r="J1675">
        <v>1152.3338623</v>
      </c>
      <c r="K1675">
        <v>2400</v>
      </c>
      <c r="L1675">
        <v>0</v>
      </c>
      <c r="M1675">
        <v>0</v>
      </c>
      <c r="N1675">
        <v>2400</v>
      </c>
    </row>
    <row r="1676" spans="1:14" x14ac:dyDescent="0.25">
      <c r="A1676">
        <v>1461.380308</v>
      </c>
      <c r="B1676" s="1">
        <f>DATE(2014,5,1) + TIME(9,7,38)</f>
        <v>41760.380300925928</v>
      </c>
      <c r="C1676">
        <v>80</v>
      </c>
      <c r="D1676">
        <v>66.009971618999998</v>
      </c>
      <c r="E1676">
        <v>50</v>
      </c>
      <c r="F1676">
        <v>49.399181366000001</v>
      </c>
      <c r="G1676">
        <v>1439.1246338000001</v>
      </c>
      <c r="H1676">
        <v>1289.4097899999999</v>
      </c>
      <c r="I1676">
        <v>1333.0946045000001</v>
      </c>
      <c r="J1676">
        <v>1139.7481689000001</v>
      </c>
      <c r="K1676">
        <v>2400</v>
      </c>
      <c r="L1676">
        <v>0</v>
      </c>
      <c r="M1676">
        <v>0</v>
      </c>
      <c r="N1676">
        <v>2400</v>
      </c>
    </row>
    <row r="1677" spans="1:14" x14ac:dyDescent="0.25">
      <c r="A1677">
        <v>1461.4259549999999</v>
      </c>
      <c r="B1677" s="1">
        <f>DATE(2014,5,1) + TIME(10,13,22)</f>
        <v>41760.425949074073</v>
      </c>
      <c r="C1677">
        <v>80</v>
      </c>
      <c r="D1677">
        <v>66.798568725999999</v>
      </c>
      <c r="E1677">
        <v>50</v>
      </c>
      <c r="F1677">
        <v>49.388732910000002</v>
      </c>
      <c r="G1677">
        <v>1447.5085449000001</v>
      </c>
      <c r="H1677">
        <v>1299.1289062000001</v>
      </c>
      <c r="I1677">
        <v>1321.4152832</v>
      </c>
      <c r="J1677">
        <v>1128.0483397999999</v>
      </c>
      <c r="K1677">
        <v>2400</v>
      </c>
      <c r="L1677">
        <v>0</v>
      </c>
      <c r="M1677">
        <v>0</v>
      </c>
      <c r="N1677">
        <v>2400</v>
      </c>
    </row>
    <row r="1678" spans="1:14" x14ac:dyDescent="0.25">
      <c r="A1678">
        <v>1461.473937</v>
      </c>
      <c r="B1678" s="1">
        <f>DATE(2014,5,1) + TIME(11,22,28)</f>
        <v>41760.473935185182</v>
      </c>
      <c r="C1678">
        <v>80</v>
      </c>
      <c r="D1678">
        <v>67.577705382999994</v>
      </c>
      <c r="E1678">
        <v>50</v>
      </c>
      <c r="F1678">
        <v>49.379344940000003</v>
      </c>
      <c r="G1678">
        <v>1455.3331298999999</v>
      </c>
      <c r="H1678">
        <v>1308.2478027</v>
      </c>
      <c r="I1678">
        <v>1310.4460449000001</v>
      </c>
      <c r="J1678">
        <v>1117.0618896000001</v>
      </c>
      <c r="K1678">
        <v>2400</v>
      </c>
      <c r="L1678">
        <v>0</v>
      </c>
      <c r="M1678">
        <v>0</v>
      </c>
      <c r="N1678">
        <v>2400</v>
      </c>
    </row>
    <row r="1679" spans="1:14" x14ac:dyDescent="0.25">
      <c r="A1679">
        <v>1461.5244339999999</v>
      </c>
      <c r="B1679" s="1">
        <f>DATE(2014,5,1) + TIME(12,35,11)</f>
        <v>41760.52443287037</v>
      </c>
      <c r="C1679">
        <v>80</v>
      </c>
      <c r="D1679">
        <v>68.346351623999993</v>
      </c>
      <c r="E1679">
        <v>50</v>
      </c>
      <c r="F1679">
        <v>49.370792389000002</v>
      </c>
      <c r="G1679">
        <v>1462.7067870999999</v>
      </c>
      <c r="H1679">
        <v>1316.8753661999999</v>
      </c>
      <c r="I1679">
        <v>1300.0651855000001</v>
      </c>
      <c r="J1679">
        <v>1106.666626</v>
      </c>
      <c r="K1679">
        <v>2400</v>
      </c>
      <c r="L1679">
        <v>0</v>
      </c>
      <c r="M1679">
        <v>0</v>
      </c>
      <c r="N1679">
        <v>2400</v>
      </c>
    </row>
    <row r="1680" spans="1:14" x14ac:dyDescent="0.25">
      <c r="A1680">
        <v>1461.5776920000001</v>
      </c>
      <c r="B1680" s="1">
        <f>DATE(2014,5,1) + TIME(13,51,52)</f>
        <v>41760.577685185184</v>
      </c>
      <c r="C1680">
        <v>80</v>
      </c>
      <c r="D1680">
        <v>69.104003906000003</v>
      </c>
      <c r="E1680">
        <v>50</v>
      </c>
      <c r="F1680">
        <v>49.362899779999999</v>
      </c>
      <c r="G1680">
        <v>1469.722168</v>
      </c>
      <c r="H1680">
        <v>1325.1062012</v>
      </c>
      <c r="I1680">
        <v>1290.1672363</v>
      </c>
      <c r="J1680">
        <v>1096.7567139</v>
      </c>
      <c r="K1680">
        <v>2400</v>
      </c>
      <c r="L1680">
        <v>0</v>
      </c>
      <c r="M1680">
        <v>0</v>
      </c>
      <c r="N1680">
        <v>2400</v>
      </c>
    </row>
    <row r="1681" spans="1:14" x14ac:dyDescent="0.25">
      <c r="A1681">
        <v>1461.63401</v>
      </c>
      <c r="B1681" s="1">
        <f>DATE(2014,5,1) + TIME(15,12,58)</f>
        <v>41760.634004629632</v>
      </c>
      <c r="C1681">
        <v>80</v>
      </c>
      <c r="D1681">
        <v>69.850151061999995</v>
      </c>
      <c r="E1681">
        <v>50</v>
      </c>
      <c r="F1681">
        <v>49.355503081999998</v>
      </c>
      <c r="G1681">
        <v>1476.4566649999999</v>
      </c>
      <c r="H1681">
        <v>1333.0187988</v>
      </c>
      <c r="I1681">
        <v>1280.6641846</v>
      </c>
      <c r="J1681">
        <v>1087.2434082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1461.6937370000001</v>
      </c>
      <c r="B1682" s="1">
        <f>DATE(2014,5,1) + TIME(16,38,58)</f>
        <v>41760.693726851852</v>
      </c>
      <c r="C1682">
        <v>80</v>
      </c>
      <c r="D1682">
        <v>70.583824157999999</v>
      </c>
      <c r="E1682">
        <v>50</v>
      </c>
      <c r="F1682">
        <v>49.348468781000001</v>
      </c>
      <c r="G1682">
        <v>1482.9769286999999</v>
      </c>
      <c r="H1682">
        <v>1340.6809082</v>
      </c>
      <c r="I1682">
        <v>1271.4808350000001</v>
      </c>
      <c r="J1682">
        <v>1078.0513916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1461.7572809999999</v>
      </c>
      <c r="B1683" s="1">
        <f>DATE(2014,5,1) + TIME(18,10,29)</f>
        <v>41760.757280092592</v>
      </c>
      <c r="C1683">
        <v>80</v>
      </c>
      <c r="D1683">
        <v>71.304580688000001</v>
      </c>
      <c r="E1683">
        <v>50</v>
      </c>
      <c r="F1683">
        <v>49.341670989999997</v>
      </c>
      <c r="G1683">
        <v>1489.3406981999999</v>
      </c>
      <c r="H1683">
        <v>1348.1508789</v>
      </c>
      <c r="I1683">
        <v>1262.5523682</v>
      </c>
      <c r="J1683">
        <v>1069.1156006000001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1461.8251519999999</v>
      </c>
      <c r="B1684" s="1">
        <f>DATE(2014,5,1) + TIME(19,48,13)</f>
        <v>41760.825150462966</v>
      </c>
      <c r="C1684">
        <v>80</v>
      </c>
      <c r="D1684">
        <v>72.011894225999995</v>
      </c>
      <c r="E1684">
        <v>50</v>
      </c>
      <c r="F1684">
        <v>49.334999084000003</v>
      </c>
      <c r="G1684">
        <v>1495.6022949000001</v>
      </c>
      <c r="H1684">
        <v>1355.4840088000001</v>
      </c>
      <c r="I1684">
        <v>1253.8182373</v>
      </c>
      <c r="J1684">
        <v>1060.3748779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1461.8979670000001</v>
      </c>
      <c r="B1685" s="1">
        <f>DATE(2014,5,1) + TIME(21,33,4)</f>
        <v>41760.897962962961</v>
      </c>
      <c r="C1685">
        <v>80</v>
      </c>
      <c r="D1685">
        <v>72.705055236999996</v>
      </c>
      <c r="E1685">
        <v>50</v>
      </c>
      <c r="F1685">
        <v>49.328330993999998</v>
      </c>
      <c r="G1685">
        <v>1501.8132324000001</v>
      </c>
      <c r="H1685">
        <v>1362.7320557</v>
      </c>
      <c r="I1685">
        <v>1245.2213135</v>
      </c>
      <c r="J1685">
        <v>1051.7720947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1461.97648</v>
      </c>
      <c r="B1686" s="1">
        <f>DATE(2014,5,1) + TIME(23,26,7)</f>
        <v>41760.976469907408</v>
      </c>
      <c r="C1686">
        <v>80</v>
      </c>
      <c r="D1686">
        <v>73.383193969999994</v>
      </c>
      <c r="E1686">
        <v>50</v>
      </c>
      <c r="F1686">
        <v>49.321559905999997</v>
      </c>
      <c r="G1686">
        <v>1508.0238036999999</v>
      </c>
      <c r="H1686">
        <v>1369.9456786999999</v>
      </c>
      <c r="I1686">
        <v>1236.7067870999999</v>
      </c>
      <c r="J1686">
        <v>1043.2523193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1462.0616299999999</v>
      </c>
      <c r="B1687" s="1">
        <f>DATE(2014,5,2) + TIME(1,28,44)</f>
        <v>41761.061620370368</v>
      </c>
      <c r="C1687">
        <v>80</v>
      </c>
      <c r="D1687">
        <v>74.045318604000002</v>
      </c>
      <c r="E1687">
        <v>50</v>
      </c>
      <c r="F1687">
        <v>49.314563751000001</v>
      </c>
      <c r="G1687">
        <v>1514.2857666</v>
      </c>
      <c r="H1687">
        <v>1377.1765137</v>
      </c>
      <c r="I1687">
        <v>1228.2193603999999</v>
      </c>
      <c r="J1687">
        <v>1034.7596435999999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1462.1546290000001</v>
      </c>
      <c r="B1688" s="1">
        <f>DATE(2014,5,2) + TIME(3,42,39)</f>
        <v>41761.154618055552</v>
      </c>
      <c r="C1688">
        <v>80</v>
      </c>
      <c r="D1688">
        <v>74.690422057999996</v>
      </c>
      <c r="E1688">
        <v>50</v>
      </c>
      <c r="F1688">
        <v>49.307212829999997</v>
      </c>
      <c r="G1688">
        <v>1520.6560059000001</v>
      </c>
      <c r="H1688">
        <v>1384.4818115</v>
      </c>
      <c r="I1688">
        <v>1219.6984863</v>
      </c>
      <c r="J1688">
        <v>1026.2335204999999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1462.2570519999999</v>
      </c>
      <c r="B1689" s="1">
        <f>DATE(2014,5,2) + TIME(6,10,9)</f>
        <v>41761.257048611114</v>
      </c>
      <c r="C1689">
        <v>80</v>
      </c>
      <c r="D1689">
        <v>75.317092896000005</v>
      </c>
      <c r="E1689">
        <v>50</v>
      </c>
      <c r="F1689">
        <v>49.299350738999998</v>
      </c>
      <c r="G1689">
        <v>1527.1987305</v>
      </c>
      <c r="H1689">
        <v>1391.9254149999999</v>
      </c>
      <c r="I1689">
        <v>1211.0767822</v>
      </c>
      <c r="J1689">
        <v>1017.6062621999999</v>
      </c>
      <c r="K1689">
        <v>2400</v>
      </c>
      <c r="L1689">
        <v>0</v>
      </c>
      <c r="M1689">
        <v>0</v>
      </c>
      <c r="N1689">
        <v>2400</v>
      </c>
    </row>
    <row r="1690" spans="1:14" x14ac:dyDescent="0.25">
      <c r="A1690">
        <v>1462.3708750000001</v>
      </c>
      <c r="B1690" s="1">
        <f>DATE(2014,5,2) + TIME(8,54,3)</f>
        <v>41761.370868055557</v>
      </c>
      <c r="C1690">
        <v>80</v>
      </c>
      <c r="D1690">
        <v>75.923385620000005</v>
      </c>
      <c r="E1690">
        <v>50</v>
      </c>
      <c r="F1690">
        <v>49.290809631000002</v>
      </c>
      <c r="G1690">
        <v>1533.9829102000001</v>
      </c>
      <c r="H1690">
        <v>1399.5754394999999</v>
      </c>
      <c r="I1690">
        <v>1202.2838135</v>
      </c>
      <c r="J1690">
        <v>1008.807251</v>
      </c>
      <c r="K1690">
        <v>2400</v>
      </c>
      <c r="L1690">
        <v>0</v>
      </c>
      <c r="M1690">
        <v>0</v>
      </c>
      <c r="N1690">
        <v>2400</v>
      </c>
    </row>
    <row r="1691" spans="1:14" x14ac:dyDescent="0.25">
      <c r="A1691">
        <v>1462.4988289999999</v>
      </c>
      <c r="B1691" s="1">
        <f>DATE(2014,5,2) + TIME(11,58,18)</f>
        <v>41761.498819444445</v>
      </c>
      <c r="C1691">
        <v>80</v>
      </c>
      <c r="D1691">
        <v>76.507522582999997</v>
      </c>
      <c r="E1691">
        <v>50</v>
      </c>
      <c r="F1691">
        <v>49.281372070000003</v>
      </c>
      <c r="G1691">
        <v>1541.0966797000001</v>
      </c>
      <c r="H1691">
        <v>1407.5187988</v>
      </c>
      <c r="I1691">
        <v>1193.2302245999999</v>
      </c>
      <c r="J1691">
        <v>999.74664307</v>
      </c>
      <c r="K1691">
        <v>2400</v>
      </c>
      <c r="L1691">
        <v>0</v>
      </c>
      <c r="M1691">
        <v>0</v>
      </c>
      <c r="N1691">
        <v>2400</v>
      </c>
    </row>
    <row r="1692" spans="1:14" x14ac:dyDescent="0.25">
      <c r="A1692">
        <v>1462.634239</v>
      </c>
      <c r="B1692" s="1">
        <f>DATE(2014,5,2) + TIME(15,13,18)</f>
        <v>41761.634236111109</v>
      </c>
      <c r="C1692">
        <v>80</v>
      </c>
      <c r="D1692">
        <v>77.032859802000004</v>
      </c>
      <c r="E1692">
        <v>50</v>
      </c>
      <c r="F1692">
        <v>49.271335602000001</v>
      </c>
      <c r="G1692">
        <v>1548.1271973</v>
      </c>
      <c r="H1692">
        <v>1415.2906493999999</v>
      </c>
      <c r="I1692">
        <v>1184.4272461</v>
      </c>
      <c r="J1692">
        <v>990.93615723000005</v>
      </c>
      <c r="K1692">
        <v>2400</v>
      </c>
      <c r="L1692">
        <v>0</v>
      </c>
      <c r="M1692">
        <v>0</v>
      </c>
      <c r="N1692">
        <v>2400</v>
      </c>
    </row>
    <row r="1693" spans="1:14" x14ac:dyDescent="0.25">
      <c r="A1693">
        <v>1462.7703670000001</v>
      </c>
      <c r="B1693" s="1">
        <f>DATE(2014,5,2) + TIME(18,29,19)</f>
        <v>41761.770358796297</v>
      </c>
      <c r="C1693">
        <v>80</v>
      </c>
      <c r="D1693">
        <v>77.481262207</v>
      </c>
      <c r="E1693">
        <v>50</v>
      </c>
      <c r="F1693">
        <v>49.261062621999997</v>
      </c>
      <c r="G1693">
        <v>1554.7558594</v>
      </c>
      <c r="H1693">
        <v>1422.5504149999999</v>
      </c>
      <c r="I1693">
        <v>1176.244751</v>
      </c>
      <c r="J1693">
        <v>982.74566649999997</v>
      </c>
      <c r="K1693">
        <v>2400</v>
      </c>
      <c r="L1693">
        <v>0</v>
      </c>
      <c r="M1693">
        <v>0</v>
      </c>
      <c r="N1693">
        <v>2400</v>
      </c>
    </row>
    <row r="1694" spans="1:14" x14ac:dyDescent="0.25">
      <c r="A1694">
        <v>1462.908394</v>
      </c>
      <c r="B1694" s="1">
        <f>DATE(2014,5,2) + TIME(21,48,5)</f>
        <v>41761.908391203702</v>
      </c>
      <c r="C1694">
        <v>80</v>
      </c>
      <c r="D1694">
        <v>77.866485596000004</v>
      </c>
      <c r="E1694">
        <v>50</v>
      </c>
      <c r="F1694">
        <v>49.250511168999999</v>
      </c>
      <c r="G1694">
        <v>1561.0928954999999</v>
      </c>
      <c r="H1694">
        <v>1429.4309082</v>
      </c>
      <c r="I1694">
        <v>1168.5375977000001</v>
      </c>
      <c r="J1694">
        <v>975.02972411999997</v>
      </c>
      <c r="K1694">
        <v>2400</v>
      </c>
      <c r="L1694">
        <v>0</v>
      </c>
      <c r="M1694">
        <v>0</v>
      </c>
      <c r="N1694">
        <v>2400</v>
      </c>
    </row>
    <row r="1695" spans="1:14" x14ac:dyDescent="0.25">
      <c r="A1695">
        <v>1463.049017</v>
      </c>
      <c r="B1695" s="1">
        <f>DATE(2014,5,3) + TIME(1,10,35)</f>
        <v>41762.049016203702</v>
      </c>
      <c r="C1695">
        <v>80</v>
      </c>
      <c r="D1695">
        <v>78.198081970000004</v>
      </c>
      <c r="E1695">
        <v>50</v>
      </c>
      <c r="F1695">
        <v>49.239654541</v>
      </c>
      <c r="G1695">
        <v>1567.2016602000001</v>
      </c>
      <c r="H1695">
        <v>1436.0095214999999</v>
      </c>
      <c r="I1695">
        <v>1161.2147216999999</v>
      </c>
      <c r="J1695">
        <v>967.69720458999996</v>
      </c>
      <c r="K1695">
        <v>2400</v>
      </c>
      <c r="L1695">
        <v>0</v>
      </c>
      <c r="M1695">
        <v>0</v>
      </c>
      <c r="N1695">
        <v>2400</v>
      </c>
    </row>
    <row r="1696" spans="1:14" x14ac:dyDescent="0.25">
      <c r="A1696">
        <v>1463.192986</v>
      </c>
      <c r="B1696" s="1">
        <f>DATE(2014,5,3) + TIME(4,37,53)</f>
        <v>41762.192974537036</v>
      </c>
      <c r="C1696">
        <v>80</v>
      </c>
      <c r="D1696">
        <v>78.483848571999999</v>
      </c>
      <c r="E1696">
        <v>50</v>
      </c>
      <c r="F1696">
        <v>49.228473663000003</v>
      </c>
      <c r="G1696">
        <v>1573.1334228999999</v>
      </c>
      <c r="H1696">
        <v>1442.3488769999999</v>
      </c>
      <c r="I1696">
        <v>1154.2004394999999</v>
      </c>
      <c r="J1696">
        <v>960.67279053000004</v>
      </c>
      <c r="K1696">
        <v>2400</v>
      </c>
      <c r="L1696">
        <v>0</v>
      </c>
      <c r="M1696">
        <v>0</v>
      </c>
      <c r="N1696">
        <v>2400</v>
      </c>
    </row>
    <row r="1697" spans="1:14" x14ac:dyDescent="0.25">
      <c r="A1697">
        <v>1463.341052</v>
      </c>
      <c r="B1697" s="1">
        <f>DATE(2014,5,3) + TIME(8,11,6)</f>
        <v>41762.341041666667</v>
      </c>
      <c r="C1697">
        <v>80</v>
      </c>
      <c r="D1697">
        <v>78.730117797999995</v>
      </c>
      <c r="E1697">
        <v>50</v>
      </c>
      <c r="F1697">
        <v>49.216938018999997</v>
      </c>
      <c r="G1697">
        <v>1578.9290771000001</v>
      </c>
      <c r="H1697">
        <v>1448.4986572</v>
      </c>
      <c r="I1697">
        <v>1147.4338379000001</v>
      </c>
      <c r="J1697">
        <v>953.89544678000004</v>
      </c>
      <c r="K1697">
        <v>2400</v>
      </c>
      <c r="L1697">
        <v>0</v>
      </c>
      <c r="M1697">
        <v>0</v>
      </c>
      <c r="N1697">
        <v>2400</v>
      </c>
    </row>
    <row r="1698" spans="1:14" x14ac:dyDescent="0.25">
      <c r="A1698">
        <v>1463.4933559999999</v>
      </c>
      <c r="B1698" s="1">
        <f>DATE(2014,5,3) + TIME(11,50,25)</f>
        <v>41762.493344907409</v>
      </c>
      <c r="C1698">
        <v>80</v>
      </c>
      <c r="D1698">
        <v>78.94140625</v>
      </c>
      <c r="E1698">
        <v>50</v>
      </c>
      <c r="F1698">
        <v>49.205059052000003</v>
      </c>
      <c r="G1698">
        <v>1584.5985106999999</v>
      </c>
      <c r="H1698">
        <v>1454.4752197</v>
      </c>
      <c r="I1698">
        <v>1140.8903809000001</v>
      </c>
      <c r="J1698">
        <v>947.34057616999996</v>
      </c>
      <c r="K1698">
        <v>2400</v>
      </c>
      <c r="L1698">
        <v>0</v>
      </c>
      <c r="M1698">
        <v>0</v>
      </c>
      <c r="N1698">
        <v>2400</v>
      </c>
    </row>
    <row r="1699" spans="1:14" x14ac:dyDescent="0.25">
      <c r="A1699">
        <v>1463.6507280000001</v>
      </c>
      <c r="B1699" s="1">
        <f>DATE(2014,5,3) + TIME(15,37,2)</f>
        <v>41762.650717592594</v>
      </c>
      <c r="C1699">
        <v>80</v>
      </c>
      <c r="D1699">
        <v>79.122482300000001</v>
      </c>
      <c r="E1699">
        <v>50</v>
      </c>
      <c r="F1699">
        <v>49.192798615000001</v>
      </c>
      <c r="G1699">
        <v>1590.1744385</v>
      </c>
      <c r="H1699">
        <v>1460.3182373</v>
      </c>
      <c r="I1699">
        <v>1134.5228271000001</v>
      </c>
      <c r="J1699">
        <v>940.96118163999995</v>
      </c>
      <c r="K1699">
        <v>2400</v>
      </c>
      <c r="L1699">
        <v>0</v>
      </c>
      <c r="M1699">
        <v>0</v>
      </c>
      <c r="N1699">
        <v>2400</v>
      </c>
    </row>
    <row r="1700" spans="1:14" x14ac:dyDescent="0.25">
      <c r="A1700">
        <v>1463.8138329999999</v>
      </c>
      <c r="B1700" s="1">
        <f>DATE(2014,5,3) + TIME(19,31,55)</f>
        <v>41762.813831018517</v>
      </c>
      <c r="C1700">
        <v>80</v>
      </c>
      <c r="D1700">
        <v>79.277153014999996</v>
      </c>
      <c r="E1700">
        <v>50</v>
      </c>
      <c r="F1700">
        <v>49.180141448999997</v>
      </c>
      <c r="G1700">
        <v>1595.6774902</v>
      </c>
      <c r="H1700">
        <v>1466.0532227000001</v>
      </c>
      <c r="I1700">
        <v>1128.2988281</v>
      </c>
      <c r="J1700">
        <v>934.72491454999999</v>
      </c>
      <c r="K1700">
        <v>2400</v>
      </c>
      <c r="L1700">
        <v>0</v>
      </c>
      <c r="M1700">
        <v>0</v>
      </c>
      <c r="N1700">
        <v>2400</v>
      </c>
    </row>
    <row r="1701" spans="1:14" x14ac:dyDescent="0.25">
      <c r="A1701">
        <v>1463.98353</v>
      </c>
      <c r="B1701" s="1">
        <f>DATE(2014,5,3) + TIME(23,36,17)</f>
        <v>41762.983530092592</v>
      </c>
      <c r="C1701">
        <v>80</v>
      </c>
      <c r="D1701">
        <v>79.408828735</v>
      </c>
      <c r="E1701">
        <v>50</v>
      </c>
      <c r="F1701">
        <v>49.167045592999997</v>
      </c>
      <c r="G1701">
        <v>1601.1296387</v>
      </c>
      <c r="H1701">
        <v>1471.7070312000001</v>
      </c>
      <c r="I1701">
        <v>1122.1856689000001</v>
      </c>
      <c r="J1701">
        <v>928.59893798999997</v>
      </c>
      <c r="K1701">
        <v>2400</v>
      </c>
      <c r="L1701">
        <v>0</v>
      </c>
      <c r="M1701">
        <v>0</v>
      </c>
      <c r="N1701">
        <v>2400</v>
      </c>
    </row>
    <row r="1702" spans="1:14" x14ac:dyDescent="0.25">
      <c r="A1702">
        <v>1464.160781</v>
      </c>
      <c r="B1702" s="1">
        <f>DATE(2014,5,4) + TIME(3,51,31)</f>
        <v>41763.160775462966</v>
      </c>
      <c r="C1702">
        <v>80</v>
      </c>
      <c r="D1702">
        <v>79.520439147999994</v>
      </c>
      <c r="E1702">
        <v>50</v>
      </c>
      <c r="F1702">
        <v>49.153469086000001</v>
      </c>
      <c r="G1702">
        <v>1606.5513916</v>
      </c>
      <c r="H1702">
        <v>1477.3040771000001</v>
      </c>
      <c r="I1702">
        <v>1116.1535644999999</v>
      </c>
      <c r="J1702">
        <v>922.55352783000001</v>
      </c>
      <c r="K1702">
        <v>2400</v>
      </c>
      <c r="L1702">
        <v>0</v>
      </c>
      <c r="M1702">
        <v>0</v>
      </c>
      <c r="N1702">
        <v>2400</v>
      </c>
    </row>
    <row r="1703" spans="1:14" x14ac:dyDescent="0.25">
      <c r="A1703">
        <v>1464.346685</v>
      </c>
      <c r="B1703" s="1">
        <f>DATE(2014,5,4) + TIME(8,19,13)</f>
        <v>41763.346678240741</v>
      </c>
      <c r="C1703">
        <v>80</v>
      </c>
      <c r="D1703">
        <v>79.614524841000005</v>
      </c>
      <c r="E1703">
        <v>50</v>
      </c>
      <c r="F1703">
        <v>49.139358520999998</v>
      </c>
      <c r="G1703">
        <v>1611.9621582</v>
      </c>
      <c r="H1703">
        <v>1482.8673096</v>
      </c>
      <c r="I1703">
        <v>1110.1746826000001</v>
      </c>
      <c r="J1703">
        <v>916.56103515999996</v>
      </c>
      <c r="K1703">
        <v>2400</v>
      </c>
      <c r="L1703">
        <v>0</v>
      </c>
      <c r="M1703">
        <v>0</v>
      </c>
      <c r="N1703">
        <v>2400</v>
      </c>
    </row>
    <row r="1704" spans="1:14" x14ac:dyDescent="0.25">
      <c r="A1704">
        <v>1464.5424800000001</v>
      </c>
      <c r="B1704" s="1">
        <f>DATE(2014,5,4) + TIME(13,1,10)</f>
        <v>41763.54247685185</v>
      </c>
      <c r="C1704">
        <v>80</v>
      </c>
      <c r="D1704">
        <v>79.693313599000007</v>
      </c>
      <c r="E1704">
        <v>50</v>
      </c>
      <c r="F1704">
        <v>49.124656676999997</v>
      </c>
      <c r="G1704">
        <v>1617.3800048999999</v>
      </c>
      <c r="H1704">
        <v>1488.4176024999999</v>
      </c>
      <c r="I1704">
        <v>1104.2236327999999</v>
      </c>
      <c r="J1704">
        <v>910.59582520000004</v>
      </c>
      <c r="K1704">
        <v>2400</v>
      </c>
      <c r="L1704">
        <v>0</v>
      </c>
      <c r="M1704">
        <v>0</v>
      </c>
      <c r="N1704">
        <v>2400</v>
      </c>
    </row>
    <row r="1705" spans="1:14" x14ac:dyDescent="0.25">
      <c r="A1705">
        <v>1464.7497049999999</v>
      </c>
      <c r="B1705" s="1">
        <f>DATE(2014,5,4) + TIME(17,59,34)</f>
        <v>41763.749699074076</v>
      </c>
      <c r="C1705">
        <v>80</v>
      </c>
      <c r="D1705">
        <v>79.758773804</v>
      </c>
      <c r="E1705">
        <v>50</v>
      </c>
      <c r="F1705">
        <v>49.109291077000002</v>
      </c>
      <c r="G1705">
        <v>1622.8253173999999</v>
      </c>
      <c r="H1705">
        <v>1493.9781493999999</v>
      </c>
      <c r="I1705">
        <v>1098.2730713000001</v>
      </c>
      <c r="J1705">
        <v>904.63055420000001</v>
      </c>
      <c r="K1705">
        <v>2400</v>
      </c>
      <c r="L1705">
        <v>0</v>
      </c>
      <c r="M1705">
        <v>0</v>
      </c>
      <c r="N1705">
        <v>2400</v>
      </c>
    </row>
    <row r="1706" spans="1:14" x14ac:dyDescent="0.25">
      <c r="A1706">
        <v>1464.970161</v>
      </c>
      <c r="B1706" s="1">
        <f>DATE(2014,5,4) + TIME(23,17,1)</f>
        <v>41763.970150462963</v>
      </c>
      <c r="C1706">
        <v>80</v>
      </c>
      <c r="D1706">
        <v>79.812652588000006</v>
      </c>
      <c r="E1706">
        <v>50</v>
      </c>
      <c r="F1706">
        <v>49.093162536999998</v>
      </c>
      <c r="G1706">
        <v>1628.3186035000001</v>
      </c>
      <c r="H1706">
        <v>1499.5720214999999</v>
      </c>
      <c r="I1706">
        <v>1092.2957764</v>
      </c>
      <c r="J1706">
        <v>898.63812256000006</v>
      </c>
      <c r="K1706">
        <v>2400</v>
      </c>
      <c r="L1706">
        <v>0</v>
      </c>
      <c r="M1706">
        <v>0</v>
      </c>
      <c r="N1706">
        <v>2400</v>
      </c>
    </row>
    <row r="1707" spans="1:14" x14ac:dyDescent="0.25">
      <c r="A1707">
        <v>1465.2060280000001</v>
      </c>
      <c r="B1707" s="1">
        <f>DATE(2014,5,5) + TIME(4,56,40)</f>
        <v>41764.206018518518</v>
      </c>
      <c r="C1707">
        <v>80</v>
      </c>
      <c r="D1707">
        <v>79.856475829999994</v>
      </c>
      <c r="E1707">
        <v>50</v>
      </c>
      <c r="F1707">
        <v>49.076168060000001</v>
      </c>
      <c r="G1707">
        <v>1633.8819579999999</v>
      </c>
      <c r="H1707">
        <v>1505.2231445</v>
      </c>
      <c r="I1707">
        <v>1086.2635498</v>
      </c>
      <c r="J1707">
        <v>892.59008788999995</v>
      </c>
      <c r="K1707">
        <v>2400</v>
      </c>
      <c r="L1707">
        <v>0</v>
      </c>
      <c r="M1707">
        <v>0</v>
      </c>
      <c r="N1707">
        <v>2400</v>
      </c>
    </row>
    <row r="1708" spans="1:14" x14ac:dyDescent="0.25">
      <c r="A1708">
        <v>1465.459989</v>
      </c>
      <c r="B1708" s="1">
        <f>DATE(2014,5,5) + TIME(11,2,23)</f>
        <v>41764.459988425922</v>
      </c>
      <c r="C1708">
        <v>80</v>
      </c>
      <c r="D1708">
        <v>79.891632079999994</v>
      </c>
      <c r="E1708">
        <v>50</v>
      </c>
      <c r="F1708">
        <v>49.058170318999998</v>
      </c>
      <c r="G1708">
        <v>1639.5396728999999</v>
      </c>
      <c r="H1708">
        <v>1510.9580077999999</v>
      </c>
      <c r="I1708">
        <v>1080.1456298999999</v>
      </c>
      <c r="J1708">
        <v>886.45568848000005</v>
      </c>
      <c r="K1708">
        <v>2400</v>
      </c>
      <c r="L1708">
        <v>0</v>
      </c>
      <c r="M1708">
        <v>0</v>
      </c>
      <c r="N1708">
        <v>2400</v>
      </c>
    </row>
    <row r="1709" spans="1:14" x14ac:dyDescent="0.25">
      <c r="A1709">
        <v>1465.7311549999999</v>
      </c>
      <c r="B1709" s="1">
        <f>DATE(2014,5,5) + TIME(17,32,51)</f>
        <v>41764.731145833335</v>
      </c>
      <c r="C1709">
        <v>80</v>
      </c>
      <c r="D1709">
        <v>79.919006347999996</v>
      </c>
      <c r="E1709">
        <v>50</v>
      </c>
      <c r="F1709">
        <v>49.039211272999999</v>
      </c>
      <c r="G1709">
        <v>1645.2302245999999</v>
      </c>
      <c r="H1709">
        <v>1516.7161865</v>
      </c>
      <c r="I1709">
        <v>1073.9979248</v>
      </c>
      <c r="J1709">
        <v>880.29107666000004</v>
      </c>
      <c r="K1709">
        <v>2400</v>
      </c>
      <c r="L1709">
        <v>0</v>
      </c>
      <c r="M1709">
        <v>0</v>
      </c>
      <c r="N1709">
        <v>2400</v>
      </c>
    </row>
    <row r="1710" spans="1:14" x14ac:dyDescent="0.25">
      <c r="A1710">
        <v>1466.003414</v>
      </c>
      <c r="B1710" s="1">
        <f>DATE(2014,5,6) + TIME(0,4,55)</f>
        <v>41765.00341435185</v>
      </c>
      <c r="C1710">
        <v>80</v>
      </c>
      <c r="D1710">
        <v>79.938880920000003</v>
      </c>
      <c r="E1710">
        <v>50</v>
      </c>
      <c r="F1710">
        <v>49.020088196000003</v>
      </c>
      <c r="G1710">
        <v>1650.6010742000001</v>
      </c>
      <c r="H1710">
        <v>1522.1451416</v>
      </c>
      <c r="I1710">
        <v>1068.1732178</v>
      </c>
      <c r="J1710">
        <v>874.45019531000003</v>
      </c>
      <c r="K1710">
        <v>2400</v>
      </c>
      <c r="L1710">
        <v>0</v>
      </c>
      <c r="M1710">
        <v>0</v>
      </c>
      <c r="N1710">
        <v>2400</v>
      </c>
    </row>
    <row r="1711" spans="1:14" x14ac:dyDescent="0.25">
      <c r="A1711">
        <v>1466.2782500000001</v>
      </c>
      <c r="B1711" s="1">
        <f>DATE(2014,5,6) + TIME(6,40,40)</f>
        <v>41765.278240740743</v>
      </c>
      <c r="C1711">
        <v>80</v>
      </c>
      <c r="D1711">
        <v>79.953285217000001</v>
      </c>
      <c r="E1711">
        <v>50</v>
      </c>
      <c r="F1711">
        <v>49.000797272</v>
      </c>
      <c r="G1711">
        <v>1655.7213135</v>
      </c>
      <c r="H1711">
        <v>1527.3155518000001</v>
      </c>
      <c r="I1711">
        <v>1062.6157227000001</v>
      </c>
      <c r="J1711">
        <v>868.87634276999995</v>
      </c>
      <c r="K1711">
        <v>2400</v>
      </c>
      <c r="L1711">
        <v>0</v>
      </c>
      <c r="M1711">
        <v>0</v>
      </c>
      <c r="N1711">
        <v>2400</v>
      </c>
    </row>
    <row r="1712" spans="1:14" x14ac:dyDescent="0.25">
      <c r="A1712">
        <v>1466.5571460000001</v>
      </c>
      <c r="B1712" s="1">
        <f>DATE(2014,5,6) + TIME(13,22,17)</f>
        <v>41765.557141203702</v>
      </c>
      <c r="C1712">
        <v>80</v>
      </c>
      <c r="D1712">
        <v>79.963645935000002</v>
      </c>
      <c r="E1712">
        <v>50</v>
      </c>
      <c r="F1712">
        <v>48.981315613</v>
      </c>
      <c r="G1712">
        <v>1660.6370850000001</v>
      </c>
      <c r="H1712">
        <v>1532.2753906</v>
      </c>
      <c r="I1712">
        <v>1057.2774658000001</v>
      </c>
      <c r="J1712">
        <v>863.52185058999999</v>
      </c>
      <c r="K1712">
        <v>2400</v>
      </c>
      <c r="L1712">
        <v>0</v>
      </c>
      <c r="M1712">
        <v>0</v>
      </c>
      <c r="N1712">
        <v>2400</v>
      </c>
    </row>
    <row r="1713" spans="1:14" x14ac:dyDescent="0.25">
      <c r="A1713">
        <v>1466.8415640000001</v>
      </c>
      <c r="B1713" s="1">
        <f>DATE(2014,5,6) + TIME(20,11,51)</f>
        <v>41765.841562499998</v>
      </c>
      <c r="C1713">
        <v>80</v>
      </c>
      <c r="D1713">
        <v>79.970993042000003</v>
      </c>
      <c r="E1713">
        <v>50</v>
      </c>
      <c r="F1713">
        <v>48.961585999</v>
      </c>
      <c r="G1713">
        <v>1665.3840332</v>
      </c>
      <c r="H1713">
        <v>1537.0618896000001</v>
      </c>
      <c r="I1713">
        <v>1052.1191406</v>
      </c>
      <c r="J1713">
        <v>858.34716796999999</v>
      </c>
      <c r="K1713">
        <v>2400</v>
      </c>
      <c r="L1713">
        <v>0</v>
      </c>
      <c r="M1713">
        <v>0</v>
      </c>
      <c r="N1713">
        <v>2400</v>
      </c>
    </row>
    <row r="1714" spans="1:14" x14ac:dyDescent="0.25">
      <c r="A1714">
        <v>1467.1330330000001</v>
      </c>
      <c r="B1714" s="1">
        <f>DATE(2014,5,7) + TIME(3,11,34)</f>
        <v>41766.133032407408</v>
      </c>
      <c r="C1714">
        <v>80</v>
      </c>
      <c r="D1714">
        <v>79.976081848000007</v>
      </c>
      <c r="E1714">
        <v>50</v>
      </c>
      <c r="F1714">
        <v>48.941551208</v>
      </c>
      <c r="G1714">
        <v>1669.9921875</v>
      </c>
      <c r="H1714">
        <v>1541.7060547000001</v>
      </c>
      <c r="I1714">
        <v>1047.1065673999999</v>
      </c>
      <c r="J1714">
        <v>853.31811522999999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1467.4328620000001</v>
      </c>
      <c r="B1715" s="1">
        <f>DATE(2014,5,7) + TIME(10,23,19)</f>
        <v>41766.432858796295</v>
      </c>
      <c r="C1715">
        <v>80</v>
      </c>
      <c r="D1715">
        <v>79.979476929</v>
      </c>
      <c r="E1715">
        <v>50</v>
      </c>
      <c r="F1715">
        <v>48.921150208</v>
      </c>
      <c r="G1715">
        <v>1674.4830322</v>
      </c>
      <c r="H1715">
        <v>1546.2304687999999</v>
      </c>
      <c r="I1715">
        <v>1042.2145995999999</v>
      </c>
      <c r="J1715">
        <v>848.40954590000001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1467.7426250000001</v>
      </c>
      <c r="B1716" s="1">
        <f>DATE(2014,5,7) + TIME(17,49,22)</f>
        <v>41766.742615740739</v>
      </c>
      <c r="C1716">
        <v>80</v>
      </c>
      <c r="D1716">
        <v>79.981597899999997</v>
      </c>
      <c r="E1716">
        <v>50</v>
      </c>
      <c r="F1716">
        <v>48.900299072000003</v>
      </c>
      <c r="G1716">
        <v>1678.8780518000001</v>
      </c>
      <c r="H1716">
        <v>1550.6571045000001</v>
      </c>
      <c r="I1716">
        <v>1037.4185791</v>
      </c>
      <c r="J1716">
        <v>843.59698486000002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1468.0640470000001</v>
      </c>
      <c r="B1717" s="1">
        <f>DATE(2014,5,8) + TIME(1,32,13)</f>
        <v>41767.064039351855</v>
      </c>
      <c r="C1717">
        <v>80</v>
      </c>
      <c r="D1717">
        <v>79.982757567999997</v>
      </c>
      <c r="E1717">
        <v>50</v>
      </c>
      <c r="F1717">
        <v>48.878913879000002</v>
      </c>
      <c r="G1717">
        <v>1683.1964111</v>
      </c>
      <c r="H1717">
        <v>1555.0058594</v>
      </c>
      <c r="I1717">
        <v>1032.6965332</v>
      </c>
      <c r="J1717">
        <v>838.85797118999994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1468.3990650000001</v>
      </c>
      <c r="B1718" s="1">
        <f>DATE(2014,5,8) + TIME(9,34,39)</f>
        <v>41767.399062500001</v>
      </c>
      <c r="C1718">
        <v>80</v>
      </c>
      <c r="D1718">
        <v>79.983207703000005</v>
      </c>
      <c r="E1718">
        <v>50</v>
      </c>
      <c r="F1718">
        <v>48.856895446999999</v>
      </c>
      <c r="G1718">
        <v>1687.4560547000001</v>
      </c>
      <c r="H1718">
        <v>1559.2951660000001</v>
      </c>
      <c r="I1718">
        <v>1028.0275879000001</v>
      </c>
      <c r="J1718">
        <v>834.17193603999999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1468.7498399999999</v>
      </c>
      <c r="B1719" s="1">
        <f>DATE(2014,5,8) + TIME(17,59,46)</f>
        <v>41767.749837962961</v>
      </c>
      <c r="C1719">
        <v>80</v>
      </c>
      <c r="D1719">
        <v>79.983131408999995</v>
      </c>
      <c r="E1719">
        <v>50</v>
      </c>
      <c r="F1719">
        <v>48.834133147999999</v>
      </c>
      <c r="G1719">
        <v>1691.6733397999999</v>
      </c>
      <c r="H1719">
        <v>1563.5417480000001</v>
      </c>
      <c r="I1719">
        <v>1023.3929443</v>
      </c>
      <c r="J1719">
        <v>829.51971435999997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1469.119058</v>
      </c>
      <c r="B1720" s="1">
        <f>DATE(2014,5,9) + TIME(2,51,26)</f>
        <v>41768.119050925925</v>
      </c>
      <c r="C1720">
        <v>80</v>
      </c>
      <c r="D1720">
        <v>79.982658385999997</v>
      </c>
      <c r="E1720">
        <v>50</v>
      </c>
      <c r="F1720">
        <v>48.810482024999999</v>
      </c>
      <c r="G1720">
        <v>1695.8663329999999</v>
      </c>
      <c r="H1720">
        <v>1567.7636719</v>
      </c>
      <c r="I1720">
        <v>1018.7717285</v>
      </c>
      <c r="J1720">
        <v>824.88049316000001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1469.5082970000001</v>
      </c>
      <c r="B1721" s="1">
        <f>DATE(2014,5,9) + TIME(12,11,56)</f>
        <v>41768.508287037039</v>
      </c>
      <c r="C1721">
        <v>80</v>
      </c>
      <c r="D1721">
        <v>79.981895446999999</v>
      </c>
      <c r="E1721">
        <v>50</v>
      </c>
      <c r="F1721">
        <v>48.785858154000003</v>
      </c>
      <c r="G1721">
        <v>1700.0352783000001</v>
      </c>
      <c r="H1721">
        <v>1571.9617920000001</v>
      </c>
      <c r="I1721">
        <v>1014.1610107</v>
      </c>
      <c r="J1721">
        <v>820.25134276999995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1469.9174829999999</v>
      </c>
      <c r="B1722" s="1">
        <f>DATE(2014,5,9) + TIME(22,1,10)</f>
        <v>41768.91747685185</v>
      </c>
      <c r="C1722">
        <v>80</v>
      </c>
      <c r="D1722">
        <v>79.980941771999994</v>
      </c>
      <c r="E1722">
        <v>50</v>
      </c>
      <c r="F1722">
        <v>48.760227202999999</v>
      </c>
      <c r="G1722">
        <v>1704.1623535000001</v>
      </c>
      <c r="H1722">
        <v>1576.1184082</v>
      </c>
      <c r="I1722">
        <v>1009.5774536</v>
      </c>
      <c r="J1722">
        <v>815.64886475000003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1470.3500630000001</v>
      </c>
      <c r="B1723" s="1">
        <f>DATE(2014,5,10) + TIME(8,24,5)</f>
        <v>41769.350057870368</v>
      </c>
      <c r="C1723">
        <v>80</v>
      </c>
      <c r="D1723">
        <v>79.97984314</v>
      </c>
      <c r="E1723">
        <v>50</v>
      </c>
      <c r="F1723">
        <v>48.733448029000002</v>
      </c>
      <c r="G1723">
        <v>1708.2673339999999</v>
      </c>
      <c r="H1723">
        <v>1580.2531738</v>
      </c>
      <c r="I1723">
        <v>1005.0006714</v>
      </c>
      <c r="J1723">
        <v>811.05249022999999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1470.7955939999999</v>
      </c>
      <c r="B1724" s="1">
        <f>DATE(2014,5,10) + TIME(19,5,39)</f>
        <v>41769.795590277776</v>
      </c>
      <c r="C1724">
        <v>80</v>
      </c>
      <c r="D1724">
        <v>79.978675842000001</v>
      </c>
      <c r="E1724">
        <v>50</v>
      </c>
      <c r="F1724">
        <v>48.705879211000003</v>
      </c>
      <c r="G1724">
        <v>1712.2358397999999</v>
      </c>
      <c r="H1724">
        <v>1584.2519531</v>
      </c>
      <c r="I1724">
        <v>1000.5462646</v>
      </c>
      <c r="J1724">
        <v>806.57849121000004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1471.2441329999999</v>
      </c>
      <c r="B1725" s="1">
        <f>DATE(2014,5,11) + TIME(5,51,33)</f>
        <v>41770.244131944448</v>
      </c>
      <c r="C1725">
        <v>80</v>
      </c>
      <c r="D1725">
        <v>79.977493285999998</v>
      </c>
      <c r="E1725">
        <v>50</v>
      </c>
      <c r="F1725">
        <v>48.677970885999997</v>
      </c>
      <c r="G1725">
        <v>1715.9893798999999</v>
      </c>
      <c r="H1725">
        <v>1588.0354004000001</v>
      </c>
      <c r="I1725">
        <v>996.30255126999998</v>
      </c>
      <c r="J1725">
        <v>802.31524658000001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1471.697872</v>
      </c>
      <c r="B1726" s="1">
        <f>DATE(2014,5,11) + TIME(16,44,56)</f>
        <v>41770.697870370372</v>
      </c>
      <c r="C1726">
        <v>80</v>
      </c>
      <c r="D1726">
        <v>79.976348877000007</v>
      </c>
      <c r="E1726">
        <v>50</v>
      </c>
      <c r="F1726">
        <v>48.649765015</v>
      </c>
      <c r="G1726">
        <v>1719.567749</v>
      </c>
      <c r="H1726">
        <v>1591.6429443</v>
      </c>
      <c r="I1726">
        <v>992.23681640999996</v>
      </c>
      <c r="J1726">
        <v>798.22973633000004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1472.158983</v>
      </c>
      <c r="B1727" s="1">
        <f>DATE(2014,5,12) + TIME(3,48,56)</f>
        <v>41771.15898148148</v>
      </c>
      <c r="C1727">
        <v>80</v>
      </c>
      <c r="D1727">
        <v>79.975250243999994</v>
      </c>
      <c r="E1727">
        <v>50</v>
      </c>
      <c r="F1727">
        <v>48.621246337999999</v>
      </c>
      <c r="G1727">
        <v>1722.9990233999999</v>
      </c>
      <c r="H1727">
        <v>1595.1026611</v>
      </c>
      <c r="I1727">
        <v>988.32104491999996</v>
      </c>
      <c r="J1727">
        <v>794.29400635000002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1472.629782</v>
      </c>
      <c r="B1728" s="1">
        <f>DATE(2014,5,12) + TIME(15,6,53)</f>
        <v>41771.629780092589</v>
      </c>
      <c r="C1728">
        <v>80</v>
      </c>
      <c r="D1728">
        <v>79.974189757999994</v>
      </c>
      <c r="E1728">
        <v>50</v>
      </c>
      <c r="F1728">
        <v>48.592350005999997</v>
      </c>
      <c r="G1728">
        <v>1726.3065185999999</v>
      </c>
      <c r="H1728">
        <v>1598.4379882999999</v>
      </c>
      <c r="I1728">
        <v>984.53057861000002</v>
      </c>
      <c r="J1728">
        <v>790.48333739999998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1473.112562</v>
      </c>
      <c r="B1729" s="1">
        <f>DATE(2014,5,13) + TIME(2,42,5)</f>
        <v>41772.112557870372</v>
      </c>
      <c r="C1729">
        <v>80</v>
      </c>
      <c r="D1729">
        <v>79.973175049000005</v>
      </c>
      <c r="E1729">
        <v>50</v>
      </c>
      <c r="F1729">
        <v>48.562984467</v>
      </c>
      <c r="G1729">
        <v>1729.5087891000001</v>
      </c>
      <c r="H1729">
        <v>1601.6677245999999</v>
      </c>
      <c r="I1729">
        <v>980.84515381000006</v>
      </c>
      <c r="J1729">
        <v>786.77746581999997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1473.6095190000001</v>
      </c>
      <c r="B1730" s="1">
        <f>DATE(2014,5,13) + TIME(14,37,42)</f>
        <v>41772.609513888892</v>
      </c>
      <c r="C1730">
        <v>80</v>
      </c>
      <c r="D1730">
        <v>79.972198485999996</v>
      </c>
      <c r="E1730">
        <v>50</v>
      </c>
      <c r="F1730">
        <v>48.533058167</v>
      </c>
      <c r="G1730">
        <v>1732.6204834</v>
      </c>
      <c r="H1730">
        <v>1604.8065185999999</v>
      </c>
      <c r="I1730">
        <v>977.24847411999997</v>
      </c>
      <c r="J1730">
        <v>783.16009521000001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1474.123257</v>
      </c>
      <c r="B1731" s="1">
        <f>DATE(2014,5,14) + TIME(2,57,29)</f>
        <v>41773.123252314814</v>
      </c>
      <c r="C1731">
        <v>80</v>
      </c>
      <c r="D1731">
        <v>79.971260071000003</v>
      </c>
      <c r="E1731">
        <v>50</v>
      </c>
      <c r="F1731">
        <v>48.502445221000002</v>
      </c>
      <c r="G1731">
        <v>1735.6557617000001</v>
      </c>
      <c r="H1731">
        <v>1607.8686522999999</v>
      </c>
      <c r="I1731">
        <v>973.72485352000001</v>
      </c>
      <c r="J1731">
        <v>779.61541748000002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1474.6566760000001</v>
      </c>
      <c r="B1732" s="1">
        <f>DATE(2014,5,14) + TIME(15,45,36)</f>
        <v>41773.656666666669</v>
      </c>
      <c r="C1732">
        <v>80</v>
      </c>
      <c r="D1732">
        <v>79.970359802000004</v>
      </c>
      <c r="E1732">
        <v>50</v>
      </c>
      <c r="F1732">
        <v>48.471004485999998</v>
      </c>
      <c r="G1732">
        <v>1738.6273193</v>
      </c>
      <c r="H1732">
        <v>1610.8669434000001</v>
      </c>
      <c r="I1732">
        <v>970.26000977000001</v>
      </c>
      <c r="J1732">
        <v>776.12896728999999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1475.2130440000001</v>
      </c>
      <c r="B1733" s="1">
        <f>DATE(2014,5,15) + TIME(5,6,47)</f>
        <v>41774.213043981479</v>
      </c>
      <c r="C1733">
        <v>80</v>
      </c>
      <c r="D1733">
        <v>79.969490050999994</v>
      </c>
      <c r="E1733">
        <v>50</v>
      </c>
      <c r="F1733">
        <v>48.438587189000003</v>
      </c>
      <c r="G1733">
        <v>1741.5466309000001</v>
      </c>
      <c r="H1733">
        <v>1613.8129882999999</v>
      </c>
      <c r="I1733">
        <v>966.84063720999995</v>
      </c>
      <c r="J1733">
        <v>772.6875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1475.7961379999999</v>
      </c>
      <c r="B1734" s="1">
        <f>DATE(2014,5,15) + TIME(19,6,26)</f>
        <v>41774.796134259261</v>
      </c>
      <c r="C1734">
        <v>80</v>
      </c>
      <c r="D1734">
        <v>79.968643188000001</v>
      </c>
      <c r="E1734">
        <v>50</v>
      </c>
      <c r="F1734">
        <v>48.405010222999998</v>
      </c>
      <c r="G1734">
        <v>1744.4245605000001</v>
      </c>
      <c r="H1734">
        <v>1616.7177733999999</v>
      </c>
      <c r="I1734">
        <v>963.45428466999999</v>
      </c>
      <c r="J1734">
        <v>769.27832031000003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1476.4105979999999</v>
      </c>
      <c r="B1735" s="1">
        <f>DATE(2014,5,16) + TIME(9,51,15)</f>
        <v>41775.410590277781</v>
      </c>
      <c r="C1735">
        <v>80</v>
      </c>
      <c r="D1735">
        <v>79.967826842999997</v>
      </c>
      <c r="E1735">
        <v>50</v>
      </c>
      <c r="F1735">
        <v>48.370059967000003</v>
      </c>
      <c r="G1735">
        <v>1747.2724608999999</v>
      </c>
      <c r="H1735">
        <v>1619.5927733999999</v>
      </c>
      <c r="I1735">
        <v>960.08770751999998</v>
      </c>
      <c r="J1735">
        <v>765.88806151999995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1477.0618810000001</v>
      </c>
      <c r="B1736" s="1">
        <f>DATE(2014,5,17) + TIME(1,29,6)</f>
        <v>41776.061874999999</v>
      </c>
      <c r="C1736">
        <v>80</v>
      </c>
      <c r="D1736">
        <v>79.967033385999997</v>
      </c>
      <c r="E1736">
        <v>50</v>
      </c>
      <c r="F1736">
        <v>48.333496093999997</v>
      </c>
      <c r="G1736">
        <v>1750.1010742000001</v>
      </c>
      <c r="H1736">
        <v>1622.4488524999999</v>
      </c>
      <c r="I1736">
        <v>956.72821045000001</v>
      </c>
      <c r="J1736">
        <v>762.50384521000001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1477.726496</v>
      </c>
      <c r="B1737" s="1">
        <f>DATE(2014,5,17) + TIME(17,26,9)</f>
        <v>41776.726493055554</v>
      </c>
      <c r="C1737">
        <v>80</v>
      </c>
      <c r="D1737">
        <v>79.966270446999999</v>
      </c>
      <c r="E1737">
        <v>50</v>
      </c>
      <c r="F1737">
        <v>48.295898438000002</v>
      </c>
      <c r="G1737">
        <v>1752.793457</v>
      </c>
      <c r="H1737">
        <v>1625.1688231999999</v>
      </c>
      <c r="I1737">
        <v>953.49798583999996</v>
      </c>
      <c r="J1737">
        <v>759.24884033000001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1478.3966339999999</v>
      </c>
      <c r="B1738" s="1">
        <f>DATE(2014,5,18) + TIME(9,31,9)</f>
        <v>41777.396631944444</v>
      </c>
      <c r="C1738">
        <v>80</v>
      </c>
      <c r="D1738">
        <v>79.965560913000004</v>
      </c>
      <c r="E1738">
        <v>50</v>
      </c>
      <c r="F1738">
        <v>48.257736205999997</v>
      </c>
      <c r="G1738">
        <v>1755.3303223</v>
      </c>
      <c r="H1738">
        <v>1627.7329102000001</v>
      </c>
      <c r="I1738">
        <v>950.42755126999998</v>
      </c>
      <c r="J1738">
        <v>756.15325928000004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1479.0755160000001</v>
      </c>
      <c r="B1739" s="1">
        <f>DATE(2014,5,19) + TIME(1,48,44)</f>
        <v>41778.075509259259</v>
      </c>
      <c r="C1739">
        <v>80</v>
      </c>
      <c r="D1739">
        <v>79.964897156000006</v>
      </c>
      <c r="E1739">
        <v>50</v>
      </c>
      <c r="F1739">
        <v>48.219146729000002</v>
      </c>
      <c r="G1739">
        <v>1757.7381591999999</v>
      </c>
      <c r="H1739">
        <v>1630.1669922000001</v>
      </c>
      <c r="I1739">
        <v>947.49511718999997</v>
      </c>
      <c r="J1739">
        <v>753.19519043000003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1479.766404</v>
      </c>
      <c r="B1740" s="1">
        <f>DATE(2014,5,19) + TIME(18,23,37)</f>
        <v>41778.766400462962</v>
      </c>
      <c r="C1740">
        <v>80</v>
      </c>
      <c r="D1740">
        <v>79.964294433999996</v>
      </c>
      <c r="E1740">
        <v>50</v>
      </c>
      <c r="F1740">
        <v>48.180122375000003</v>
      </c>
      <c r="G1740">
        <v>1760.0357666</v>
      </c>
      <c r="H1740">
        <v>1632.4901123</v>
      </c>
      <c r="I1740">
        <v>944.68188477000001</v>
      </c>
      <c r="J1740">
        <v>750.35577393000005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1480.472998</v>
      </c>
      <c r="B1741" s="1">
        <f>DATE(2014,5,20) + TIME(11,21,7)</f>
        <v>41779.472997685189</v>
      </c>
      <c r="C1741">
        <v>80</v>
      </c>
      <c r="D1741">
        <v>79.963722228999998</v>
      </c>
      <c r="E1741">
        <v>50</v>
      </c>
      <c r="F1741">
        <v>48.140552520999996</v>
      </c>
      <c r="G1741">
        <v>1762.2388916</v>
      </c>
      <c r="H1741">
        <v>1634.7181396000001</v>
      </c>
      <c r="I1741">
        <v>941.97052001999998</v>
      </c>
      <c r="J1741">
        <v>747.61779784999999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1481.1983520000001</v>
      </c>
      <c r="B1742" s="1">
        <f>DATE(2014,5,21) + TIME(4,45,37)</f>
        <v>41780.198344907411</v>
      </c>
      <c r="C1742">
        <v>80</v>
      </c>
      <c r="D1742">
        <v>79.963188170999999</v>
      </c>
      <c r="E1742">
        <v>50</v>
      </c>
      <c r="F1742">
        <v>48.100318909000002</v>
      </c>
      <c r="G1742">
        <v>1764.3579102000001</v>
      </c>
      <c r="H1742">
        <v>1636.8615723</v>
      </c>
      <c r="I1742">
        <v>939.34936522999999</v>
      </c>
      <c r="J1742">
        <v>744.96942138999998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1481.9462450000001</v>
      </c>
      <c r="B1743" s="1">
        <f>DATE(2014,5,21) + TIME(22,42,35)</f>
        <v>41780.946238425924</v>
      </c>
      <c r="C1743">
        <v>80</v>
      </c>
      <c r="D1743">
        <v>79.962692261000001</v>
      </c>
      <c r="E1743">
        <v>50</v>
      </c>
      <c r="F1743">
        <v>48.059246063000003</v>
      </c>
      <c r="G1743">
        <v>1766.4030762</v>
      </c>
      <c r="H1743">
        <v>1638.9309082</v>
      </c>
      <c r="I1743">
        <v>936.80664062000005</v>
      </c>
      <c r="J1743">
        <v>742.39886475000003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1482.720869</v>
      </c>
      <c r="B1744" s="1">
        <f>DATE(2014,5,22) + TIME(17,18,3)</f>
        <v>41781.720868055556</v>
      </c>
      <c r="C1744">
        <v>80</v>
      </c>
      <c r="D1744">
        <v>79.962211608999993</v>
      </c>
      <c r="E1744">
        <v>50</v>
      </c>
      <c r="F1744">
        <v>48.017154693999998</v>
      </c>
      <c r="G1744">
        <v>1768.3831786999999</v>
      </c>
      <c r="H1744">
        <v>1640.9348144999999</v>
      </c>
      <c r="I1744">
        <v>934.33221435999997</v>
      </c>
      <c r="J1744">
        <v>739.89569091999999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1483.5269860000001</v>
      </c>
      <c r="B1745" s="1">
        <f>DATE(2014,5,23) + TIME(12,38,51)</f>
        <v>41782.526979166665</v>
      </c>
      <c r="C1745">
        <v>80</v>
      </c>
      <c r="D1745">
        <v>79.961761475000003</v>
      </c>
      <c r="E1745">
        <v>50</v>
      </c>
      <c r="F1745">
        <v>47.973819732999999</v>
      </c>
      <c r="G1745">
        <v>1770.3060303</v>
      </c>
      <c r="H1745">
        <v>1642.8812256000001</v>
      </c>
      <c r="I1745">
        <v>931.91674805000002</v>
      </c>
      <c r="J1745">
        <v>737.45050048999997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1484.3664960000001</v>
      </c>
      <c r="B1746" s="1">
        <f>DATE(2014,5,24) + TIME(8,47,45)</f>
        <v>41783.366493055553</v>
      </c>
      <c r="C1746">
        <v>80</v>
      </c>
      <c r="D1746">
        <v>79.961326599000003</v>
      </c>
      <c r="E1746">
        <v>50</v>
      </c>
      <c r="F1746">
        <v>47.929088593000003</v>
      </c>
      <c r="G1746">
        <v>1772.1697998</v>
      </c>
      <c r="H1746">
        <v>1644.7683105000001</v>
      </c>
      <c r="I1746">
        <v>929.56115723000005</v>
      </c>
      <c r="J1746">
        <v>735.06402588000003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1485.243146</v>
      </c>
      <c r="B1747" s="1">
        <f>DATE(2014,5,25) + TIME(5,50,7)</f>
        <v>41784.243136574078</v>
      </c>
      <c r="C1747">
        <v>80</v>
      </c>
      <c r="D1747">
        <v>79.960914611999996</v>
      </c>
      <c r="E1747">
        <v>50</v>
      </c>
      <c r="F1747">
        <v>47.882789612000003</v>
      </c>
      <c r="G1747">
        <v>1773.9768065999999</v>
      </c>
      <c r="H1747">
        <v>1646.5987548999999</v>
      </c>
      <c r="I1747">
        <v>927.26251220999995</v>
      </c>
      <c r="J1747">
        <v>732.73315430000002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1486.1209389999999</v>
      </c>
      <c r="B1748" s="1">
        <f>DATE(2014,5,26) + TIME(2,54,9)</f>
        <v>41785.120937500003</v>
      </c>
      <c r="C1748">
        <v>80</v>
      </c>
      <c r="D1748">
        <v>79.960517882999994</v>
      </c>
      <c r="E1748">
        <v>50</v>
      </c>
      <c r="F1748">
        <v>47.835693358999997</v>
      </c>
      <c r="G1748">
        <v>1775.6452637</v>
      </c>
      <c r="H1748">
        <v>1648.2904053</v>
      </c>
      <c r="I1748">
        <v>925.10693359000004</v>
      </c>
      <c r="J1748">
        <v>730.54510498000002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1487.00163</v>
      </c>
      <c r="B1749" s="1">
        <f>DATE(2014,5,27) + TIME(0,2,20)</f>
        <v>41786.001620370371</v>
      </c>
      <c r="C1749">
        <v>80</v>
      </c>
      <c r="D1749">
        <v>79.960151671999995</v>
      </c>
      <c r="E1749">
        <v>50</v>
      </c>
      <c r="F1749">
        <v>47.788291931000003</v>
      </c>
      <c r="G1749">
        <v>1777.1956786999999</v>
      </c>
      <c r="H1749">
        <v>1649.8630370999999</v>
      </c>
      <c r="I1749">
        <v>923.08264159999999</v>
      </c>
      <c r="J1749">
        <v>728.48730468999997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1487.8907610000001</v>
      </c>
      <c r="B1750" s="1">
        <f>DATE(2014,5,27) + TIME(21,22,41)</f>
        <v>41786.890752314815</v>
      </c>
      <c r="C1750">
        <v>80</v>
      </c>
      <c r="D1750">
        <v>79.959823607999994</v>
      </c>
      <c r="E1750">
        <v>50</v>
      </c>
      <c r="F1750">
        <v>47.740653991999999</v>
      </c>
      <c r="G1750">
        <v>1778.6480713000001</v>
      </c>
      <c r="H1750">
        <v>1651.3369141000001</v>
      </c>
      <c r="I1750">
        <v>921.17041015999996</v>
      </c>
      <c r="J1750">
        <v>726.54077147999999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1488.7931390000001</v>
      </c>
      <c r="B1751" s="1">
        <f>DATE(2014,5,28) + TIME(19,2,7)</f>
        <v>41787.793136574073</v>
      </c>
      <c r="C1751">
        <v>80</v>
      </c>
      <c r="D1751">
        <v>79.959518433</v>
      </c>
      <c r="E1751">
        <v>50</v>
      </c>
      <c r="F1751">
        <v>47.692668914999999</v>
      </c>
      <c r="G1751">
        <v>1780.0155029</v>
      </c>
      <c r="H1751">
        <v>1652.7250977000001</v>
      </c>
      <c r="I1751">
        <v>919.35534668000003</v>
      </c>
      <c r="J1751">
        <v>724.69055175999995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1489.7140669999999</v>
      </c>
      <c r="B1752" s="1">
        <f>DATE(2014,5,29) + TIME(17,8,15)</f>
        <v>41788.714062500003</v>
      </c>
      <c r="C1752">
        <v>80</v>
      </c>
      <c r="D1752">
        <v>79.959243774000001</v>
      </c>
      <c r="E1752">
        <v>50</v>
      </c>
      <c r="F1752">
        <v>47.644134520999998</v>
      </c>
      <c r="G1752">
        <v>1781.3089600000001</v>
      </c>
      <c r="H1752">
        <v>1654.0384521000001</v>
      </c>
      <c r="I1752">
        <v>917.62463378999996</v>
      </c>
      <c r="J1752">
        <v>722.92358397999999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1490.659146</v>
      </c>
      <c r="B1753" s="1">
        <f>DATE(2014,5,30) + TIME(15,49,10)</f>
        <v>41789.659143518518</v>
      </c>
      <c r="C1753">
        <v>80</v>
      </c>
      <c r="D1753">
        <v>79.958976746000005</v>
      </c>
      <c r="E1753">
        <v>50</v>
      </c>
      <c r="F1753">
        <v>47.594802856000001</v>
      </c>
      <c r="G1753">
        <v>1782.5367432</v>
      </c>
      <c r="H1753">
        <v>1655.2860106999999</v>
      </c>
      <c r="I1753">
        <v>915.96716308999999</v>
      </c>
      <c r="J1753">
        <v>721.22863770000004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1491.6344710000001</v>
      </c>
      <c r="B1754" s="1">
        <f>DATE(2014,5,31) + TIME(15,13,38)</f>
        <v>41790.634467592594</v>
      </c>
      <c r="C1754">
        <v>80</v>
      </c>
      <c r="D1754">
        <v>79.958732604999994</v>
      </c>
      <c r="E1754">
        <v>50</v>
      </c>
      <c r="F1754">
        <v>47.544380187999998</v>
      </c>
      <c r="G1754">
        <v>1783.7060547000001</v>
      </c>
      <c r="H1754">
        <v>1656.4744873</v>
      </c>
      <c r="I1754">
        <v>914.37365723000005</v>
      </c>
      <c r="J1754">
        <v>719.59600829999999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1492</v>
      </c>
      <c r="B1755" s="1">
        <f>DATE(2014,6,1) + TIME(0,0,0)</f>
        <v>41791</v>
      </c>
      <c r="C1755">
        <v>80</v>
      </c>
      <c r="D1755">
        <v>79.958465575999995</v>
      </c>
      <c r="E1755">
        <v>50</v>
      </c>
      <c r="F1755">
        <v>47.514759064000003</v>
      </c>
      <c r="G1755">
        <v>1784.0388184000001</v>
      </c>
      <c r="H1755">
        <v>1656.8217772999999</v>
      </c>
      <c r="I1755">
        <v>913.74420166000004</v>
      </c>
      <c r="J1755">
        <v>718.95672606999995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1493.0123960000001</v>
      </c>
      <c r="B1756" s="1">
        <f>DATE(2014,6,2) + TIME(0,17,50)</f>
        <v>41792.012384259258</v>
      </c>
      <c r="C1756">
        <v>80</v>
      </c>
      <c r="D1756">
        <v>79.958396911999998</v>
      </c>
      <c r="E1756">
        <v>50</v>
      </c>
      <c r="F1756">
        <v>47.468849182</v>
      </c>
      <c r="G1756">
        <v>1785.1699219</v>
      </c>
      <c r="H1756">
        <v>1657.9654541</v>
      </c>
      <c r="I1756">
        <v>912.28527831999997</v>
      </c>
      <c r="J1756">
        <v>717.44476318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1494.067331</v>
      </c>
      <c r="B1757" s="1">
        <f>DATE(2014,6,3) + TIME(1,36,57)</f>
        <v>41793.067326388889</v>
      </c>
      <c r="C1757">
        <v>80</v>
      </c>
      <c r="D1757">
        <v>79.958221436000002</v>
      </c>
      <c r="E1757">
        <v>50</v>
      </c>
      <c r="F1757">
        <v>47.417892455999997</v>
      </c>
      <c r="G1757">
        <v>1786.223999</v>
      </c>
      <c r="H1757">
        <v>1659.0371094</v>
      </c>
      <c r="I1757">
        <v>910.84173583999996</v>
      </c>
      <c r="J1757">
        <v>715.9609375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1495.1222889999999</v>
      </c>
      <c r="B1758" s="1">
        <f>DATE(2014,6,4) + TIME(2,56,5)</f>
        <v>41794.12228009259</v>
      </c>
      <c r="C1758">
        <v>80</v>
      </c>
      <c r="D1758">
        <v>79.958015442000004</v>
      </c>
      <c r="E1758">
        <v>50</v>
      </c>
      <c r="F1758">
        <v>47.364448547000002</v>
      </c>
      <c r="G1758">
        <v>1787.1644286999999</v>
      </c>
      <c r="H1758">
        <v>1659.9957274999999</v>
      </c>
      <c r="I1758">
        <v>909.49517821999996</v>
      </c>
      <c r="J1758">
        <v>714.57092284999999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1496.1844169999999</v>
      </c>
      <c r="B1759" s="1">
        <f>DATE(2014,6,5) + TIME(4,25,33)</f>
        <v>41795.18440972222</v>
      </c>
      <c r="C1759">
        <v>80</v>
      </c>
      <c r="D1759">
        <v>79.957817078000005</v>
      </c>
      <c r="E1759">
        <v>50</v>
      </c>
      <c r="F1759">
        <v>47.309898376</v>
      </c>
      <c r="G1759">
        <v>1788.0205077999999</v>
      </c>
      <c r="H1759">
        <v>1660.8692627</v>
      </c>
      <c r="I1759">
        <v>908.23461913999995</v>
      </c>
      <c r="J1759">
        <v>713.26391602000001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1497.2595389999999</v>
      </c>
      <c r="B1760" s="1">
        <f>DATE(2014,6,6) + TIME(6,13,44)</f>
        <v>41796.25953703704</v>
      </c>
      <c r="C1760">
        <v>80</v>
      </c>
      <c r="D1760">
        <v>79.957649231000005</v>
      </c>
      <c r="E1760">
        <v>50</v>
      </c>
      <c r="F1760">
        <v>47.254611969000003</v>
      </c>
      <c r="G1760">
        <v>1788.8062743999999</v>
      </c>
      <c r="H1760">
        <v>1661.6721190999999</v>
      </c>
      <c r="I1760">
        <v>907.04895020000004</v>
      </c>
      <c r="J1760">
        <v>712.02947998000002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1498.3541620000001</v>
      </c>
      <c r="B1761" s="1">
        <f>DATE(2014,6,7) + TIME(8,29,59)</f>
        <v>41797.354155092595</v>
      </c>
      <c r="C1761">
        <v>80</v>
      </c>
      <c r="D1761">
        <v>79.957489014000004</v>
      </c>
      <c r="E1761">
        <v>50</v>
      </c>
      <c r="F1761">
        <v>47.198547363000003</v>
      </c>
      <c r="G1761">
        <v>1789.5308838000001</v>
      </c>
      <c r="H1761">
        <v>1662.4132079999999</v>
      </c>
      <c r="I1761">
        <v>905.92840576000003</v>
      </c>
      <c r="J1761">
        <v>710.85784911999997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1499.4750779999999</v>
      </c>
      <c r="B1762" s="1">
        <f>DATE(2014,6,8) + TIME(11,24,6)</f>
        <v>41798.475069444445</v>
      </c>
      <c r="C1762">
        <v>80</v>
      </c>
      <c r="D1762">
        <v>79.957344054999993</v>
      </c>
      <c r="E1762">
        <v>50</v>
      </c>
      <c r="F1762">
        <v>47.141475677000003</v>
      </c>
      <c r="G1762">
        <v>1790.2008057</v>
      </c>
      <c r="H1762">
        <v>1663.0991211</v>
      </c>
      <c r="I1762">
        <v>904.86462401999995</v>
      </c>
      <c r="J1762">
        <v>709.74035645000004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1500.6297159999999</v>
      </c>
      <c r="B1763" s="1">
        <f>DATE(2014,6,9) + TIME(15,6,47)</f>
        <v>41799.629710648151</v>
      </c>
      <c r="C1763">
        <v>80</v>
      </c>
      <c r="D1763">
        <v>79.957214355000005</v>
      </c>
      <c r="E1763">
        <v>50</v>
      </c>
      <c r="F1763">
        <v>47.083076476999999</v>
      </c>
      <c r="G1763">
        <v>1790.8205565999999</v>
      </c>
      <c r="H1763">
        <v>1663.7346190999999</v>
      </c>
      <c r="I1763">
        <v>903.85009765999996</v>
      </c>
      <c r="J1763">
        <v>708.66912841999999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1501.8258049999999</v>
      </c>
      <c r="B1764" s="1">
        <f>DATE(2014,6,10) + TIME(19,49,9)</f>
        <v>41800.825798611113</v>
      </c>
      <c r="C1764">
        <v>80</v>
      </c>
      <c r="D1764">
        <v>79.957099915000001</v>
      </c>
      <c r="E1764">
        <v>50</v>
      </c>
      <c r="F1764">
        <v>47.022983551000003</v>
      </c>
      <c r="G1764">
        <v>1791.3935547000001</v>
      </c>
      <c r="H1764">
        <v>1664.3229980000001</v>
      </c>
      <c r="I1764">
        <v>902.87890625</v>
      </c>
      <c r="J1764">
        <v>707.63757324000005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1503.055908</v>
      </c>
      <c r="B1765" s="1">
        <f>DATE(2014,6,12) + TIME(1,20,30)</f>
        <v>41802.055902777778</v>
      </c>
      <c r="C1765">
        <v>80</v>
      </c>
      <c r="D1765">
        <v>79.956985474000007</v>
      </c>
      <c r="E1765">
        <v>50</v>
      </c>
      <c r="F1765">
        <v>46.961078643999997</v>
      </c>
      <c r="G1765">
        <v>1791.9123535000001</v>
      </c>
      <c r="H1765">
        <v>1664.8571777</v>
      </c>
      <c r="I1765">
        <v>901.95495604999996</v>
      </c>
      <c r="J1765">
        <v>706.64947510000002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1504.3058040000001</v>
      </c>
      <c r="B1766" s="1">
        <f>DATE(2014,6,13) + TIME(7,20,21)</f>
        <v>41803.305798611109</v>
      </c>
      <c r="C1766">
        <v>80</v>
      </c>
      <c r="D1766">
        <v>79.956878661999994</v>
      </c>
      <c r="E1766">
        <v>50</v>
      </c>
      <c r="F1766">
        <v>46.897663115999997</v>
      </c>
      <c r="G1766">
        <v>1792.3704834</v>
      </c>
      <c r="H1766">
        <v>1665.3302002</v>
      </c>
      <c r="I1766">
        <v>901.08471680000002</v>
      </c>
      <c r="J1766">
        <v>705.71124268000005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1505.5614479999999</v>
      </c>
      <c r="B1767" s="1">
        <f>DATE(2014,6,14) + TIME(13,28,29)</f>
        <v>41804.56144675926</v>
      </c>
      <c r="C1767">
        <v>80</v>
      </c>
      <c r="D1767">
        <v>79.956787109000004</v>
      </c>
      <c r="E1767">
        <v>50</v>
      </c>
      <c r="F1767">
        <v>46.833274840999998</v>
      </c>
      <c r="G1767">
        <v>1792.7655029</v>
      </c>
      <c r="H1767">
        <v>1665.7397461</v>
      </c>
      <c r="I1767">
        <v>900.27258300999995</v>
      </c>
      <c r="J1767">
        <v>704.82751465000001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1506.8303490000001</v>
      </c>
      <c r="B1768" s="1">
        <f>DATE(2014,6,15) + TIME(19,55,42)</f>
        <v>41805.830347222225</v>
      </c>
      <c r="C1768">
        <v>80</v>
      </c>
      <c r="D1768">
        <v>79.956703185999999</v>
      </c>
      <c r="E1768">
        <v>50</v>
      </c>
      <c r="F1768">
        <v>46.768150329999997</v>
      </c>
      <c r="G1768">
        <v>1793.1072998</v>
      </c>
      <c r="H1768">
        <v>1666.0954589999999</v>
      </c>
      <c r="I1768">
        <v>899.51129149999997</v>
      </c>
      <c r="J1768">
        <v>703.99084473000005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1508.120034</v>
      </c>
      <c r="B1769" s="1">
        <f>DATE(2014,6,17) + TIME(2,52,50)</f>
        <v>41807.120023148149</v>
      </c>
      <c r="C1769">
        <v>80</v>
      </c>
      <c r="D1769">
        <v>79.956634520999998</v>
      </c>
      <c r="E1769">
        <v>50</v>
      </c>
      <c r="F1769">
        <v>46.702110290999997</v>
      </c>
      <c r="G1769">
        <v>1793.4016113</v>
      </c>
      <c r="H1769">
        <v>1666.4034423999999</v>
      </c>
      <c r="I1769">
        <v>898.79357909999999</v>
      </c>
      <c r="J1769">
        <v>703.19360352000001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1509.4322460000001</v>
      </c>
      <c r="B1770" s="1">
        <f>DATE(2014,6,18) + TIME(10,22,26)</f>
        <v>41808.432245370372</v>
      </c>
      <c r="C1770">
        <v>80</v>
      </c>
      <c r="D1770">
        <v>79.956565857000001</v>
      </c>
      <c r="E1770">
        <v>50</v>
      </c>
      <c r="F1770">
        <v>46.634948729999998</v>
      </c>
      <c r="G1770">
        <v>1793.6505127</v>
      </c>
      <c r="H1770">
        <v>1666.6654053</v>
      </c>
      <c r="I1770">
        <v>898.11486816000001</v>
      </c>
      <c r="J1770">
        <v>702.43096923999997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1510.7701380000001</v>
      </c>
      <c r="B1771" s="1">
        <f>DATE(2014,6,19) + TIME(18,28,59)</f>
        <v>41809.770127314812</v>
      </c>
      <c r="C1771">
        <v>80</v>
      </c>
      <c r="D1771">
        <v>79.956520080999994</v>
      </c>
      <c r="E1771">
        <v>50</v>
      </c>
      <c r="F1771">
        <v>46.566474915000001</v>
      </c>
      <c r="G1771">
        <v>1793.8562012</v>
      </c>
      <c r="H1771">
        <v>1666.8837891000001</v>
      </c>
      <c r="I1771">
        <v>897.47094727000001</v>
      </c>
      <c r="J1771">
        <v>701.69824218999997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1512.1415919999999</v>
      </c>
      <c r="B1772" s="1">
        <f>DATE(2014,6,21) + TIME(3,23,53)</f>
        <v>41811.141585648147</v>
      </c>
      <c r="C1772">
        <v>80</v>
      </c>
      <c r="D1772">
        <v>79.956474303999997</v>
      </c>
      <c r="E1772">
        <v>50</v>
      </c>
      <c r="F1772">
        <v>46.496417999000002</v>
      </c>
      <c r="G1772">
        <v>1794.0214844</v>
      </c>
      <c r="H1772">
        <v>1667.0616454999999</v>
      </c>
      <c r="I1772">
        <v>896.85656738</v>
      </c>
      <c r="J1772">
        <v>700.98937988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1513.5552359999999</v>
      </c>
      <c r="B1773" s="1">
        <f>DATE(2014,6,22) + TIME(13,19,32)</f>
        <v>41812.555231481485</v>
      </c>
      <c r="C1773">
        <v>80</v>
      </c>
      <c r="D1773">
        <v>79.956436156999999</v>
      </c>
      <c r="E1773">
        <v>50</v>
      </c>
      <c r="F1773">
        <v>46.424369812000002</v>
      </c>
      <c r="G1773">
        <v>1794.1484375</v>
      </c>
      <c r="H1773">
        <v>1667.2006836</v>
      </c>
      <c r="I1773">
        <v>896.26666260000002</v>
      </c>
      <c r="J1773">
        <v>700.29858397999999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1515.013647</v>
      </c>
      <c r="B1774" s="1">
        <f>DATE(2014,6,24) + TIME(0,19,39)</f>
        <v>41814.013645833336</v>
      </c>
      <c r="C1774">
        <v>80</v>
      </c>
      <c r="D1774">
        <v>79.95640564</v>
      </c>
      <c r="E1774">
        <v>50</v>
      </c>
      <c r="F1774">
        <v>46.349987030000001</v>
      </c>
      <c r="G1774">
        <v>1794.2364502</v>
      </c>
      <c r="H1774">
        <v>1667.3006591999999</v>
      </c>
      <c r="I1774">
        <v>895.69793701000003</v>
      </c>
      <c r="J1774">
        <v>699.62158203000001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1516.4723859999999</v>
      </c>
      <c r="B1775" s="1">
        <f>DATE(2014,6,25) + TIME(11,20,14)</f>
        <v>41815.472384259258</v>
      </c>
      <c r="C1775">
        <v>80</v>
      </c>
      <c r="D1775">
        <v>79.956375121999997</v>
      </c>
      <c r="E1775">
        <v>50</v>
      </c>
      <c r="F1775">
        <v>46.273834229000002</v>
      </c>
      <c r="G1775">
        <v>1794.2775879000001</v>
      </c>
      <c r="H1775">
        <v>1667.3536377</v>
      </c>
      <c r="I1775">
        <v>895.15649413999995</v>
      </c>
      <c r="J1775">
        <v>698.96533203000001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1517.9392740000001</v>
      </c>
      <c r="B1776" s="1">
        <f>DATE(2014,6,26) + TIME(22,32,33)</f>
        <v>41816.939270833333</v>
      </c>
      <c r="C1776">
        <v>80</v>
      </c>
      <c r="D1776">
        <v>79.956344603999995</v>
      </c>
      <c r="E1776">
        <v>50</v>
      </c>
      <c r="F1776">
        <v>46.196704865000001</v>
      </c>
      <c r="G1776">
        <v>1794.2802733999999</v>
      </c>
      <c r="H1776">
        <v>1667.3675536999999</v>
      </c>
      <c r="I1776">
        <v>894.64166260000002</v>
      </c>
      <c r="J1776">
        <v>698.32934569999998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1519.4228969999999</v>
      </c>
      <c r="B1777" s="1">
        <f>DATE(2014,6,28) + TIME(10,8,58)</f>
        <v>41818.422893518517</v>
      </c>
      <c r="C1777">
        <v>80</v>
      </c>
      <c r="D1777">
        <v>79.956336974999999</v>
      </c>
      <c r="E1777">
        <v>50</v>
      </c>
      <c r="F1777">
        <v>46.118556976000001</v>
      </c>
      <c r="G1777">
        <v>1794.2493896000001</v>
      </c>
      <c r="H1777">
        <v>1667.3475341999999</v>
      </c>
      <c r="I1777">
        <v>894.14849853999999</v>
      </c>
      <c r="J1777">
        <v>697.70855713000003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1520.9318020000001</v>
      </c>
      <c r="B1778" s="1">
        <f>DATE(2014,6,29) + TIME(22,21,47)</f>
        <v>41819.931793981479</v>
      </c>
      <c r="C1778">
        <v>80</v>
      </c>
      <c r="D1778">
        <v>79.956329346000004</v>
      </c>
      <c r="E1778">
        <v>50</v>
      </c>
      <c r="F1778">
        <v>46.039066314999999</v>
      </c>
      <c r="G1778">
        <v>1794.1873779</v>
      </c>
      <c r="H1778">
        <v>1667.2960204999999</v>
      </c>
      <c r="I1778">
        <v>893.67193603999999</v>
      </c>
      <c r="J1778">
        <v>697.09729003999996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1522</v>
      </c>
      <c r="B1779" s="1">
        <f>DATE(2014,7,1) + TIME(0,0,0)</f>
        <v>41821</v>
      </c>
      <c r="C1779">
        <v>80</v>
      </c>
      <c r="D1779">
        <v>79.956253051999994</v>
      </c>
      <c r="E1779">
        <v>50</v>
      </c>
      <c r="F1779">
        <v>45.968193053999997</v>
      </c>
      <c r="G1779">
        <v>1794.0739745999999</v>
      </c>
      <c r="H1779">
        <v>1667.1918945</v>
      </c>
      <c r="I1779">
        <v>893.26934814000003</v>
      </c>
      <c r="J1779">
        <v>696.57379149999997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1523.542246</v>
      </c>
      <c r="B1780" s="1">
        <f>DATE(2014,7,2) + TIME(13,0,50)</f>
        <v>41822.542245370372</v>
      </c>
      <c r="C1780">
        <v>80</v>
      </c>
      <c r="D1780">
        <v>79.956329346000004</v>
      </c>
      <c r="E1780">
        <v>50</v>
      </c>
      <c r="F1780">
        <v>45.895565032999997</v>
      </c>
      <c r="G1780">
        <v>1793.9868164</v>
      </c>
      <c r="H1780">
        <v>1667.112793</v>
      </c>
      <c r="I1780">
        <v>892.87518310999997</v>
      </c>
      <c r="J1780">
        <v>696.04278564000003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1525.16399</v>
      </c>
      <c r="B1781" s="1">
        <f>DATE(2014,7,4) + TIME(3,56,8)</f>
        <v>41824.163981481484</v>
      </c>
      <c r="C1781">
        <v>80</v>
      </c>
      <c r="D1781">
        <v>79.956359863000003</v>
      </c>
      <c r="E1781">
        <v>50</v>
      </c>
      <c r="F1781">
        <v>45.814132690000001</v>
      </c>
      <c r="G1781">
        <v>1793.8619385</v>
      </c>
      <c r="H1781">
        <v>1666.9973144999999</v>
      </c>
      <c r="I1781">
        <v>892.43444824000005</v>
      </c>
      <c r="J1781">
        <v>695.45074463000003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1526.8262609999999</v>
      </c>
      <c r="B1782" s="1">
        <f>DATE(2014,7,5) + TIME(19,49,48)</f>
        <v>41825.826249999998</v>
      </c>
      <c r="C1782">
        <v>80</v>
      </c>
      <c r="D1782">
        <v>79.956367493000002</v>
      </c>
      <c r="E1782">
        <v>50</v>
      </c>
      <c r="F1782">
        <v>45.727130889999998</v>
      </c>
      <c r="G1782">
        <v>1793.6966553</v>
      </c>
      <c r="H1782">
        <v>1666.8416748</v>
      </c>
      <c r="I1782">
        <v>891.98559569999998</v>
      </c>
      <c r="J1782">
        <v>694.83416748000002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1528.4912859999999</v>
      </c>
      <c r="B1783" s="1">
        <f>DATE(2014,7,7) + TIME(11,47,27)</f>
        <v>41827.491284722222</v>
      </c>
      <c r="C1783">
        <v>80</v>
      </c>
      <c r="D1783">
        <v>79.956375121999997</v>
      </c>
      <c r="E1783">
        <v>50</v>
      </c>
      <c r="F1783">
        <v>45.637073516999997</v>
      </c>
      <c r="G1783">
        <v>1793.4975586</v>
      </c>
      <c r="H1783">
        <v>1666.6519774999999</v>
      </c>
      <c r="I1783">
        <v>891.53747558999999</v>
      </c>
      <c r="J1783">
        <v>694.20611571999996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1530.168087</v>
      </c>
      <c r="B1784" s="1">
        <f>DATE(2014,7,9) + TIME(4,2,2)</f>
        <v>41829.168078703704</v>
      </c>
      <c r="C1784">
        <v>80</v>
      </c>
      <c r="D1784">
        <v>79.956382751000007</v>
      </c>
      <c r="E1784">
        <v>50</v>
      </c>
      <c r="F1784">
        <v>45.545387267999999</v>
      </c>
      <c r="G1784">
        <v>1793.2722168</v>
      </c>
      <c r="H1784">
        <v>1666.4356689000001</v>
      </c>
      <c r="I1784">
        <v>891.09429932</v>
      </c>
      <c r="J1784">
        <v>693.57293701000003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1531.8664060000001</v>
      </c>
      <c r="B1785" s="1">
        <f>DATE(2014,7,10) + TIME(20,47,37)</f>
        <v>41830.866400462961</v>
      </c>
      <c r="C1785">
        <v>80</v>
      </c>
      <c r="D1785">
        <v>79.95640564</v>
      </c>
      <c r="E1785">
        <v>50</v>
      </c>
      <c r="F1785">
        <v>45.452163696</v>
      </c>
      <c r="G1785">
        <v>1793.0238036999999</v>
      </c>
      <c r="H1785">
        <v>1666.1959228999999</v>
      </c>
      <c r="I1785">
        <v>890.65338135000002</v>
      </c>
      <c r="J1785">
        <v>692.93231201000003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1533.596374</v>
      </c>
      <c r="B1786" s="1">
        <f>DATE(2014,7,12) + TIME(14,18,46)</f>
        <v>41832.596365740741</v>
      </c>
      <c r="C1786">
        <v>80</v>
      </c>
      <c r="D1786">
        <v>79.956436156999999</v>
      </c>
      <c r="E1786">
        <v>50</v>
      </c>
      <c r="F1786">
        <v>45.357044219999999</v>
      </c>
      <c r="G1786">
        <v>1792.7532959</v>
      </c>
      <c r="H1786">
        <v>1665.9338379000001</v>
      </c>
      <c r="I1786">
        <v>890.21112060999997</v>
      </c>
      <c r="J1786">
        <v>692.27954102000001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1535.367477</v>
      </c>
      <c r="B1787" s="1">
        <f>DATE(2014,7,14) + TIME(8,49,10)</f>
        <v>41834.367476851854</v>
      </c>
      <c r="C1787">
        <v>80</v>
      </c>
      <c r="D1787">
        <v>79.956466675000001</v>
      </c>
      <c r="E1787">
        <v>50</v>
      </c>
      <c r="F1787">
        <v>45.259529114000003</v>
      </c>
      <c r="G1787">
        <v>1792.4604492000001</v>
      </c>
      <c r="H1787">
        <v>1665.6492920000001</v>
      </c>
      <c r="I1787">
        <v>889.76367187999995</v>
      </c>
      <c r="J1787">
        <v>691.609375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1537.1753799999999</v>
      </c>
      <c r="B1788" s="1">
        <f>DATE(2014,7,16) + TIME(4,12,32)</f>
        <v>41836.175370370373</v>
      </c>
      <c r="C1788">
        <v>80</v>
      </c>
      <c r="D1788">
        <v>79.956504821999999</v>
      </c>
      <c r="E1788">
        <v>50</v>
      </c>
      <c r="F1788">
        <v>45.159301757999998</v>
      </c>
      <c r="G1788">
        <v>1792.1456298999999</v>
      </c>
      <c r="H1788">
        <v>1665.3424072</v>
      </c>
      <c r="I1788">
        <v>889.30749512</v>
      </c>
      <c r="J1788">
        <v>690.91729736000002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1539.025118</v>
      </c>
      <c r="B1789" s="1">
        <f>DATE(2014,7,18) + TIME(0,36,10)</f>
        <v>41838.02511574074</v>
      </c>
      <c r="C1789">
        <v>80</v>
      </c>
      <c r="D1789">
        <v>79.956542968999997</v>
      </c>
      <c r="E1789">
        <v>50</v>
      </c>
      <c r="F1789">
        <v>45.056259154999999</v>
      </c>
      <c r="G1789">
        <v>1791.8089600000001</v>
      </c>
      <c r="H1789">
        <v>1665.0135498</v>
      </c>
      <c r="I1789">
        <v>888.84143066000001</v>
      </c>
      <c r="J1789">
        <v>690.20117187999995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1540.887039</v>
      </c>
      <c r="B1790" s="1">
        <f>DATE(2014,7,19) + TIME(21,17,20)</f>
        <v>41839.887037037035</v>
      </c>
      <c r="C1790">
        <v>80</v>
      </c>
      <c r="D1790">
        <v>79.956581115999995</v>
      </c>
      <c r="E1790">
        <v>50</v>
      </c>
      <c r="F1790">
        <v>44.950725554999998</v>
      </c>
      <c r="G1790">
        <v>1791.4533690999999</v>
      </c>
      <c r="H1790">
        <v>1664.6656493999999</v>
      </c>
      <c r="I1790">
        <v>888.36364746000004</v>
      </c>
      <c r="J1790">
        <v>689.45965576000003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1542.7676980000001</v>
      </c>
      <c r="B1791" s="1">
        <f>DATE(2014,7,21) + TIME(18,25,29)</f>
        <v>41841.767696759256</v>
      </c>
      <c r="C1791">
        <v>80</v>
      </c>
      <c r="D1791">
        <v>79.956619262999993</v>
      </c>
      <c r="E1791">
        <v>50</v>
      </c>
      <c r="F1791">
        <v>44.843399048000002</v>
      </c>
      <c r="G1791">
        <v>1791.0812988</v>
      </c>
      <c r="H1791">
        <v>1664.3007812000001</v>
      </c>
      <c r="I1791">
        <v>887.87817383000004</v>
      </c>
      <c r="J1791">
        <v>688.69818114999998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1544.675798</v>
      </c>
      <c r="B1792" s="1">
        <f>DATE(2014,7,23) + TIME(16,13,8)</f>
        <v>41843.675787037035</v>
      </c>
      <c r="C1792">
        <v>80</v>
      </c>
      <c r="D1792">
        <v>79.956665039000001</v>
      </c>
      <c r="E1792">
        <v>50</v>
      </c>
      <c r="F1792">
        <v>44.734191895000002</v>
      </c>
      <c r="G1792">
        <v>1790.6934814000001</v>
      </c>
      <c r="H1792">
        <v>1663.9200439000001</v>
      </c>
      <c r="I1792">
        <v>887.38342284999999</v>
      </c>
      <c r="J1792">
        <v>687.91455078000001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1546.6209490000001</v>
      </c>
      <c r="B1793" s="1">
        <f>DATE(2014,7,25) + TIME(14,54,9)</f>
        <v>41845.620937500003</v>
      </c>
      <c r="C1793">
        <v>80</v>
      </c>
      <c r="D1793">
        <v>79.956718445000007</v>
      </c>
      <c r="E1793">
        <v>50</v>
      </c>
      <c r="F1793">
        <v>44.62273407</v>
      </c>
      <c r="G1793">
        <v>1790.2894286999999</v>
      </c>
      <c r="H1793">
        <v>1663.5228271000001</v>
      </c>
      <c r="I1793">
        <v>886.87646484000004</v>
      </c>
      <c r="J1793">
        <v>687.10485840000001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1548.597064</v>
      </c>
      <c r="B1794" s="1">
        <f>DATE(2014,7,27) + TIME(14,19,46)</f>
        <v>41847.597060185188</v>
      </c>
      <c r="C1794">
        <v>80</v>
      </c>
      <c r="D1794">
        <v>79.956771850999999</v>
      </c>
      <c r="E1794">
        <v>50</v>
      </c>
      <c r="F1794">
        <v>44.508785248000002</v>
      </c>
      <c r="G1794">
        <v>1789.8699951000001</v>
      </c>
      <c r="H1794">
        <v>1663.1099853999999</v>
      </c>
      <c r="I1794">
        <v>886.35443114999998</v>
      </c>
      <c r="J1794">
        <v>686.26507568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1550.6077780000001</v>
      </c>
      <c r="B1795" s="1">
        <f>DATE(2014,7,29) + TIME(14,35,11)</f>
        <v>41849.607766203706</v>
      </c>
      <c r="C1795">
        <v>80</v>
      </c>
      <c r="D1795">
        <v>79.956825256000002</v>
      </c>
      <c r="E1795">
        <v>50</v>
      </c>
      <c r="F1795">
        <v>44.392398833999998</v>
      </c>
      <c r="G1795">
        <v>1789.4354248</v>
      </c>
      <c r="H1795">
        <v>1662.6818848</v>
      </c>
      <c r="I1795">
        <v>885.81744385000002</v>
      </c>
      <c r="J1795">
        <v>685.39520263999998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1552.6372140000001</v>
      </c>
      <c r="B1796" s="1">
        <f>DATE(2014,7,31) + TIME(15,17,35)</f>
        <v>41851.63721064815</v>
      </c>
      <c r="C1796">
        <v>80</v>
      </c>
      <c r="D1796">
        <v>79.956878661999994</v>
      </c>
      <c r="E1796">
        <v>50</v>
      </c>
      <c r="F1796">
        <v>44.273780823000003</v>
      </c>
      <c r="G1796">
        <v>1788.9881591999999</v>
      </c>
      <c r="H1796">
        <v>1662.2409668</v>
      </c>
      <c r="I1796">
        <v>885.26434326000003</v>
      </c>
      <c r="J1796">
        <v>684.49444579999999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1553</v>
      </c>
      <c r="B1797" s="1">
        <f>DATE(2014,8,1) + TIME(0,0,0)</f>
        <v>41852</v>
      </c>
      <c r="C1797">
        <v>80</v>
      </c>
      <c r="D1797">
        <v>79.956809997999997</v>
      </c>
      <c r="E1797">
        <v>50</v>
      </c>
      <c r="F1797">
        <v>44.220439911</v>
      </c>
      <c r="G1797">
        <v>1788.8698730000001</v>
      </c>
      <c r="H1797">
        <v>1662.1259766000001</v>
      </c>
      <c r="I1797">
        <v>884.85192871000004</v>
      </c>
      <c r="J1797">
        <v>683.92224121000004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1555.0444669999999</v>
      </c>
      <c r="B1798" s="1">
        <f>DATE(2014,8,3) + TIME(1,4,1)</f>
        <v>41854.044456018521</v>
      </c>
      <c r="C1798">
        <v>80</v>
      </c>
      <c r="D1798">
        <v>79.956924438000001</v>
      </c>
      <c r="E1798">
        <v>50</v>
      </c>
      <c r="F1798">
        <v>44.123126984000002</v>
      </c>
      <c r="G1798">
        <v>1788.4195557</v>
      </c>
      <c r="H1798">
        <v>1661.6798096</v>
      </c>
      <c r="I1798">
        <v>884.56567383000004</v>
      </c>
      <c r="J1798">
        <v>683.34051513999998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1557.1191839999999</v>
      </c>
      <c r="B1799" s="1">
        <f>DATE(2014,8,5) + TIME(2,51,37)</f>
        <v>41856.11917824074</v>
      </c>
      <c r="C1799">
        <v>80</v>
      </c>
      <c r="D1799">
        <v>79.957008361999996</v>
      </c>
      <c r="E1799">
        <v>50</v>
      </c>
      <c r="F1799">
        <v>44.007617949999997</v>
      </c>
      <c r="G1799">
        <v>1787.9638672000001</v>
      </c>
      <c r="H1799">
        <v>1661.2294922000001</v>
      </c>
      <c r="I1799">
        <v>884.01110840000001</v>
      </c>
      <c r="J1799">
        <v>682.43041991999996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1559.2288599999999</v>
      </c>
      <c r="B1800" s="1">
        <f>DATE(2014,8,7) + TIME(5,29,33)</f>
        <v>41858.228854166664</v>
      </c>
      <c r="C1800">
        <v>80</v>
      </c>
      <c r="D1800">
        <v>79.957069396999998</v>
      </c>
      <c r="E1800">
        <v>50</v>
      </c>
      <c r="F1800">
        <v>43.885513306</v>
      </c>
      <c r="G1800">
        <v>1787.4890137</v>
      </c>
      <c r="H1800">
        <v>1660.7601318</v>
      </c>
      <c r="I1800">
        <v>883.42211913999995</v>
      </c>
      <c r="J1800">
        <v>681.45642090000001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1561.3780750000001</v>
      </c>
      <c r="B1801" s="1">
        <f>DATE(2014,8,9) + TIME(9,4,25)</f>
        <v>41860.378067129626</v>
      </c>
      <c r="C1801">
        <v>80</v>
      </c>
      <c r="D1801">
        <v>79.957130432</v>
      </c>
      <c r="E1801">
        <v>50</v>
      </c>
      <c r="F1801">
        <v>43.759983063</v>
      </c>
      <c r="G1801">
        <v>1786.9984131000001</v>
      </c>
      <c r="H1801">
        <v>1660.2750243999999</v>
      </c>
      <c r="I1801">
        <v>882.81298828000001</v>
      </c>
      <c r="J1801">
        <v>680.44268798999997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1563.5590729999999</v>
      </c>
      <c r="B1802" s="1">
        <f>DATE(2014,8,11) + TIME(13,25,3)</f>
        <v>41862.559062499997</v>
      </c>
      <c r="C1802">
        <v>80</v>
      </c>
      <c r="D1802">
        <v>79.957191467000001</v>
      </c>
      <c r="E1802">
        <v>50</v>
      </c>
      <c r="F1802">
        <v>43.631984711000001</v>
      </c>
      <c r="G1802">
        <v>1786.4954834</v>
      </c>
      <c r="H1802">
        <v>1659.7773437999999</v>
      </c>
      <c r="I1802">
        <v>882.18536376999998</v>
      </c>
      <c r="J1802">
        <v>679.39379883000004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1565.7752889999999</v>
      </c>
      <c r="B1803" s="1">
        <f>DATE(2014,8,13) + TIME(18,36,24)</f>
        <v>41864.775277777779</v>
      </c>
      <c r="C1803">
        <v>80</v>
      </c>
      <c r="D1803">
        <v>79.957252502000003</v>
      </c>
      <c r="E1803">
        <v>50</v>
      </c>
      <c r="F1803">
        <v>43.502040862999998</v>
      </c>
      <c r="G1803">
        <v>1785.9810791</v>
      </c>
      <c r="H1803">
        <v>1659.2680664</v>
      </c>
      <c r="I1803">
        <v>881.54211425999995</v>
      </c>
      <c r="J1803">
        <v>678.31402588000003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1568.0025929999999</v>
      </c>
      <c r="B1804" s="1">
        <f>DATE(2014,8,16) + TIME(0,3,44)</f>
        <v>41867.002592592595</v>
      </c>
      <c r="C1804">
        <v>80</v>
      </c>
      <c r="D1804">
        <v>79.957313537999994</v>
      </c>
      <c r="E1804">
        <v>50</v>
      </c>
      <c r="F1804">
        <v>43.370685577000003</v>
      </c>
      <c r="G1804">
        <v>1785.4594727000001</v>
      </c>
      <c r="H1804">
        <v>1658.7513428</v>
      </c>
      <c r="I1804">
        <v>880.88378906000003</v>
      </c>
      <c r="J1804">
        <v>677.20544433999999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1570.252647</v>
      </c>
      <c r="B1805" s="1">
        <f>DATE(2014,8,18) + TIME(6,3,48)</f>
        <v>41869.252638888887</v>
      </c>
      <c r="C1805">
        <v>80</v>
      </c>
      <c r="D1805">
        <v>79.957382202000005</v>
      </c>
      <c r="E1805">
        <v>50</v>
      </c>
      <c r="F1805">
        <v>43.238704681000002</v>
      </c>
      <c r="G1805">
        <v>1784.9305420000001</v>
      </c>
      <c r="H1805">
        <v>1658.2271728999999</v>
      </c>
      <c r="I1805">
        <v>880.21722411999997</v>
      </c>
      <c r="J1805">
        <v>676.07769774999997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1572.5344009999999</v>
      </c>
      <c r="B1806" s="1">
        <f>DATE(2014,8,20) + TIME(12,49,32)</f>
        <v>41871.534398148149</v>
      </c>
      <c r="C1806">
        <v>80</v>
      </c>
      <c r="D1806">
        <v>79.957450867000006</v>
      </c>
      <c r="E1806">
        <v>50</v>
      </c>
      <c r="F1806">
        <v>43.106006622000002</v>
      </c>
      <c r="G1806">
        <v>1784.3935547000001</v>
      </c>
      <c r="H1806">
        <v>1657.6948242000001</v>
      </c>
      <c r="I1806">
        <v>879.54125977000001</v>
      </c>
      <c r="J1806">
        <v>674.92938231999995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1574.8380279999999</v>
      </c>
      <c r="B1807" s="1">
        <f>DATE(2014,8,22) + TIME(20,6,45)</f>
        <v>41873.838020833333</v>
      </c>
      <c r="C1807">
        <v>80</v>
      </c>
      <c r="D1807">
        <v>79.957511901999993</v>
      </c>
      <c r="E1807">
        <v>50</v>
      </c>
      <c r="F1807">
        <v>42.972629546999997</v>
      </c>
      <c r="G1807">
        <v>1783.8500977000001</v>
      </c>
      <c r="H1807">
        <v>1657.1558838000001</v>
      </c>
      <c r="I1807">
        <v>878.85479736000002</v>
      </c>
      <c r="J1807">
        <v>673.75933838000003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1577.1711009999999</v>
      </c>
      <c r="B1808" s="1">
        <f>DATE(2014,8,25) + TIME(4,6,23)</f>
        <v>41876.171099537038</v>
      </c>
      <c r="C1808">
        <v>80</v>
      </c>
      <c r="D1808">
        <v>79.957580566000004</v>
      </c>
      <c r="E1808">
        <v>50</v>
      </c>
      <c r="F1808">
        <v>42.838947296000001</v>
      </c>
      <c r="G1808">
        <v>1783.2996826000001</v>
      </c>
      <c r="H1808">
        <v>1656.6096190999999</v>
      </c>
      <c r="I1808">
        <v>878.16149901999995</v>
      </c>
      <c r="J1808">
        <v>672.57263183999999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1579.5436239999999</v>
      </c>
      <c r="B1809" s="1">
        <f>DATE(2014,8,27) + TIME(13,2,49)</f>
        <v>41878.543622685182</v>
      </c>
      <c r="C1809">
        <v>80</v>
      </c>
      <c r="D1809">
        <v>79.95765686</v>
      </c>
      <c r="E1809">
        <v>50</v>
      </c>
      <c r="F1809">
        <v>42.704910278</v>
      </c>
      <c r="G1809">
        <v>1782.7407227000001</v>
      </c>
      <c r="H1809">
        <v>1656.0549315999999</v>
      </c>
      <c r="I1809">
        <v>877.46105956999997</v>
      </c>
      <c r="J1809">
        <v>671.36901854999996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1581.965457</v>
      </c>
      <c r="B1810" s="1">
        <f>DATE(2014,8,29) + TIME(23,10,15)</f>
        <v>41880.965451388889</v>
      </c>
      <c r="C1810">
        <v>80</v>
      </c>
      <c r="D1810">
        <v>79.957725525000001</v>
      </c>
      <c r="E1810">
        <v>50</v>
      </c>
      <c r="F1810">
        <v>42.570335387999997</v>
      </c>
      <c r="G1810">
        <v>1782.171875</v>
      </c>
      <c r="H1810">
        <v>1655.4901123</v>
      </c>
      <c r="I1810">
        <v>876.75256348000005</v>
      </c>
      <c r="J1810">
        <v>670.14672852000001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1584</v>
      </c>
      <c r="B1811" s="1">
        <f>DATE(2014,9,1) + TIME(0,0,0)</f>
        <v>41883</v>
      </c>
      <c r="C1811">
        <v>80</v>
      </c>
      <c r="D1811">
        <v>79.957763671999999</v>
      </c>
      <c r="E1811">
        <v>50</v>
      </c>
      <c r="F1811">
        <v>42.441719055</v>
      </c>
      <c r="G1811">
        <v>1781.6638184000001</v>
      </c>
      <c r="H1811">
        <v>1654.9858397999999</v>
      </c>
      <c r="I1811">
        <v>876.04052734000004</v>
      </c>
      <c r="J1811">
        <v>668.93365478999999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1586.4406610000001</v>
      </c>
      <c r="B1812" s="1">
        <f>DATE(2014,9,3) + TIME(10,34,33)</f>
        <v>41885.440659722219</v>
      </c>
      <c r="C1812">
        <v>80</v>
      </c>
      <c r="D1812">
        <v>79.957855225000003</v>
      </c>
      <c r="E1812">
        <v>50</v>
      </c>
      <c r="F1812">
        <v>42.320381165000001</v>
      </c>
      <c r="G1812">
        <v>1781.0992432</v>
      </c>
      <c r="H1812">
        <v>1654.4245605000001</v>
      </c>
      <c r="I1812">
        <v>875.42852783000001</v>
      </c>
      <c r="J1812">
        <v>667.84545897999999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1588.916039</v>
      </c>
      <c r="B1813" s="1">
        <f>DATE(2014,9,5) + TIME(21,59,5)</f>
        <v>41887.916030092594</v>
      </c>
      <c r="C1813">
        <v>80</v>
      </c>
      <c r="D1813">
        <v>79.957939147999994</v>
      </c>
      <c r="E1813">
        <v>50</v>
      </c>
      <c r="F1813">
        <v>42.191730499000002</v>
      </c>
      <c r="G1813">
        <v>1780.5251464999999</v>
      </c>
      <c r="H1813">
        <v>1653.854126</v>
      </c>
      <c r="I1813">
        <v>874.73052978999999</v>
      </c>
      <c r="J1813">
        <v>666.63232421999999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1591.415021</v>
      </c>
      <c r="B1814" s="1">
        <f>DATE(2014,9,8) + TIME(9,57,37)</f>
        <v>41890.415011574078</v>
      </c>
      <c r="C1814">
        <v>80</v>
      </c>
      <c r="D1814">
        <v>79.958007812000005</v>
      </c>
      <c r="E1814">
        <v>50</v>
      </c>
      <c r="F1814">
        <v>42.062534331999998</v>
      </c>
      <c r="G1814">
        <v>1779.942749</v>
      </c>
      <c r="H1814">
        <v>1653.2751464999999</v>
      </c>
      <c r="I1814">
        <v>874.02703856999995</v>
      </c>
      <c r="J1814">
        <v>665.40301513999998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1593.9488100000001</v>
      </c>
      <c r="B1815" s="1">
        <f>DATE(2014,9,10) + TIME(22,46,17)</f>
        <v>41892.948807870373</v>
      </c>
      <c r="C1815">
        <v>80</v>
      </c>
      <c r="D1815">
        <v>79.958076477000006</v>
      </c>
      <c r="E1815">
        <v>50</v>
      </c>
      <c r="F1815">
        <v>41.935028076000002</v>
      </c>
      <c r="G1815">
        <v>1779.3525391000001</v>
      </c>
      <c r="H1815">
        <v>1652.6883545000001</v>
      </c>
      <c r="I1815">
        <v>873.32983397999999</v>
      </c>
      <c r="J1815">
        <v>664.17864989999998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1596.5283890000001</v>
      </c>
      <c r="B1816" s="1">
        <f>DATE(2014,9,13) + TIME(12,40,52)</f>
        <v>41895.528379629628</v>
      </c>
      <c r="C1816">
        <v>80</v>
      </c>
      <c r="D1816">
        <v>79.958152771000002</v>
      </c>
      <c r="E1816">
        <v>50</v>
      </c>
      <c r="F1816">
        <v>41.809722899999997</v>
      </c>
      <c r="G1816">
        <v>1778.7537841999999</v>
      </c>
      <c r="H1816">
        <v>1652.0928954999999</v>
      </c>
      <c r="I1816">
        <v>872.64038086000005</v>
      </c>
      <c r="J1816">
        <v>662.96289062000005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1599.1644550000001</v>
      </c>
      <c r="B1817" s="1">
        <f>DATE(2014,9,16) + TIME(3,56,48)</f>
        <v>41898.164444444446</v>
      </c>
      <c r="C1817">
        <v>80</v>
      </c>
      <c r="D1817">
        <v>79.958229064999998</v>
      </c>
      <c r="E1817">
        <v>50</v>
      </c>
      <c r="F1817">
        <v>41.686828613000003</v>
      </c>
      <c r="G1817">
        <v>1778.1448975000001</v>
      </c>
      <c r="H1817">
        <v>1651.4873047000001</v>
      </c>
      <c r="I1817">
        <v>871.95928954999999</v>
      </c>
      <c r="J1817">
        <v>661.75726318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1601.82591</v>
      </c>
      <c r="B1818" s="1">
        <f>DATE(2014,9,18) + TIME(19,49,18)</f>
        <v>41900.825902777775</v>
      </c>
      <c r="C1818">
        <v>80</v>
      </c>
      <c r="D1818">
        <v>79.958305358999993</v>
      </c>
      <c r="E1818">
        <v>50</v>
      </c>
      <c r="F1818">
        <v>41.567024230999998</v>
      </c>
      <c r="G1818">
        <v>1777.5307617000001</v>
      </c>
      <c r="H1818">
        <v>1650.8762207</v>
      </c>
      <c r="I1818">
        <v>871.28753661999997</v>
      </c>
      <c r="J1818">
        <v>660.56549071999996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1604.497147</v>
      </c>
      <c r="B1819" s="1">
        <f>DATE(2014,9,21) + TIME(11,55,53)</f>
        <v>41903.497141203705</v>
      </c>
      <c r="C1819">
        <v>80</v>
      </c>
      <c r="D1819">
        <v>79.958381653000004</v>
      </c>
      <c r="E1819">
        <v>50</v>
      </c>
      <c r="F1819">
        <v>41.451976776000002</v>
      </c>
      <c r="G1819">
        <v>1776.9144286999999</v>
      </c>
      <c r="H1819">
        <v>1650.2630615</v>
      </c>
      <c r="I1819">
        <v>870.63623046999999</v>
      </c>
      <c r="J1819">
        <v>659.40631103999999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1607.188398</v>
      </c>
      <c r="B1820" s="1">
        <f>DATE(2014,9,24) + TIME(4,31,17)</f>
        <v>41906.188391203701</v>
      </c>
      <c r="C1820">
        <v>80</v>
      </c>
      <c r="D1820">
        <v>79.958457946999999</v>
      </c>
      <c r="E1820">
        <v>50</v>
      </c>
      <c r="F1820">
        <v>41.342845916999998</v>
      </c>
      <c r="G1820">
        <v>1776.2956543</v>
      </c>
      <c r="H1820">
        <v>1649.6470947</v>
      </c>
      <c r="I1820">
        <v>870.01287841999999</v>
      </c>
      <c r="J1820">
        <v>658.29266356999995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1609.9102419999999</v>
      </c>
      <c r="B1821" s="1">
        <f>DATE(2014,9,26) + TIME(21,50,44)</f>
        <v>41908.910231481481</v>
      </c>
      <c r="C1821">
        <v>80</v>
      </c>
      <c r="D1821">
        <v>79.958534240999995</v>
      </c>
      <c r="E1821">
        <v>50</v>
      </c>
      <c r="F1821">
        <v>41.240142822000003</v>
      </c>
      <c r="G1821">
        <v>1775.6730957</v>
      </c>
      <c r="H1821">
        <v>1649.0273437999999</v>
      </c>
      <c r="I1821">
        <v>869.41882324000005</v>
      </c>
      <c r="J1821">
        <v>657.22833251999998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1612.6746639999999</v>
      </c>
      <c r="B1822" s="1">
        <f>DATE(2014,9,29) + TIME(16,11,30)</f>
        <v>41911.67465277778</v>
      </c>
      <c r="C1822">
        <v>80</v>
      </c>
      <c r="D1822">
        <v>79.958610535000005</v>
      </c>
      <c r="E1822">
        <v>50</v>
      </c>
      <c r="F1822">
        <v>41.144294739000003</v>
      </c>
      <c r="G1822">
        <v>1775.0446777</v>
      </c>
      <c r="H1822">
        <v>1648.4016113</v>
      </c>
      <c r="I1822">
        <v>868.85510253999996</v>
      </c>
      <c r="J1822">
        <v>656.21643066000001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1614</v>
      </c>
      <c r="B1823" s="1">
        <f>DATE(2014,10,1) + TIME(0,0,0)</f>
        <v>41913</v>
      </c>
      <c r="C1823">
        <v>80</v>
      </c>
      <c r="D1823">
        <v>79.958587645999998</v>
      </c>
      <c r="E1823">
        <v>50</v>
      </c>
      <c r="F1823">
        <v>41.072978972999998</v>
      </c>
      <c r="G1823">
        <v>1774.6898193</v>
      </c>
      <c r="H1823">
        <v>1648.0488281</v>
      </c>
      <c r="I1823">
        <v>868.33331298999997</v>
      </c>
      <c r="J1823">
        <v>655.33990478999999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1616.8190340000001</v>
      </c>
      <c r="B1824" s="1">
        <f>DATE(2014,10,3) + TIME(19,39,24)</f>
        <v>41915.819027777776</v>
      </c>
      <c r="C1824">
        <v>80</v>
      </c>
      <c r="D1824">
        <v>79.958724975999999</v>
      </c>
      <c r="E1824">
        <v>50</v>
      </c>
      <c r="F1824">
        <v>41.011741637999997</v>
      </c>
      <c r="G1824">
        <v>1774.0701904</v>
      </c>
      <c r="H1824">
        <v>1647.4310303</v>
      </c>
      <c r="I1824">
        <v>868.07226562000005</v>
      </c>
      <c r="J1824">
        <v>654.79693603999999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1619.6906269999999</v>
      </c>
      <c r="B1825" s="1">
        <f>DATE(2014,10,6) + TIME(16,34,30)</f>
        <v>41918.690625000003</v>
      </c>
      <c r="C1825">
        <v>80</v>
      </c>
      <c r="D1825">
        <v>79.958816528</v>
      </c>
      <c r="E1825">
        <v>50</v>
      </c>
      <c r="F1825">
        <v>40.941352844000001</v>
      </c>
      <c r="G1825">
        <v>1773.4428711</v>
      </c>
      <c r="H1825">
        <v>1646.8061522999999</v>
      </c>
      <c r="I1825">
        <v>867.61383057</v>
      </c>
      <c r="J1825">
        <v>653.98162841999999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1622.592429</v>
      </c>
      <c r="B1826" s="1">
        <f>DATE(2014,10,9) + TIME(14,13,5)</f>
        <v>41921.592418981483</v>
      </c>
      <c r="C1826">
        <v>80</v>
      </c>
      <c r="D1826">
        <v>79.958900451999995</v>
      </c>
      <c r="E1826">
        <v>50</v>
      </c>
      <c r="F1826">
        <v>40.876937865999999</v>
      </c>
      <c r="G1826">
        <v>1772.8038329999999</v>
      </c>
      <c r="H1826">
        <v>1646.1696777</v>
      </c>
      <c r="I1826">
        <v>867.17669678000004</v>
      </c>
      <c r="J1826">
        <v>653.20593262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1625.5144929999999</v>
      </c>
      <c r="B1827" s="1">
        <f>DATE(2014,10,12) + TIME(12,20,52)</f>
        <v>41924.514490740738</v>
      </c>
      <c r="C1827">
        <v>80</v>
      </c>
      <c r="D1827">
        <v>79.958976746000005</v>
      </c>
      <c r="E1827">
        <v>50</v>
      </c>
      <c r="F1827">
        <v>40.823093413999999</v>
      </c>
      <c r="G1827">
        <v>1772.1591797000001</v>
      </c>
      <c r="H1827">
        <v>1645.5272216999999</v>
      </c>
      <c r="I1827">
        <v>866.78308104999996</v>
      </c>
      <c r="J1827">
        <v>652.51226807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1628.468118</v>
      </c>
      <c r="B1828" s="1">
        <f>DATE(2014,10,15) + TIME(11,14,5)</f>
        <v>41927.468113425923</v>
      </c>
      <c r="C1828">
        <v>80</v>
      </c>
      <c r="D1828">
        <v>79.959053040000001</v>
      </c>
      <c r="E1828">
        <v>50</v>
      </c>
      <c r="F1828">
        <v>40.781574249000002</v>
      </c>
      <c r="G1828">
        <v>1771.5096435999999</v>
      </c>
      <c r="H1828">
        <v>1644.8800048999999</v>
      </c>
      <c r="I1828">
        <v>866.43890381000006</v>
      </c>
      <c r="J1828">
        <v>651.91400146000001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1631.4651019999999</v>
      </c>
      <c r="B1829" s="1">
        <f>DATE(2014,10,18) + TIME(11,9,44)</f>
        <v>41930.465092592596</v>
      </c>
      <c r="C1829">
        <v>80</v>
      </c>
      <c r="D1829">
        <v>79.959129333000007</v>
      </c>
      <c r="E1829">
        <v>50</v>
      </c>
      <c r="F1829">
        <v>40.753257751</v>
      </c>
      <c r="G1829">
        <v>1770.8548584</v>
      </c>
      <c r="H1829">
        <v>1644.2274170000001</v>
      </c>
      <c r="I1829">
        <v>866.14459228999999</v>
      </c>
      <c r="J1829">
        <v>651.41497803000004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1634.5016579999999</v>
      </c>
      <c r="B1830" s="1">
        <f>DATE(2014,10,21) + TIME(12,2,23)</f>
        <v>41933.501655092594</v>
      </c>
      <c r="C1830">
        <v>80</v>
      </c>
      <c r="D1830">
        <v>79.959213257000002</v>
      </c>
      <c r="E1830">
        <v>50</v>
      </c>
      <c r="F1830">
        <v>40.739044188999998</v>
      </c>
      <c r="G1830">
        <v>1770.1956786999999</v>
      </c>
      <c r="H1830">
        <v>1643.5703125</v>
      </c>
      <c r="I1830">
        <v>865.89996338000003</v>
      </c>
      <c r="J1830">
        <v>651.01788329999999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1637.570911</v>
      </c>
      <c r="B1831" s="1">
        <f>DATE(2014,10,24) + TIME(13,42,6)</f>
        <v>41936.570902777778</v>
      </c>
      <c r="C1831">
        <v>80</v>
      </c>
      <c r="D1831">
        <v>79.959297179999993</v>
      </c>
      <c r="E1831">
        <v>50</v>
      </c>
      <c r="F1831">
        <v>40.739784241000002</v>
      </c>
      <c r="G1831">
        <v>1769.5336914</v>
      </c>
      <c r="H1831">
        <v>1642.9104004000001</v>
      </c>
      <c r="I1831">
        <v>865.70587158000001</v>
      </c>
      <c r="J1831">
        <v>650.72668456999997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1640.6522</v>
      </c>
      <c r="B1832" s="1">
        <f>DATE(2014,10,27) + TIME(15,39,10)</f>
        <v>41939.652199074073</v>
      </c>
      <c r="C1832">
        <v>80</v>
      </c>
      <c r="D1832">
        <v>79.959373474000003</v>
      </c>
      <c r="E1832">
        <v>50</v>
      </c>
      <c r="F1832">
        <v>40.756126404</v>
      </c>
      <c r="G1832">
        <v>1768.8728027</v>
      </c>
      <c r="H1832">
        <v>1642.2515868999999</v>
      </c>
      <c r="I1832">
        <v>865.56231689000003</v>
      </c>
      <c r="J1832">
        <v>650.54345703000001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1643.7380840000001</v>
      </c>
      <c r="B1833" s="1">
        <f>DATE(2014,10,30) + TIME(17,42,50)</f>
        <v>41942.738078703704</v>
      </c>
      <c r="C1833">
        <v>80</v>
      </c>
      <c r="D1833">
        <v>79.959457396999994</v>
      </c>
      <c r="E1833">
        <v>50</v>
      </c>
      <c r="F1833">
        <v>40.788295746000003</v>
      </c>
      <c r="G1833">
        <v>1768.2152100000001</v>
      </c>
      <c r="H1833">
        <v>1641.5958252</v>
      </c>
      <c r="I1833">
        <v>865.46881103999999</v>
      </c>
      <c r="J1833">
        <v>650.46826171999999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1645</v>
      </c>
      <c r="B1834" s="1">
        <f>DATE(2014,11,1) + TIME(0,0,0)</f>
        <v>41944</v>
      </c>
      <c r="C1834">
        <v>80</v>
      </c>
      <c r="D1834">
        <v>79.959434509000005</v>
      </c>
      <c r="E1834">
        <v>50</v>
      </c>
      <c r="F1834">
        <v>40.826072693</v>
      </c>
      <c r="G1834">
        <v>1767.9000243999999</v>
      </c>
      <c r="H1834">
        <v>1641.2821045000001</v>
      </c>
      <c r="I1834">
        <v>865.39935303000004</v>
      </c>
      <c r="J1834">
        <v>650.43823241999996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1645.0000010000001</v>
      </c>
      <c r="B1835" s="1">
        <f>DATE(2014,11,1) + TIME(0,0,0)</f>
        <v>41944</v>
      </c>
      <c r="C1835">
        <v>80</v>
      </c>
      <c r="D1835">
        <v>79.959403992000006</v>
      </c>
      <c r="E1835">
        <v>50</v>
      </c>
      <c r="F1835">
        <v>40.826095580999997</v>
      </c>
      <c r="G1835">
        <v>1641.2720947</v>
      </c>
      <c r="H1835">
        <v>1514.7490233999999</v>
      </c>
      <c r="I1835">
        <v>1080.1634521000001</v>
      </c>
      <c r="J1835">
        <v>865.40875243999994</v>
      </c>
      <c r="K1835">
        <v>0</v>
      </c>
      <c r="L1835">
        <v>2400</v>
      </c>
      <c r="M1835">
        <v>2400</v>
      </c>
      <c r="N1835">
        <v>0</v>
      </c>
    </row>
    <row r="1836" spans="1:14" x14ac:dyDescent="0.25">
      <c r="A1836">
        <v>1645.000004</v>
      </c>
      <c r="B1836" s="1">
        <f>DATE(2014,11,1) + TIME(0,0,0)</f>
        <v>41944</v>
      </c>
      <c r="C1836">
        <v>80</v>
      </c>
      <c r="D1836">
        <v>79.959312439000001</v>
      </c>
      <c r="E1836">
        <v>50</v>
      </c>
      <c r="F1836">
        <v>40.826168060000001</v>
      </c>
      <c r="G1836">
        <v>1641.2419434000001</v>
      </c>
      <c r="H1836">
        <v>1514.71875</v>
      </c>
      <c r="I1836">
        <v>1080.1926269999999</v>
      </c>
      <c r="J1836">
        <v>865.43688965000001</v>
      </c>
      <c r="K1836">
        <v>0</v>
      </c>
      <c r="L1836">
        <v>2400</v>
      </c>
      <c r="M1836">
        <v>2400</v>
      </c>
      <c r="N1836">
        <v>0</v>
      </c>
    </row>
    <row r="1837" spans="1:14" x14ac:dyDescent="0.25">
      <c r="A1837">
        <v>1645.0000130000001</v>
      </c>
      <c r="B1837" s="1">
        <f>DATE(2014,11,1) + TIME(0,0,1)</f>
        <v>41944.000011574077</v>
      </c>
      <c r="C1837">
        <v>80</v>
      </c>
      <c r="D1837">
        <v>79.959030150999993</v>
      </c>
      <c r="E1837">
        <v>50</v>
      </c>
      <c r="F1837">
        <v>40.826381683000001</v>
      </c>
      <c r="G1837">
        <v>1641.1519774999999</v>
      </c>
      <c r="H1837">
        <v>1514.6282959</v>
      </c>
      <c r="I1837">
        <v>1080.2803954999999</v>
      </c>
      <c r="J1837">
        <v>865.52130126999998</v>
      </c>
      <c r="K1837">
        <v>0</v>
      </c>
      <c r="L1837">
        <v>2400</v>
      </c>
      <c r="M1837">
        <v>2400</v>
      </c>
      <c r="N1837">
        <v>0</v>
      </c>
    </row>
    <row r="1838" spans="1:14" x14ac:dyDescent="0.25">
      <c r="A1838">
        <v>1645.0000399999999</v>
      </c>
      <c r="B1838" s="1">
        <f>DATE(2014,11,1) + TIME(0,0,3)</f>
        <v>41944.000034722223</v>
      </c>
      <c r="C1838">
        <v>80</v>
      </c>
      <c r="D1838">
        <v>79.958206176999994</v>
      </c>
      <c r="E1838">
        <v>50</v>
      </c>
      <c r="F1838">
        <v>40.827022552000003</v>
      </c>
      <c r="G1838">
        <v>1640.8822021000001</v>
      </c>
      <c r="H1838">
        <v>1514.3571777</v>
      </c>
      <c r="I1838">
        <v>1080.5433350000001</v>
      </c>
      <c r="J1838">
        <v>865.77429199000005</v>
      </c>
      <c r="K1838">
        <v>0</v>
      </c>
      <c r="L1838">
        <v>2400</v>
      </c>
      <c r="M1838">
        <v>2400</v>
      </c>
      <c r="N1838">
        <v>0</v>
      </c>
    </row>
    <row r="1839" spans="1:14" x14ac:dyDescent="0.25">
      <c r="A1839">
        <v>1645.000121</v>
      </c>
      <c r="B1839" s="1">
        <f>DATE(2014,11,1) + TIME(0,0,10)</f>
        <v>41944.000115740739</v>
      </c>
      <c r="C1839">
        <v>80</v>
      </c>
      <c r="D1839">
        <v>79.955734253000003</v>
      </c>
      <c r="E1839">
        <v>50</v>
      </c>
      <c r="F1839">
        <v>40.828941344999997</v>
      </c>
      <c r="G1839">
        <v>1640.0780029</v>
      </c>
      <c r="H1839">
        <v>1513.5488281</v>
      </c>
      <c r="I1839">
        <v>1081.3295897999999</v>
      </c>
      <c r="J1839">
        <v>866.53106689000003</v>
      </c>
      <c r="K1839">
        <v>0</v>
      </c>
      <c r="L1839">
        <v>2400</v>
      </c>
      <c r="M1839">
        <v>2400</v>
      </c>
      <c r="N1839">
        <v>0</v>
      </c>
    </row>
    <row r="1840" spans="1:14" x14ac:dyDescent="0.25">
      <c r="A1840">
        <v>1645.000364</v>
      </c>
      <c r="B1840" s="1">
        <f>DATE(2014,11,1) + TIME(0,0,31)</f>
        <v>41944.000358796293</v>
      </c>
      <c r="C1840">
        <v>80</v>
      </c>
      <c r="D1840">
        <v>79.948455811000002</v>
      </c>
      <c r="E1840">
        <v>50</v>
      </c>
      <c r="F1840">
        <v>40.834678650000001</v>
      </c>
      <c r="G1840">
        <v>1637.7067870999999</v>
      </c>
      <c r="H1840">
        <v>1511.1658935999999</v>
      </c>
      <c r="I1840">
        <v>1083.6645507999999</v>
      </c>
      <c r="J1840">
        <v>868.78173828000001</v>
      </c>
      <c r="K1840">
        <v>0</v>
      </c>
      <c r="L1840">
        <v>2400</v>
      </c>
      <c r="M1840">
        <v>2400</v>
      </c>
      <c r="N1840">
        <v>0</v>
      </c>
    </row>
    <row r="1841" spans="1:14" x14ac:dyDescent="0.25">
      <c r="A1841">
        <v>1645.0010930000001</v>
      </c>
      <c r="B1841" s="1">
        <f>DATE(2014,11,1) + TIME(0,1,34)</f>
        <v>41944.001087962963</v>
      </c>
      <c r="C1841">
        <v>80</v>
      </c>
      <c r="D1841">
        <v>79.927680968999994</v>
      </c>
      <c r="E1841">
        <v>50</v>
      </c>
      <c r="F1841">
        <v>40.851680756</v>
      </c>
      <c r="G1841">
        <v>1630.9444579999999</v>
      </c>
      <c r="H1841">
        <v>1504.369751</v>
      </c>
      <c r="I1841">
        <v>1090.4647216999999</v>
      </c>
      <c r="J1841">
        <v>875.36303711000005</v>
      </c>
      <c r="K1841">
        <v>0</v>
      </c>
      <c r="L1841">
        <v>2400</v>
      </c>
      <c r="M1841">
        <v>2400</v>
      </c>
      <c r="N1841">
        <v>0</v>
      </c>
    </row>
    <row r="1842" spans="1:14" x14ac:dyDescent="0.25">
      <c r="A1842">
        <v>1645.0032799999999</v>
      </c>
      <c r="B1842" s="1">
        <f>DATE(2014,11,1) + TIME(0,4,43)</f>
        <v>41944.003275462965</v>
      </c>
      <c r="C1842">
        <v>80</v>
      </c>
      <c r="D1842">
        <v>79.873397827000005</v>
      </c>
      <c r="E1842">
        <v>50</v>
      </c>
      <c r="F1842">
        <v>40.900905608999999</v>
      </c>
      <c r="G1842">
        <v>1613.2791748</v>
      </c>
      <c r="H1842">
        <v>1486.6181641000001</v>
      </c>
      <c r="I1842">
        <v>1109.2193603999999</v>
      </c>
      <c r="J1842">
        <v>893.69042968999997</v>
      </c>
      <c r="K1842">
        <v>0</v>
      </c>
      <c r="L1842">
        <v>2400</v>
      </c>
      <c r="M1842">
        <v>2400</v>
      </c>
      <c r="N1842">
        <v>0</v>
      </c>
    </row>
    <row r="1843" spans="1:14" x14ac:dyDescent="0.25">
      <c r="A1843">
        <v>1645.0098410000001</v>
      </c>
      <c r="B1843" s="1">
        <f>DATE(2014,11,1) + TIME(0,14,10)</f>
        <v>41944.009837962964</v>
      </c>
      <c r="C1843">
        <v>80</v>
      </c>
      <c r="D1843">
        <v>79.756454468000001</v>
      </c>
      <c r="E1843">
        <v>50</v>
      </c>
      <c r="F1843">
        <v>41.035804749</v>
      </c>
      <c r="G1843">
        <v>1575.2523193</v>
      </c>
      <c r="H1843">
        <v>1448.4112548999999</v>
      </c>
      <c r="I1843">
        <v>1154.4637451000001</v>
      </c>
      <c r="J1843">
        <v>938.67456055000002</v>
      </c>
      <c r="K1843">
        <v>0</v>
      </c>
      <c r="L1843">
        <v>2400</v>
      </c>
      <c r="M1843">
        <v>2400</v>
      </c>
      <c r="N1843">
        <v>0</v>
      </c>
    </row>
    <row r="1844" spans="1:14" x14ac:dyDescent="0.25">
      <c r="A1844">
        <v>1645.029524</v>
      </c>
      <c r="B1844" s="1">
        <f>DATE(2014,11,1) + TIME(0,42,30)</f>
        <v>41944.029513888891</v>
      </c>
      <c r="C1844">
        <v>80</v>
      </c>
      <c r="D1844">
        <v>79.572708129999995</v>
      </c>
      <c r="E1844">
        <v>50</v>
      </c>
      <c r="F1844">
        <v>41.367061614999997</v>
      </c>
      <c r="G1844">
        <v>1515.0495605000001</v>
      </c>
      <c r="H1844">
        <v>1387.9447021000001</v>
      </c>
      <c r="I1844">
        <v>1238.5706786999999</v>
      </c>
      <c r="J1844">
        <v>1023.9310913</v>
      </c>
      <c r="K1844">
        <v>0</v>
      </c>
      <c r="L1844">
        <v>2400</v>
      </c>
      <c r="M1844">
        <v>2400</v>
      </c>
      <c r="N1844">
        <v>0</v>
      </c>
    </row>
    <row r="1845" spans="1:14" x14ac:dyDescent="0.25">
      <c r="A1845">
        <v>1645.082619</v>
      </c>
      <c r="B1845" s="1">
        <f>DATE(2014,11,1) + TIME(1,58,58)</f>
        <v>41944.082615740743</v>
      </c>
      <c r="C1845">
        <v>80</v>
      </c>
      <c r="D1845">
        <v>79.381164550999998</v>
      </c>
      <c r="E1845">
        <v>50</v>
      </c>
      <c r="F1845">
        <v>42.048175811999997</v>
      </c>
      <c r="G1845">
        <v>1448.1938477000001</v>
      </c>
      <c r="H1845">
        <v>1320.8286132999999</v>
      </c>
      <c r="I1845">
        <v>1344.0780029</v>
      </c>
      <c r="J1845">
        <v>1132.3677978999999</v>
      </c>
      <c r="K1845">
        <v>0</v>
      </c>
      <c r="L1845">
        <v>2400</v>
      </c>
      <c r="M1845">
        <v>2400</v>
      </c>
      <c r="N1845">
        <v>0</v>
      </c>
    </row>
    <row r="1846" spans="1:14" x14ac:dyDescent="0.25">
      <c r="A1846">
        <v>1645.1472550000001</v>
      </c>
      <c r="B1846" s="1">
        <f>DATE(2014,11,1) + TIME(3,32,2)</f>
        <v>41944.147245370368</v>
      </c>
      <c r="C1846">
        <v>80</v>
      </c>
      <c r="D1846">
        <v>79.271461486999996</v>
      </c>
      <c r="E1846">
        <v>50</v>
      </c>
      <c r="F1846">
        <v>42.727294921999999</v>
      </c>
      <c r="G1846">
        <v>1406.4614257999999</v>
      </c>
      <c r="H1846">
        <v>1278.9522704999999</v>
      </c>
      <c r="I1846">
        <v>1412.1115723</v>
      </c>
      <c r="J1846">
        <v>1202.840332</v>
      </c>
      <c r="K1846">
        <v>0</v>
      </c>
      <c r="L1846">
        <v>2400</v>
      </c>
      <c r="M1846">
        <v>2400</v>
      </c>
      <c r="N1846">
        <v>0</v>
      </c>
    </row>
    <row r="1847" spans="1:14" x14ac:dyDescent="0.25">
      <c r="A1847">
        <v>1645.2225759999999</v>
      </c>
      <c r="B1847" s="1">
        <f>DATE(2014,11,1) + TIME(5,20,30)</f>
        <v>41944.222569444442</v>
      </c>
      <c r="C1847">
        <v>80</v>
      </c>
      <c r="D1847">
        <v>79.200630188000005</v>
      </c>
      <c r="E1847">
        <v>50</v>
      </c>
      <c r="F1847">
        <v>43.405406952</v>
      </c>
      <c r="G1847">
        <v>1376.7454834</v>
      </c>
      <c r="H1847">
        <v>1249.1523437999999</v>
      </c>
      <c r="I1847">
        <v>1460.3206786999999</v>
      </c>
      <c r="J1847">
        <v>1253.1187743999999</v>
      </c>
      <c r="K1847">
        <v>0</v>
      </c>
      <c r="L1847">
        <v>2400</v>
      </c>
      <c r="M1847">
        <v>2400</v>
      </c>
      <c r="N1847">
        <v>0</v>
      </c>
    </row>
    <row r="1848" spans="1:14" x14ac:dyDescent="0.25">
      <c r="A1848">
        <v>1645.3076820000001</v>
      </c>
      <c r="B1848" s="1">
        <f>DATE(2014,11,1) + TIME(7,23,3)</f>
        <v>41944.307673611111</v>
      </c>
      <c r="C1848">
        <v>80</v>
      </c>
      <c r="D1848">
        <v>79.150604247999993</v>
      </c>
      <c r="E1848">
        <v>50</v>
      </c>
      <c r="F1848">
        <v>44.073150634999998</v>
      </c>
      <c r="G1848">
        <v>1353.7285156</v>
      </c>
      <c r="H1848">
        <v>1226.0820312000001</v>
      </c>
      <c r="I1848">
        <v>1497.2144774999999</v>
      </c>
      <c r="J1848">
        <v>1291.8311768000001</v>
      </c>
      <c r="K1848">
        <v>0</v>
      </c>
      <c r="L1848">
        <v>2400</v>
      </c>
      <c r="M1848">
        <v>2400</v>
      </c>
      <c r="N1848">
        <v>0</v>
      </c>
    </row>
    <row r="1849" spans="1:14" x14ac:dyDescent="0.25">
      <c r="A1849">
        <v>1645.402791</v>
      </c>
      <c r="B1849" s="1">
        <f>DATE(2014,11,1) + TIME(9,40,1)</f>
        <v>41944.402789351851</v>
      </c>
      <c r="C1849">
        <v>80</v>
      </c>
      <c r="D1849">
        <v>79.112472534000005</v>
      </c>
      <c r="E1849">
        <v>50</v>
      </c>
      <c r="F1849">
        <v>44.725383759000003</v>
      </c>
      <c r="G1849">
        <v>1334.7800293</v>
      </c>
      <c r="H1849">
        <v>1207.0977783000001</v>
      </c>
      <c r="I1849">
        <v>1527.2573242000001</v>
      </c>
      <c r="J1849">
        <v>1323.5158690999999</v>
      </c>
      <c r="K1849">
        <v>0</v>
      </c>
      <c r="L1849">
        <v>2400</v>
      </c>
      <c r="M1849">
        <v>2400</v>
      </c>
      <c r="N1849">
        <v>0</v>
      </c>
    </row>
    <row r="1850" spans="1:14" x14ac:dyDescent="0.25">
      <c r="A1850">
        <v>1645.5090339999999</v>
      </c>
      <c r="B1850" s="1">
        <f>DATE(2014,11,1) + TIME(12,13,0)</f>
        <v>41944.509027777778</v>
      </c>
      <c r="C1850">
        <v>80</v>
      </c>
      <c r="D1850">
        <v>79.081306458</v>
      </c>
      <c r="E1850">
        <v>50</v>
      </c>
      <c r="F1850">
        <v>45.359283447000003</v>
      </c>
      <c r="G1850">
        <v>1318.4460449000001</v>
      </c>
      <c r="H1850">
        <v>1190.7382812000001</v>
      </c>
      <c r="I1850">
        <v>1552.9342041</v>
      </c>
      <c r="J1850">
        <v>1350.7015381000001</v>
      </c>
      <c r="K1850">
        <v>0</v>
      </c>
      <c r="L1850">
        <v>2400</v>
      </c>
      <c r="M1850">
        <v>2400</v>
      </c>
      <c r="N1850">
        <v>0</v>
      </c>
    </row>
    <row r="1851" spans="1:14" x14ac:dyDescent="0.25">
      <c r="A1851">
        <v>1645.6283510000001</v>
      </c>
      <c r="B1851" s="1">
        <f>DATE(2014,11,1) + TIME(15,4,49)</f>
        <v>41944.628344907411</v>
      </c>
      <c r="C1851">
        <v>80</v>
      </c>
      <c r="D1851">
        <v>79.054069518999995</v>
      </c>
      <c r="E1851">
        <v>50</v>
      </c>
      <c r="F1851">
        <v>45.972808837999999</v>
      </c>
      <c r="G1851">
        <v>1303.8406981999999</v>
      </c>
      <c r="H1851">
        <v>1176.1137695</v>
      </c>
      <c r="I1851">
        <v>1575.7481689000001</v>
      </c>
      <c r="J1851">
        <v>1374.9173584</v>
      </c>
      <c r="K1851">
        <v>0</v>
      </c>
      <c r="L1851">
        <v>2400</v>
      </c>
      <c r="M1851">
        <v>2400</v>
      </c>
      <c r="N1851">
        <v>0</v>
      </c>
    </row>
    <row r="1852" spans="1:14" x14ac:dyDescent="0.25">
      <c r="A1852">
        <v>1645.7636150000001</v>
      </c>
      <c r="B1852" s="1">
        <f>DATE(2014,11,1) + TIME(18,19,36)</f>
        <v>41944.763611111113</v>
      </c>
      <c r="C1852">
        <v>80</v>
      </c>
      <c r="D1852">
        <v>79.028633118000002</v>
      </c>
      <c r="E1852">
        <v>50</v>
      </c>
      <c r="F1852">
        <v>46.563739777000002</v>
      </c>
      <c r="G1852">
        <v>1290.3710937999999</v>
      </c>
      <c r="H1852">
        <v>1162.6282959</v>
      </c>
      <c r="I1852">
        <v>1596.6977539</v>
      </c>
      <c r="J1852">
        <v>1397.1761475000001</v>
      </c>
      <c r="K1852">
        <v>0</v>
      </c>
      <c r="L1852">
        <v>2400</v>
      </c>
      <c r="M1852">
        <v>2400</v>
      </c>
      <c r="N1852">
        <v>0</v>
      </c>
    </row>
    <row r="1853" spans="1:14" x14ac:dyDescent="0.25">
      <c r="A1853">
        <v>1645.9189630000001</v>
      </c>
      <c r="B1853" s="1">
        <f>DATE(2014,11,1) + TIME(22,3,18)</f>
        <v>41944.918958333335</v>
      </c>
      <c r="C1853">
        <v>80</v>
      </c>
      <c r="D1853">
        <v>79.003311156999999</v>
      </c>
      <c r="E1853">
        <v>50</v>
      </c>
      <c r="F1853">
        <v>47.129268646</v>
      </c>
      <c r="G1853">
        <v>1277.5979004000001</v>
      </c>
      <c r="H1853">
        <v>1149.8405762</v>
      </c>
      <c r="I1853">
        <v>1616.5115966999999</v>
      </c>
      <c r="J1853">
        <v>1418.213501</v>
      </c>
      <c r="K1853">
        <v>0</v>
      </c>
      <c r="L1853">
        <v>2400</v>
      </c>
      <c r="M1853">
        <v>2400</v>
      </c>
      <c r="N1853">
        <v>0</v>
      </c>
    </row>
    <row r="1854" spans="1:14" x14ac:dyDescent="0.25">
      <c r="A1854">
        <v>1646.1005809999999</v>
      </c>
      <c r="B1854" s="1">
        <f>DATE(2014,11,2) + TIME(2,24,50)</f>
        <v>41945.100578703707</v>
      </c>
      <c r="C1854">
        <v>80</v>
      </c>
      <c r="D1854">
        <v>78.9765625</v>
      </c>
      <c r="E1854">
        <v>50</v>
      </c>
      <c r="F1854">
        <v>47.666099547999998</v>
      </c>
      <c r="G1854">
        <v>1265.1479492000001</v>
      </c>
      <c r="H1854">
        <v>1137.3758545000001</v>
      </c>
      <c r="I1854">
        <v>1635.7967529</v>
      </c>
      <c r="J1854">
        <v>1438.6386719</v>
      </c>
      <c r="K1854">
        <v>0</v>
      </c>
      <c r="L1854">
        <v>2400</v>
      </c>
      <c r="M1854">
        <v>2400</v>
      </c>
      <c r="N1854">
        <v>0</v>
      </c>
    </row>
    <row r="1855" spans="1:14" x14ac:dyDescent="0.25">
      <c r="A1855">
        <v>1646.3180050000001</v>
      </c>
      <c r="B1855" s="1">
        <f>DATE(2014,11,2) + TIME(7,37,55)</f>
        <v>41945.317997685182</v>
      </c>
      <c r="C1855">
        <v>80</v>
      </c>
      <c r="D1855">
        <v>78.946723938000005</v>
      </c>
      <c r="E1855">
        <v>50</v>
      </c>
      <c r="F1855">
        <v>48.169933319000002</v>
      </c>
      <c r="G1855">
        <v>1252.6601562000001</v>
      </c>
      <c r="H1855">
        <v>1124.8719481999999</v>
      </c>
      <c r="I1855">
        <v>1655.1262207</v>
      </c>
      <c r="J1855">
        <v>1459.0227050999999</v>
      </c>
      <c r="K1855">
        <v>0</v>
      </c>
      <c r="L1855">
        <v>2400</v>
      </c>
      <c r="M1855">
        <v>2400</v>
      </c>
      <c r="N1855">
        <v>0</v>
      </c>
    </row>
    <row r="1856" spans="1:14" x14ac:dyDescent="0.25">
      <c r="A1856">
        <v>1646.570667</v>
      </c>
      <c r="B1856" s="1">
        <f>DATE(2014,11,2) + TIME(13,41,45)</f>
        <v>41945.570659722223</v>
      </c>
      <c r="C1856">
        <v>80</v>
      </c>
      <c r="D1856">
        <v>78.913101196</v>
      </c>
      <c r="E1856">
        <v>50</v>
      </c>
      <c r="F1856">
        <v>48.613719940000003</v>
      </c>
      <c r="G1856">
        <v>1240.3975829999999</v>
      </c>
      <c r="H1856">
        <v>1112.5913086</v>
      </c>
      <c r="I1856">
        <v>1674.0733643000001</v>
      </c>
      <c r="J1856">
        <v>1478.887207</v>
      </c>
      <c r="K1856">
        <v>0</v>
      </c>
      <c r="L1856">
        <v>2400</v>
      </c>
      <c r="M1856">
        <v>2400</v>
      </c>
      <c r="N1856">
        <v>0</v>
      </c>
    </row>
    <row r="1857" spans="1:14" x14ac:dyDescent="0.25">
      <c r="A1857">
        <v>1646.8352520000001</v>
      </c>
      <c r="B1857" s="1">
        <f>DATE(2014,11,2) + TIME(20,2,45)</f>
        <v>41945.835243055553</v>
      </c>
      <c r="C1857">
        <v>80</v>
      </c>
      <c r="D1857">
        <v>78.877174377000003</v>
      </c>
      <c r="E1857">
        <v>50</v>
      </c>
      <c r="F1857">
        <v>48.962024689000003</v>
      </c>
      <c r="G1857">
        <v>1229.3276367000001</v>
      </c>
      <c r="H1857">
        <v>1101.5023193</v>
      </c>
      <c r="I1857">
        <v>1691.0991211</v>
      </c>
      <c r="J1857">
        <v>1496.6247559000001</v>
      </c>
      <c r="K1857">
        <v>0</v>
      </c>
      <c r="L1857">
        <v>2400</v>
      </c>
      <c r="M1857">
        <v>2400</v>
      </c>
      <c r="N1857">
        <v>0</v>
      </c>
    </row>
    <row r="1858" spans="1:14" x14ac:dyDescent="0.25">
      <c r="A1858">
        <v>1647.1111880000001</v>
      </c>
      <c r="B1858" s="1">
        <f>DATE(2014,11,3) + TIME(2,40,6)</f>
        <v>41946.111180555556</v>
      </c>
      <c r="C1858">
        <v>80</v>
      </c>
      <c r="D1858">
        <v>78.839210510000001</v>
      </c>
      <c r="E1858">
        <v>50</v>
      </c>
      <c r="F1858">
        <v>49.231479645</v>
      </c>
      <c r="G1858">
        <v>1219.2247314000001</v>
      </c>
      <c r="H1858">
        <v>1091.3791504000001</v>
      </c>
      <c r="I1858">
        <v>1706.5716553</v>
      </c>
      <c r="J1858">
        <v>1512.6447754000001</v>
      </c>
      <c r="K1858">
        <v>0</v>
      </c>
      <c r="L1858">
        <v>2400</v>
      </c>
      <c r="M1858">
        <v>2400</v>
      </c>
      <c r="N1858">
        <v>0</v>
      </c>
    </row>
    <row r="1859" spans="1:14" x14ac:dyDescent="0.25">
      <c r="A1859">
        <v>1647.4005910000001</v>
      </c>
      <c r="B1859" s="1">
        <f>DATE(2014,11,3) + TIME(9,36,51)</f>
        <v>41946.400590277779</v>
      </c>
      <c r="C1859">
        <v>80</v>
      </c>
      <c r="D1859">
        <v>78.799285889000004</v>
      </c>
      <c r="E1859">
        <v>50</v>
      </c>
      <c r="F1859">
        <v>49.438522339000002</v>
      </c>
      <c r="G1859">
        <v>1209.8494873</v>
      </c>
      <c r="H1859">
        <v>1081.9822998</v>
      </c>
      <c r="I1859">
        <v>1720.864624</v>
      </c>
      <c r="J1859">
        <v>1527.3568115</v>
      </c>
      <c r="K1859">
        <v>0</v>
      </c>
      <c r="L1859">
        <v>2400</v>
      </c>
      <c r="M1859">
        <v>2400</v>
      </c>
      <c r="N1859">
        <v>0</v>
      </c>
    </row>
    <row r="1860" spans="1:14" x14ac:dyDescent="0.25">
      <c r="A1860">
        <v>1647.7078859999999</v>
      </c>
      <c r="B1860" s="1">
        <f>DATE(2014,11,3) + TIME(16,59,21)</f>
        <v>41946.707881944443</v>
      </c>
      <c r="C1860">
        <v>80</v>
      </c>
      <c r="D1860">
        <v>78.757225036999998</v>
      </c>
      <c r="E1860">
        <v>50</v>
      </c>
      <c r="F1860">
        <v>49.596923828000001</v>
      </c>
      <c r="G1860">
        <v>1200.9769286999999</v>
      </c>
      <c r="H1860">
        <v>1073.0872803</v>
      </c>
      <c r="I1860">
        <v>1734.3211670000001</v>
      </c>
      <c r="J1860">
        <v>1541.1333007999999</v>
      </c>
      <c r="K1860">
        <v>0</v>
      </c>
      <c r="L1860">
        <v>2400</v>
      </c>
      <c r="M1860">
        <v>2400</v>
      </c>
      <c r="N1860">
        <v>0</v>
      </c>
    </row>
    <row r="1861" spans="1:14" x14ac:dyDescent="0.25">
      <c r="A1861">
        <v>1648.038055</v>
      </c>
      <c r="B1861" s="1">
        <f>DATE(2014,11,4) + TIME(0,54,47)</f>
        <v>41947.038043981483</v>
      </c>
      <c r="C1861">
        <v>80</v>
      </c>
      <c r="D1861">
        <v>78.712776184000006</v>
      </c>
      <c r="E1861">
        <v>50</v>
      </c>
      <c r="F1861">
        <v>49.716968536000003</v>
      </c>
      <c r="G1861">
        <v>1192.4425048999999</v>
      </c>
      <c r="H1861">
        <v>1064.5291748</v>
      </c>
      <c r="I1861">
        <v>1747.1859131000001</v>
      </c>
      <c r="J1861">
        <v>1554.2398682</v>
      </c>
      <c r="K1861">
        <v>0</v>
      </c>
      <c r="L1861">
        <v>2400</v>
      </c>
      <c r="M1861">
        <v>2400</v>
      </c>
      <c r="N1861">
        <v>0</v>
      </c>
    </row>
    <row r="1862" spans="1:14" x14ac:dyDescent="0.25">
      <c r="A1862">
        <v>1648.397318</v>
      </c>
      <c r="B1862" s="1">
        <f>DATE(2014,11,4) + TIME(9,32,8)</f>
        <v>41947.397314814814</v>
      </c>
      <c r="C1862">
        <v>80</v>
      </c>
      <c r="D1862">
        <v>78.665512085000003</v>
      </c>
      <c r="E1862">
        <v>50</v>
      </c>
      <c r="F1862">
        <v>49.806640625</v>
      </c>
      <c r="G1862">
        <v>1184.1110839999999</v>
      </c>
      <c r="H1862">
        <v>1056.1732178</v>
      </c>
      <c r="I1862">
        <v>1759.6542969</v>
      </c>
      <c r="J1862">
        <v>1566.8886719</v>
      </c>
      <c r="K1862">
        <v>0</v>
      </c>
      <c r="L1862">
        <v>2400</v>
      </c>
      <c r="M1862">
        <v>2400</v>
      </c>
      <c r="N1862">
        <v>0</v>
      </c>
    </row>
    <row r="1863" spans="1:14" x14ac:dyDescent="0.25">
      <c r="A1863">
        <v>1648.793645</v>
      </c>
      <c r="B1863" s="1">
        <f>DATE(2014,11,4) + TIME(19,2,50)</f>
        <v>41947.793634259258</v>
      </c>
      <c r="C1863">
        <v>80</v>
      </c>
      <c r="D1863">
        <v>78.614868164000001</v>
      </c>
      <c r="E1863">
        <v>50</v>
      </c>
      <c r="F1863">
        <v>49.872253418</v>
      </c>
      <c r="G1863">
        <v>1175.8647461</v>
      </c>
      <c r="H1863">
        <v>1047.9012451000001</v>
      </c>
      <c r="I1863">
        <v>1771.8916016000001</v>
      </c>
      <c r="J1863">
        <v>1579.2579346</v>
      </c>
      <c r="K1863">
        <v>0</v>
      </c>
      <c r="L1863">
        <v>2400</v>
      </c>
      <c r="M1863">
        <v>2400</v>
      </c>
      <c r="N1863">
        <v>0</v>
      </c>
    </row>
    <row r="1864" spans="1:14" x14ac:dyDescent="0.25">
      <c r="A1864">
        <v>1649.237768</v>
      </c>
      <c r="B1864" s="1">
        <f>DATE(2014,11,5) + TIME(5,42,23)</f>
        <v>41948.237766203703</v>
      </c>
      <c r="C1864">
        <v>80</v>
      </c>
      <c r="D1864">
        <v>78.560020446999999</v>
      </c>
      <c r="E1864">
        <v>50</v>
      </c>
      <c r="F1864">
        <v>49.918895720999998</v>
      </c>
      <c r="G1864">
        <v>1167.5897216999999</v>
      </c>
      <c r="H1864">
        <v>1039.5992432</v>
      </c>
      <c r="I1864">
        <v>1784.0516356999999</v>
      </c>
      <c r="J1864">
        <v>1591.5119629000001</v>
      </c>
      <c r="K1864">
        <v>0</v>
      </c>
      <c r="L1864">
        <v>2400</v>
      </c>
      <c r="M1864">
        <v>2400</v>
      </c>
      <c r="N1864">
        <v>0</v>
      </c>
    </row>
    <row r="1865" spans="1:14" x14ac:dyDescent="0.25">
      <c r="A1865">
        <v>1649.7447649999999</v>
      </c>
      <c r="B1865" s="1">
        <f>DATE(2014,11,5) + TIME(17,52,27)</f>
        <v>41948.744756944441</v>
      </c>
      <c r="C1865">
        <v>80</v>
      </c>
      <c r="D1865">
        <v>78.499832153</v>
      </c>
      <c r="E1865">
        <v>50</v>
      </c>
      <c r="F1865">
        <v>49.950733184999997</v>
      </c>
      <c r="G1865">
        <v>1159.1640625</v>
      </c>
      <c r="H1865">
        <v>1031.1450195</v>
      </c>
      <c r="I1865">
        <v>1796.2915039</v>
      </c>
      <c r="J1865">
        <v>1603.8168945</v>
      </c>
      <c r="K1865">
        <v>0</v>
      </c>
      <c r="L1865">
        <v>2400</v>
      </c>
      <c r="M1865">
        <v>2400</v>
      </c>
      <c r="N1865">
        <v>0</v>
      </c>
    </row>
    <row r="1866" spans="1:14" x14ac:dyDescent="0.25">
      <c r="A1866">
        <v>1650.287208</v>
      </c>
      <c r="B1866" s="1">
        <f>DATE(2014,11,6) + TIME(6,53,34)</f>
        <v>41949.287199074075</v>
      </c>
      <c r="C1866">
        <v>80</v>
      </c>
      <c r="D1866">
        <v>78.435791015999996</v>
      </c>
      <c r="E1866">
        <v>50</v>
      </c>
      <c r="F1866">
        <v>49.970199585000003</v>
      </c>
      <c r="G1866">
        <v>1151.098999</v>
      </c>
      <c r="H1866">
        <v>1023.0513306</v>
      </c>
      <c r="I1866">
        <v>1807.8182373</v>
      </c>
      <c r="J1866">
        <v>1615.3857422000001</v>
      </c>
      <c r="K1866">
        <v>0</v>
      </c>
      <c r="L1866">
        <v>2400</v>
      </c>
      <c r="M1866">
        <v>2400</v>
      </c>
      <c r="N1866">
        <v>0</v>
      </c>
    </row>
    <row r="1867" spans="1:14" x14ac:dyDescent="0.25">
      <c r="A1867">
        <v>1650.841171</v>
      </c>
      <c r="B1867" s="1">
        <f>DATE(2014,11,6) + TIME(20,11,17)</f>
        <v>41949.841168981482</v>
      </c>
      <c r="C1867">
        <v>80</v>
      </c>
      <c r="D1867">
        <v>78.369773864999999</v>
      </c>
      <c r="E1867">
        <v>50</v>
      </c>
      <c r="F1867">
        <v>49.981155395999998</v>
      </c>
      <c r="G1867">
        <v>1143.6826172000001</v>
      </c>
      <c r="H1867">
        <v>1015.6065674</v>
      </c>
      <c r="I1867">
        <v>1818.2410889</v>
      </c>
      <c r="J1867">
        <v>1625.8361815999999</v>
      </c>
      <c r="K1867">
        <v>0</v>
      </c>
      <c r="L1867">
        <v>2400</v>
      </c>
      <c r="M1867">
        <v>2400</v>
      </c>
      <c r="N1867">
        <v>0</v>
      </c>
    </row>
    <row r="1868" spans="1:14" x14ac:dyDescent="0.25">
      <c r="A1868">
        <v>1651.4174889999999</v>
      </c>
      <c r="B1868" s="1">
        <f>DATE(2014,11,7) + TIME(10,1,11)</f>
        <v>41950.417488425926</v>
      </c>
      <c r="C1868">
        <v>80</v>
      </c>
      <c r="D1868">
        <v>78.301803589000002</v>
      </c>
      <c r="E1868">
        <v>50</v>
      </c>
      <c r="F1868">
        <v>49.987030029000003</v>
      </c>
      <c r="G1868">
        <v>1136.7116699000001</v>
      </c>
      <c r="H1868">
        <v>1008.6067505</v>
      </c>
      <c r="I1868">
        <v>1827.9000243999999</v>
      </c>
      <c r="J1868">
        <v>1635.5142822</v>
      </c>
      <c r="K1868">
        <v>0</v>
      </c>
      <c r="L1868">
        <v>2400</v>
      </c>
      <c r="M1868">
        <v>2400</v>
      </c>
      <c r="N1868">
        <v>0</v>
      </c>
    </row>
    <row r="1869" spans="1:14" x14ac:dyDescent="0.25">
      <c r="A1869">
        <v>1652.027069</v>
      </c>
      <c r="B1869" s="1">
        <f>DATE(2014,11,8) + TIME(0,38,58)</f>
        <v>41951.027060185188</v>
      </c>
      <c r="C1869">
        <v>80</v>
      </c>
      <c r="D1869">
        <v>78.231399535999998</v>
      </c>
      <c r="E1869">
        <v>50</v>
      </c>
      <c r="F1869">
        <v>49.989826202000003</v>
      </c>
      <c r="G1869">
        <v>1130.0388184000001</v>
      </c>
      <c r="H1869">
        <v>1001.9043579</v>
      </c>
      <c r="I1869">
        <v>1837.0153809000001</v>
      </c>
      <c r="J1869">
        <v>1644.6441649999999</v>
      </c>
      <c r="K1869">
        <v>0</v>
      </c>
      <c r="L1869">
        <v>2400</v>
      </c>
      <c r="M1869">
        <v>2400</v>
      </c>
      <c r="N1869">
        <v>0</v>
      </c>
    </row>
    <row r="1870" spans="1:14" x14ac:dyDescent="0.25">
      <c r="A1870">
        <v>1652.6819740000001</v>
      </c>
      <c r="B1870" s="1">
        <f>DATE(2014,11,8) + TIME(16,22,2)</f>
        <v>41951.681967592594</v>
      </c>
      <c r="C1870">
        <v>80</v>
      </c>
      <c r="D1870">
        <v>78.157752990999995</v>
      </c>
      <c r="E1870">
        <v>50</v>
      </c>
      <c r="F1870">
        <v>49.990749358999999</v>
      </c>
      <c r="G1870">
        <v>1123.5505370999999</v>
      </c>
      <c r="H1870">
        <v>995.38574218999997</v>
      </c>
      <c r="I1870">
        <v>1845.7469481999999</v>
      </c>
      <c r="J1870">
        <v>1653.3883057</v>
      </c>
      <c r="K1870">
        <v>0</v>
      </c>
      <c r="L1870">
        <v>2400</v>
      </c>
      <c r="M1870">
        <v>2400</v>
      </c>
      <c r="N1870">
        <v>0</v>
      </c>
    </row>
    <row r="1871" spans="1:14" x14ac:dyDescent="0.25">
      <c r="A1871">
        <v>1653.39696</v>
      </c>
      <c r="B1871" s="1">
        <f>DATE(2014,11,9) + TIME(9,31,37)</f>
        <v>41952.396956018521</v>
      </c>
      <c r="C1871">
        <v>80</v>
      </c>
      <c r="D1871">
        <v>78.079757689999994</v>
      </c>
      <c r="E1871">
        <v>50</v>
      </c>
      <c r="F1871">
        <v>49.99054718</v>
      </c>
      <c r="G1871">
        <v>1117.1497803</v>
      </c>
      <c r="H1871">
        <v>988.95343018000005</v>
      </c>
      <c r="I1871">
        <v>1854.2244873</v>
      </c>
      <c r="J1871">
        <v>1661.8780518000001</v>
      </c>
      <c r="K1871">
        <v>0</v>
      </c>
      <c r="L1871">
        <v>2400</v>
      </c>
      <c r="M1871">
        <v>2400</v>
      </c>
      <c r="N1871">
        <v>0</v>
      </c>
    </row>
    <row r="1872" spans="1:14" x14ac:dyDescent="0.25">
      <c r="A1872">
        <v>1654.17642</v>
      </c>
      <c r="B1872" s="1">
        <f>DATE(2014,11,10) + TIME(4,14,2)</f>
        <v>41953.176412037035</v>
      </c>
      <c r="C1872">
        <v>80</v>
      </c>
      <c r="D1872">
        <v>77.996726989999999</v>
      </c>
      <c r="E1872">
        <v>50</v>
      </c>
      <c r="F1872">
        <v>49.989700317</v>
      </c>
      <c r="G1872">
        <v>1110.8529053</v>
      </c>
      <c r="H1872">
        <v>982.62384033000001</v>
      </c>
      <c r="I1872">
        <v>1862.4161377</v>
      </c>
      <c r="J1872">
        <v>1670.0825195</v>
      </c>
      <c r="K1872">
        <v>0</v>
      </c>
      <c r="L1872">
        <v>2400</v>
      </c>
      <c r="M1872">
        <v>2400</v>
      </c>
      <c r="N1872">
        <v>0</v>
      </c>
    </row>
    <row r="1873" spans="1:14" x14ac:dyDescent="0.25">
      <c r="A1873">
        <v>1655.036834</v>
      </c>
      <c r="B1873" s="1">
        <f>DATE(2014,11,11) + TIME(0,53,2)</f>
        <v>41954.036828703705</v>
      </c>
      <c r="C1873">
        <v>80</v>
      </c>
      <c r="D1873">
        <v>77.907516478999995</v>
      </c>
      <c r="E1873">
        <v>50</v>
      </c>
      <c r="F1873">
        <v>49.988521575999997</v>
      </c>
      <c r="G1873">
        <v>1104.5987548999999</v>
      </c>
      <c r="H1873">
        <v>976.33514404000005</v>
      </c>
      <c r="I1873">
        <v>1870.4014893000001</v>
      </c>
      <c r="J1873">
        <v>1678.0822754000001</v>
      </c>
      <c r="K1873">
        <v>0</v>
      </c>
      <c r="L1873">
        <v>2400</v>
      </c>
      <c r="M1873">
        <v>2400</v>
      </c>
      <c r="N1873">
        <v>0</v>
      </c>
    </row>
    <row r="1874" spans="1:14" x14ac:dyDescent="0.25">
      <c r="A1874">
        <v>1655.9231010000001</v>
      </c>
      <c r="B1874" s="1">
        <f>DATE(2014,11,11) + TIME(22,9,15)</f>
        <v>41954.923090277778</v>
      </c>
      <c r="C1874">
        <v>80</v>
      </c>
      <c r="D1874">
        <v>77.814086914000001</v>
      </c>
      <c r="E1874">
        <v>50</v>
      </c>
      <c r="F1874">
        <v>49.987270355</v>
      </c>
      <c r="G1874">
        <v>1098.7742920000001</v>
      </c>
      <c r="H1874">
        <v>970.47583008000004</v>
      </c>
      <c r="I1874">
        <v>1877.6618652</v>
      </c>
      <c r="J1874">
        <v>1685.359375</v>
      </c>
      <c r="K1874">
        <v>0</v>
      </c>
      <c r="L1874">
        <v>2400</v>
      </c>
      <c r="M1874">
        <v>2400</v>
      </c>
      <c r="N1874">
        <v>0</v>
      </c>
    </row>
    <row r="1875" spans="1:14" x14ac:dyDescent="0.25">
      <c r="A1875">
        <v>1656.8308589999999</v>
      </c>
      <c r="B1875" s="1">
        <f>DATE(2014,11,12) + TIME(19,56,26)</f>
        <v>41955.83085648148</v>
      </c>
      <c r="C1875">
        <v>80</v>
      </c>
      <c r="D1875">
        <v>77.71812439</v>
      </c>
      <c r="E1875">
        <v>50</v>
      </c>
      <c r="F1875">
        <v>49.986080170000001</v>
      </c>
      <c r="G1875">
        <v>1093.3630370999999</v>
      </c>
      <c r="H1875">
        <v>965.02880859000004</v>
      </c>
      <c r="I1875">
        <v>1884.2651367000001</v>
      </c>
      <c r="J1875">
        <v>1691.9802245999999</v>
      </c>
      <c r="K1875">
        <v>0</v>
      </c>
      <c r="L1875">
        <v>2400</v>
      </c>
      <c r="M1875">
        <v>2400</v>
      </c>
      <c r="N1875">
        <v>0</v>
      </c>
    </row>
    <row r="1876" spans="1:14" x14ac:dyDescent="0.25">
      <c r="A1876">
        <v>1657.7763420000001</v>
      </c>
      <c r="B1876" s="1">
        <f>DATE(2014,11,13) + TIME(18,37,55)</f>
        <v>41956.776331018518</v>
      </c>
      <c r="C1876">
        <v>80</v>
      </c>
      <c r="D1876">
        <v>77.619735718000001</v>
      </c>
      <c r="E1876">
        <v>50</v>
      </c>
      <c r="F1876">
        <v>49.984981537000003</v>
      </c>
      <c r="G1876">
        <v>1088.2434082</v>
      </c>
      <c r="H1876">
        <v>959.87237548999997</v>
      </c>
      <c r="I1876">
        <v>1890.3907471</v>
      </c>
      <c r="J1876">
        <v>1698.1237793</v>
      </c>
      <c r="K1876">
        <v>0</v>
      </c>
      <c r="L1876">
        <v>2400</v>
      </c>
      <c r="M1876">
        <v>2400</v>
      </c>
      <c r="N1876">
        <v>0</v>
      </c>
    </row>
    <row r="1877" spans="1:14" x14ac:dyDescent="0.25">
      <c r="A1877">
        <v>1658.7766200000001</v>
      </c>
      <c r="B1877" s="1">
        <f>DATE(2014,11,14) + TIME(18,38,19)</f>
        <v>41957.776608796295</v>
      </c>
      <c r="C1877">
        <v>80</v>
      </c>
      <c r="D1877">
        <v>77.518096924000005</v>
      </c>
      <c r="E1877">
        <v>50</v>
      </c>
      <c r="F1877">
        <v>49.983970642000003</v>
      </c>
      <c r="G1877">
        <v>1083.3229980000001</v>
      </c>
      <c r="H1877">
        <v>954.91381836000005</v>
      </c>
      <c r="I1877">
        <v>1896.1601562000001</v>
      </c>
      <c r="J1877">
        <v>1703.9116211</v>
      </c>
      <c r="K1877">
        <v>0</v>
      </c>
      <c r="L1877">
        <v>2400</v>
      </c>
      <c r="M1877">
        <v>2400</v>
      </c>
      <c r="N1877">
        <v>0</v>
      </c>
    </row>
    <row r="1878" spans="1:14" x14ac:dyDescent="0.25">
      <c r="A1878">
        <v>1659.85139</v>
      </c>
      <c r="B1878" s="1">
        <f>DATE(2014,11,15) + TIME(20,26,0)</f>
        <v>41958.851388888892</v>
      </c>
      <c r="C1878">
        <v>80</v>
      </c>
      <c r="D1878">
        <v>77.411872864000003</v>
      </c>
      <c r="E1878">
        <v>50</v>
      </c>
      <c r="F1878">
        <v>49.983043670999997</v>
      </c>
      <c r="G1878">
        <v>1078.5269774999999</v>
      </c>
      <c r="H1878">
        <v>950.07800293000003</v>
      </c>
      <c r="I1878">
        <v>1901.6641846</v>
      </c>
      <c r="J1878">
        <v>1709.4345702999999</v>
      </c>
      <c r="K1878">
        <v>0</v>
      </c>
      <c r="L1878">
        <v>2400</v>
      </c>
      <c r="M1878">
        <v>2400</v>
      </c>
      <c r="N1878">
        <v>0</v>
      </c>
    </row>
    <row r="1879" spans="1:14" x14ac:dyDescent="0.25">
      <c r="A1879">
        <v>1661.0253299999999</v>
      </c>
      <c r="B1879" s="1">
        <f>DATE(2014,11,17) + TIME(0,36,28)</f>
        <v>41960.025324074071</v>
      </c>
      <c r="C1879">
        <v>80</v>
      </c>
      <c r="D1879">
        <v>77.299285889000004</v>
      </c>
      <c r="E1879">
        <v>50</v>
      </c>
      <c r="F1879">
        <v>49.982185364000003</v>
      </c>
      <c r="G1879">
        <v>1073.7893065999999</v>
      </c>
      <c r="H1879">
        <v>945.29833984000004</v>
      </c>
      <c r="I1879">
        <v>1906.9754639</v>
      </c>
      <c r="J1879">
        <v>1714.7657471</v>
      </c>
      <c r="K1879">
        <v>0</v>
      </c>
      <c r="L1879">
        <v>2400</v>
      </c>
      <c r="M1879">
        <v>2400</v>
      </c>
      <c r="N1879">
        <v>0</v>
      </c>
    </row>
    <row r="1880" spans="1:14" x14ac:dyDescent="0.25">
      <c r="A1880">
        <v>1662.322144</v>
      </c>
      <c r="B1880" s="1">
        <f>DATE(2014,11,18) + TIME(7,43,53)</f>
        <v>41961.322141203702</v>
      </c>
      <c r="C1880">
        <v>80</v>
      </c>
      <c r="D1880">
        <v>77.178367614999999</v>
      </c>
      <c r="E1880">
        <v>50</v>
      </c>
      <c r="F1880">
        <v>49.981391907000003</v>
      </c>
      <c r="G1880">
        <v>1069.0761719</v>
      </c>
      <c r="H1880">
        <v>940.54003906000003</v>
      </c>
      <c r="I1880">
        <v>1912.1219481999999</v>
      </c>
      <c r="J1880">
        <v>1719.9332274999999</v>
      </c>
      <c r="K1880">
        <v>0</v>
      </c>
      <c r="L1880">
        <v>2400</v>
      </c>
      <c r="M1880">
        <v>2400</v>
      </c>
      <c r="N1880">
        <v>0</v>
      </c>
    </row>
    <row r="1881" spans="1:14" x14ac:dyDescent="0.25">
      <c r="A1881">
        <v>1663.6332950000001</v>
      </c>
      <c r="B1881" s="1">
        <f>DATE(2014,11,19) + TIME(15,11,56)</f>
        <v>41962.633287037039</v>
      </c>
      <c r="C1881">
        <v>80</v>
      </c>
      <c r="D1881">
        <v>77.051445006999998</v>
      </c>
      <c r="E1881">
        <v>50</v>
      </c>
      <c r="F1881">
        <v>49.980697632000002</v>
      </c>
      <c r="G1881">
        <v>1064.7536620999999</v>
      </c>
      <c r="H1881">
        <v>936.17144774999997</v>
      </c>
      <c r="I1881">
        <v>1916.6702881000001</v>
      </c>
      <c r="J1881">
        <v>1724.5037841999999</v>
      </c>
      <c r="K1881">
        <v>0</v>
      </c>
      <c r="L1881">
        <v>2400</v>
      </c>
      <c r="M1881">
        <v>2400</v>
      </c>
      <c r="N1881">
        <v>0</v>
      </c>
    </row>
    <row r="1882" spans="1:14" x14ac:dyDescent="0.25">
      <c r="A1882">
        <v>1664.9811549999999</v>
      </c>
      <c r="B1882" s="1">
        <f>DATE(2014,11,20) + TIME(23,32,51)</f>
        <v>41963.981145833335</v>
      </c>
      <c r="C1882">
        <v>80</v>
      </c>
      <c r="D1882">
        <v>76.921684264999996</v>
      </c>
      <c r="E1882">
        <v>50</v>
      </c>
      <c r="F1882">
        <v>49.980098724000001</v>
      </c>
      <c r="G1882">
        <v>1060.7235106999999</v>
      </c>
      <c r="H1882">
        <v>932.09265137</v>
      </c>
      <c r="I1882">
        <v>1920.7818603999999</v>
      </c>
      <c r="J1882">
        <v>1728.6368408000001</v>
      </c>
      <c r="K1882">
        <v>0</v>
      </c>
      <c r="L1882">
        <v>2400</v>
      </c>
      <c r="M1882">
        <v>2400</v>
      </c>
      <c r="N1882">
        <v>0</v>
      </c>
    </row>
    <row r="1883" spans="1:14" x14ac:dyDescent="0.25">
      <c r="A1883">
        <v>1666.390144</v>
      </c>
      <c r="B1883" s="1">
        <f>DATE(2014,11,22) + TIME(9,21,48)</f>
        <v>41965.390138888892</v>
      </c>
      <c r="C1883">
        <v>80</v>
      </c>
      <c r="D1883">
        <v>76.788848877000007</v>
      </c>
      <c r="E1883">
        <v>50</v>
      </c>
      <c r="F1883">
        <v>49.979579926</v>
      </c>
      <c r="G1883">
        <v>1056.9031981999999</v>
      </c>
      <c r="H1883">
        <v>928.22149658000001</v>
      </c>
      <c r="I1883">
        <v>1924.5589600000001</v>
      </c>
      <c r="J1883">
        <v>1732.4348144999999</v>
      </c>
      <c r="K1883">
        <v>0</v>
      </c>
      <c r="L1883">
        <v>2400</v>
      </c>
      <c r="M1883">
        <v>2400</v>
      </c>
      <c r="N1883">
        <v>0</v>
      </c>
    </row>
    <row r="1884" spans="1:14" x14ac:dyDescent="0.25">
      <c r="A1884">
        <v>1667.887246</v>
      </c>
      <c r="B1884" s="1">
        <f>DATE(2014,11,23) + TIME(21,17,38)</f>
        <v>41966.887245370373</v>
      </c>
      <c r="C1884">
        <v>80</v>
      </c>
      <c r="D1884">
        <v>76.651382446</v>
      </c>
      <c r="E1884">
        <v>50</v>
      </c>
      <c r="F1884">
        <v>49.979114531999997</v>
      </c>
      <c r="G1884">
        <v>1053.2285156</v>
      </c>
      <c r="H1884">
        <v>924.49334716999999</v>
      </c>
      <c r="I1884">
        <v>1928.0704346</v>
      </c>
      <c r="J1884">
        <v>1735.9667969</v>
      </c>
      <c r="K1884">
        <v>0</v>
      </c>
      <c r="L1884">
        <v>2400</v>
      </c>
      <c r="M1884">
        <v>2400</v>
      </c>
      <c r="N1884">
        <v>0</v>
      </c>
    </row>
    <row r="1885" spans="1:14" x14ac:dyDescent="0.25">
      <c r="A1885">
        <v>1669.494412</v>
      </c>
      <c r="B1885" s="1">
        <f>DATE(2014,11,25) + TIME(11,51,57)</f>
        <v>41968.494409722225</v>
      </c>
      <c r="C1885">
        <v>80</v>
      </c>
      <c r="D1885">
        <v>76.507347107000001</v>
      </c>
      <c r="E1885">
        <v>50</v>
      </c>
      <c r="F1885">
        <v>49.978698729999998</v>
      </c>
      <c r="G1885">
        <v>1049.6660156</v>
      </c>
      <c r="H1885">
        <v>920.87384033000001</v>
      </c>
      <c r="I1885">
        <v>1931.3450928</v>
      </c>
      <c r="J1885">
        <v>1739.2619629000001</v>
      </c>
      <c r="K1885">
        <v>0</v>
      </c>
      <c r="L1885">
        <v>2400</v>
      </c>
      <c r="M1885">
        <v>2400</v>
      </c>
      <c r="N1885">
        <v>0</v>
      </c>
    </row>
    <row r="1886" spans="1:14" x14ac:dyDescent="0.25">
      <c r="A1886">
        <v>1671.227169</v>
      </c>
      <c r="B1886" s="1">
        <f>DATE(2014,11,27) + TIME(5,27,7)</f>
        <v>41970.227164351854</v>
      </c>
      <c r="C1886">
        <v>80</v>
      </c>
      <c r="D1886">
        <v>76.355041503999999</v>
      </c>
      <c r="E1886">
        <v>50</v>
      </c>
      <c r="F1886">
        <v>49.978321074999997</v>
      </c>
      <c r="G1886">
        <v>1046.2067870999999</v>
      </c>
      <c r="H1886">
        <v>917.35290526999995</v>
      </c>
      <c r="I1886">
        <v>1934.3845214999999</v>
      </c>
      <c r="J1886">
        <v>1742.3217772999999</v>
      </c>
      <c r="K1886">
        <v>0</v>
      </c>
      <c r="L1886">
        <v>2400</v>
      </c>
      <c r="M1886">
        <v>2400</v>
      </c>
      <c r="N1886">
        <v>0</v>
      </c>
    </row>
    <row r="1887" spans="1:14" x14ac:dyDescent="0.25">
      <c r="A1887">
        <v>1673.0018110000001</v>
      </c>
      <c r="B1887" s="1">
        <f>DATE(2014,11,29) + TIME(0,2,36)</f>
        <v>41972.001805555556</v>
      </c>
      <c r="C1887">
        <v>80</v>
      </c>
      <c r="D1887">
        <v>76.195571899000001</v>
      </c>
      <c r="E1887">
        <v>50</v>
      </c>
      <c r="F1887">
        <v>49.977993011000002</v>
      </c>
      <c r="G1887">
        <v>1042.9964600000001</v>
      </c>
      <c r="H1887">
        <v>914.07696533000001</v>
      </c>
      <c r="I1887">
        <v>1937.0430908000001</v>
      </c>
      <c r="J1887">
        <v>1745.0009766000001</v>
      </c>
      <c r="K1887">
        <v>0</v>
      </c>
      <c r="L1887">
        <v>2400</v>
      </c>
      <c r="M1887">
        <v>2400</v>
      </c>
      <c r="N1887">
        <v>0</v>
      </c>
    </row>
    <row r="1888" spans="1:14" x14ac:dyDescent="0.25">
      <c r="A1888">
        <v>1674.815028</v>
      </c>
      <c r="B1888" s="1">
        <f>DATE(2014,11,30) + TIME(19,33,38)</f>
        <v>41973.815023148149</v>
      </c>
      <c r="C1888">
        <v>80</v>
      </c>
      <c r="D1888">
        <v>76.032508849999999</v>
      </c>
      <c r="E1888">
        <v>50</v>
      </c>
      <c r="F1888">
        <v>49.977714538999997</v>
      </c>
      <c r="G1888">
        <v>1040.0216064000001</v>
      </c>
      <c r="H1888">
        <v>911.03192138999998</v>
      </c>
      <c r="I1888">
        <v>1939.3641356999999</v>
      </c>
      <c r="J1888">
        <v>1747.3415527</v>
      </c>
      <c r="K1888">
        <v>0</v>
      </c>
      <c r="L1888">
        <v>2400</v>
      </c>
      <c r="M1888">
        <v>2400</v>
      </c>
      <c r="N1888">
        <v>0</v>
      </c>
    </row>
    <row r="1889" spans="1:14" x14ac:dyDescent="0.25">
      <c r="A1889">
        <v>1675</v>
      </c>
      <c r="B1889" s="1">
        <f>DATE(2014,12,1) + TIME(0,0,0)</f>
        <v>41974</v>
      </c>
      <c r="C1889">
        <v>80</v>
      </c>
      <c r="D1889">
        <v>75.986511230000005</v>
      </c>
      <c r="E1889">
        <v>50</v>
      </c>
      <c r="F1889">
        <v>49.977626801</v>
      </c>
      <c r="G1889">
        <v>1039.6108397999999</v>
      </c>
      <c r="H1889">
        <v>910.63189696999996</v>
      </c>
      <c r="I1889">
        <v>1939.5421143000001</v>
      </c>
      <c r="J1889">
        <v>1747.5281981999999</v>
      </c>
      <c r="K1889">
        <v>0</v>
      </c>
      <c r="L1889">
        <v>2400</v>
      </c>
      <c r="M1889">
        <v>2400</v>
      </c>
      <c r="N1889">
        <v>0</v>
      </c>
    </row>
    <row r="1890" spans="1:14" x14ac:dyDescent="0.25">
      <c r="A1890">
        <v>1676.8590710000001</v>
      </c>
      <c r="B1890" s="1">
        <f>DATE(2014,12,2) + TIME(20,37,3)</f>
        <v>41975.8590625</v>
      </c>
      <c r="C1890">
        <v>80</v>
      </c>
      <c r="D1890">
        <v>75.841476439999994</v>
      </c>
      <c r="E1890">
        <v>50</v>
      </c>
      <c r="F1890">
        <v>49.977447509999998</v>
      </c>
      <c r="G1890">
        <v>1036.9628906</v>
      </c>
      <c r="H1890">
        <v>907.88446045000001</v>
      </c>
      <c r="I1890">
        <v>1941.5712891000001</v>
      </c>
      <c r="J1890">
        <v>1749.5700684000001</v>
      </c>
      <c r="K1890">
        <v>0</v>
      </c>
      <c r="L1890">
        <v>2400</v>
      </c>
      <c r="M1890">
        <v>2400</v>
      </c>
      <c r="N1890">
        <v>0</v>
      </c>
    </row>
    <row r="1891" spans="1:14" x14ac:dyDescent="0.25">
      <c r="A1891">
        <v>1678.779755</v>
      </c>
      <c r="B1891" s="1">
        <f>DATE(2014,12,4) + TIME(18,42,50)</f>
        <v>41977.779745370368</v>
      </c>
      <c r="C1891">
        <v>80</v>
      </c>
      <c r="D1891">
        <v>75.678924561000002</v>
      </c>
      <c r="E1891">
        <v>50</v>
      </c>
      <c r="F1891">
        <v>49.97726059</v>
      </c>
      <c r="G1891">
        <v>1034.3900146000001</v>
      </c>
      <c r="H1891">
        <v>905.23663329999999</v>
      </c>
      <c r="I1891">
        <v>1943.3308105000001</v>
      </c>
      <c r="J1891">
        <v>1751.3460693</v>
      </c>
      <c r="K1891">
        <v>0</v>
      </c>
      <c r="L1891">
        <v>2400</v>
      </c>
      <c r="M1891">
        <v>2400</v>
      </c>
      <c r="N1891">
        <v>0</v>
      </c>
    </row>
    <row r="1892" spans="1:14" x14ac:dyDescent="0.25">
      <c r="A1892">
        <v>1680.786548</v>
      </c>
      <c r="B1892" s="1">
        <f>DATE(2014,12,6) + TIME(18,52,37)</f>
        <v>41979.786539351851</v>
      </c>
      <c r="C1892">
        <v>80</v>
      </c>
      <c r="D1892">
        <v>75.507720946999996</v>
      </c>
      <c r="E1892">
        <v>50</v>
      </c>
      <c r="F1892">
        <v>49.977088928000001</v>
      </c>
      <c r="G1892">
        <v>1031.9392089999999</v>
      </c>
      <c r="H1892">
        <v>902.70153808999999</v>
      </c>
      <c r="I1892">
        <v>1944.8664550999999</v>
      </c>
      <c r="J1892">
        <v>1752.8981934000001</v>
      </c>
      <c r="K1892">
        <v>0</v>
      </c>
      <c r="L1892">
        <v>2400</v>
      </c>
      <c r="M1892">
        <v>2400</v>
      </c>
      <c r="N1892">
        <v>0</v>
      </c>
    </row>
    <row r="1893" spans="1:14" x14ac:dyDescent="0.25">
      <c r="A1893">
        <v>1682.8306990000001</v>
      </c>
      <c r="B1893" s="1">
        <f>DATE(2014,12,8) + TIME(19,56,12)</f>
        <v>41981.830694444441</v>
      </c>
      <c r="C1893">
        <v>80</v>
      </c>
      <c r="D1893">
        <v>75.330703735</v>
      </c>
      <c r="E1893">
        <v>50</v>
      </c>
      <c r="F1893">
        <v>49.976940155000001</v>
      </c>
      <c r="G1893">
        <v>1029.6474608999999</v>
      </c>
      <c r="H1893">
        <v>900.31805420000001</v>
      </c>
      <c r="I1893">
        <v>1946.1622314000001</v>
      </c>
      <c r="J1893">
        <v>1754.2100829999999</v>
      </c>
      <c r="K1893">
        <v>0</v>
      </c>
      <c r="L1893">
        <v>2400</v>
      </c>
      <c r="M1893">
        <v>2400</v>
      </c>
      <c r="N1893">
        <v>0</v>
      </c>
    </row>
    <row r="1894" spans="1:14" x14ac:dyDescent="0.25">
      <c r="A1894">
        <v>1684.900159</v>
      </c>
      <c r="B1894" s="1">
        <f>DATE(2014,12,10) + TIME(21,36,13)</f>
        <v>41983.900150462963</v>
      </c>
      <c r="C1894">
        <v>80</v>
      </c>
      <c r="D1894">
        <v>75.150779724000003</v>
      </c>
      <c r="E1894">
        <v>50</v>
      </c>
      <c r="F1894">
        <v>49.976821899000001</v>
      </c>
      <c r="G1894">
        <v>1027.5095214999999</v>
      </c>
      <c r="H1894">
        <v>898.08123779000005</v>
      </c>
      <c r="I1894">
        <v>1947.2435303</v>
      </c>
      <c r="J1894">
        <v>1755.3063964999999</v>
      </c>
      <c r="K1894">
        <v>0</v>
      </c>
      <c r="L1894">
        <v>2400</v>
      </c>
      <c r="M1894">
        <v>2400</v>
      </c>
      <c r="N1894">
        <v>0</v>
      </c>
    </row>
    <row r="1895" spans="1:14" x14ac:dyDescent="0.25">
      <c r="A1895">
        <v>1687.0216559999999</v>
      </c>
      <c r="B1895" s="1">
        <f>DATE(2014,12,13) + TIME(0,31,11)</f>
        <v>41986.021655092591</v>
      </c>
      <c r="C1895">
        <v>80</v>
      </c>
      <c r="D1895">
        <v>74.968482971</v>
      </c>
      <c r="E1895">
        <v>50</v>
      </c>
      <c r="F1895">
        <v>49.976726532000001</v>
      </c>
      <c r="G1895">
        <v>1025.487793</v>
      </c>
      <c r="H1895">
        <v>895.95306396000001</v>
      </c>
      <c r="I1895">
        <v>1948.1503906</v>
      </c>
      <c r="J1895">
        <v>1756.2274170000001</v>
      </c>
      <c r="K1895">
        <v>0</v>
      </c>
      <c r="L1895">
        <v>2400</v>
      </c>
      <c r="M1895">
        <v>2400</v>
      </c>
      <c r="N1895">
        <v>0</v>
      </c>
    </row>
    <row r="1896" spans="1:14" x14ac:dyDescent="0.25">
      <c r="A1896">
        <v>1689.221675</v>
      </c>
      <c r="B1896" s="1">
        <f>DATE(2014,12,15) + TIME(5,19,12)</f>
        <v>41988.221666666665</v>
      </c>
      <c r="C1896">
        <v>80</v>
      </c>
      <c r="D1896">
        <v>74.782028198000006</v>
      </c>
      <c r="E1896">
        <v>50</v>
      </c>
      <c r="F1896">
        <v>49.976646422999998</v>
      </c>
      <c r="G1896">
        <v>1023.5496216</v>
      </c>
      <c r="H1896">
        <v>893.89923095999995</v>
      </c>
      <c r="I1896">
        <v>1948.9084473</v>
      </c>
      <c r="J1896">
        <v>1756.9987793</v>
      </c>
      <c r="K1896">
        <v>0</v>
      </c>
      <c r="L1896">
        <v>2400</v>
      </c>
      <c r="M1896">
        <v>2400</v>
      </c>
      <c r="N1896">
        <v>0</v>
      </c>
    </row>
    <row r="1897" spans="1:14" x14ac:dyDescent="0.25">
      <c r="A1897">
        <v>1691.481567</v>
      </c>
      <c r="B1897" s="1">
        <f>DATE(2014,12,17) + TIME(11,33,27)</f>
        <v>41990.481562499997</v>
      </c>
      <c r="C1897">
        <v>80</v>
      </c>
      <c r="D1897">
        <v>74.590309142999999</v>
      </c>
      <c r="E1897">
        <v>50</v>
      </c>
      <c r="F1897">
        <v>49.976585387999997</v>
      </c>
      <c r="G1897">
        <v>1021.6937256</v>
      </c>
      <c r="H1897">
        <v>891.91723633000004</v>
      </c>
      <c r="I1897">
        <v>1949.5205077999999</v>
      </c>
      <c r="J1897">
        <v>1757.6236572</v>
      </c>
      <c r="K1897">
        <v>0</v>
      </c>
      <c r="L1897">
        <v>2400</v>
      </c>
      <c r="M1897">
        <v>2400</v>
      </c>
      <c r="N1897">
        <v>0</v>
      </c>
    </row>
    <row r="1898" spans="1:14" x14ac:dyDescent="0.25">
      <c r="A1898">
        <v>1693.766169</v>
      </c>
      <c r="B1898" s="1">
        <f>DATE(2014,12,19) + TIME(18,23,17)</f>
        <v>41992.766168981485</v>
      </c>
      <c r="C1898">
        <v>80</v>
      </c>
      <c r="D1898">
        <v>74.394432068</v>
      </c>
      <c r="E1898">
        <v>50</v>
      </c>
      <c r="F1898">
        <v>49.976539612000003</v>
      </c>
      <c r="G1898">
        <v>1019.9285889</v>
      </c>
      <c r="H1898">
        <v>890.01495361000002</v>
      </c>
      <c r="I1898">
        <v>1949.9938964999999</v>
      </c>
      <c r="J1898">
        <v>1758.1091309000001</v>
      </c>
      <c r="K1898">
        <v>0</v>
      </c>
      <c r="L1898">
        <v>2400</v>
      </c>
      <c r="M1898">
        <v>2400</v>
      </c>
      <c r="N1898">
        <v>0</v>
      </c>
    </row>
    <row r="1899" spans="1:14" x14ac:dyDescent="0.25">
      <c r="A1899">
        <v>1696.101302</v>
      </c>
      <c r="B1899" s="1">
        <f>DATE(2014,12,22) + TIME(2,25,52)</f>
        <v>41995.1012962963</v>
      </c>
      <c r="C1899">
        <v>80</v>
      </c>
      <c r="D1899">
        <v>74.195434570000003</v>
      </c>
      <c r="E1899">
        <v>50</v>
      </c>
      <c r="F1899">
        <v>49.976505279999998</v>
      </c>
      <c r="G1899">
        <v>1018.2301025</v>
      </c>
      <c r="H1899">
        <v>888.16760253999996</v>
      </c>
      <c r="I1899">
        <v>1950.3546143000001</v>
      </c>
      <c r="J1899">
        <v>1758.4810791</v>
      </c>
      <c r="K1899">
        <v>0</v>
      </c>
      <c r="L1899">
        <v>2400</v>
      </c>
      <c r="M1899">
        <v>2400</v>
      </c>
      <c r="N1899">
        <v>0</v>
      </c>
    </row>
    <row r="1900" spans="1:14" x14ac:dyDescent="0.25">
      <c r="A1900">
        <v>1698.5134129999999</v>
      </c>
      <c r="B1900" s="1">
        <f>DATE(2014,12,24) + TIME(12,19,18)</f>
        <v>41997.513402777775</v>
      </c>
      <c r="C1900">
        <v>80</v>
      </c>
      <c r="D1900">
        <v>73.991767882999994</v>
      </c>
      <c r="E1900">
        <v>50</v>
      </c>
      <c r="F1900">
        <v>49.976486205999997</v>
      </c>
      <c r="G1900">
        <v>1016.5723267</v>
      </c>
      <c r="H1900">
        <v>886.34759521000001</v>
      </c>
      <c r="I1900">
        <v>1950.6187743999999</v>
      </c>
      <c r="J1900">
        <v>1758.7559814000001</v>
      </c>
      <c r="K1900">
        <v>0</v>
      </c>
      <c r="L1900">
        <v>2400</v>
      </c>
      <c r="M1900">
        <v>2400</v>
      </c>
      <c r="N1900">
        <v>0</v>
      </c>
    </row>
    <row r="1901" spans="1:14" x14ac:dyDescent="0.25">
      <c r="A1901">
        <v>1700.9933100000001</v>
      </c>
      <c r="B1901" s="1">
        <f>DATE(2014,12,26) + TIME(23,50,21)</f>
        <v>41999.993298611109</v>
      </c>
      <c r="C1901">
        <v>80</v>
      </c>
      <c r="D1901">
        <v>73.781860351999995</v>
      </c>
      <c r="E1901">
        <v>50</v>
      </c>
      <c r="F1901">
        <v>49.976478577000002</v>
      </c>
      <c r="G1901">
        <v>1014.9466553</v>
      </c>
      <c r="H1901">
        <v>884.54394531000003</v>
      </c>
      <c r="I1901">
        <v>1950.7930908000001</v>
      </c>
      <c r="J1901">
        <v>1758.9404297000001</v>
      </c>
      <c r="K1901">
        <v>0</v>
      </c>
      <c r="L1901">
        <v>2400</v>
      </c>
      <c r="M1901">
        <v>2400</v>
      </c>
      <c r="N1901">
        <v>0</v>
      </c>
    </row>
    <row r="1902" spans="1:14" x14ac:dyDescent="0.25">
      <c r="A1902">
        <v>1703.500432</v>
      </c>
      <c r="B1902" s="1">
        <f>DATE(2014,12,29) + TIME(12,0,37)</f>
        <v>42002.500428240739</v>
      </c>
      <c r="C1902">
        <v>80</v>
      </c>
      <c r="D1902">
        <v>73.566291809000006</v>
      </c>
      <c r="E1902">
        <v>50</v>
      </c>
      <c r="F1902">
        <v>49.976474762000002</v>
      </c>
      <c r="G1902">
        <v>1013.3598022</v>
      </c>
      <c r="H1902">
        <v>882.76245116999996</v>
      </c>
      <c r="I1902">
        <v>1950.8843993999999</v>
      </c>
      <c r="J1902">
        <v>1759.0413818</v>
      </c>
      <c r="K1902">
        <v>0</v>
      </c>
      <c r="L1902">
        <v>2400</v>
      </c>
      <c r="M1902">
        <v>2400</v>
      </c>
      <c r="N1902">
        <v>0</v>
      </c>
    </row>
    <row r="1903" spans="1:14" x14ac:dyDescent="0.25">
      <c r="A1903">
        <v>1706</v>
      </c>
      <c r="B1903" s="1">
        <f>DATE(2015,1,1) + TIME(0,0,0)</f>
        <v>42005</v>
      </c>
      <c r="C1903">
        <v>80</v>
      </c>
      <c r="D1903">
        <v>73.347518921000002</v>
      </c>
      <c r="E1903">
        <v>50</v>
      </c>
      <c r="F1903">
        <v>49.976482390999998</v>
      </c>
      <c r="G1903">
        <v>1011.8186646</v>
      </c>
      <c r="H1903">
        <v>881.01092529000005</v>
      </c>
      <c r="I1903">
        <v>1950.9056396000001</v>
      </c>
      <c r="J1903">
        <v>1759.0716553</v>
      </c>
      <c r="K1903">
        <v>0</v>
      </c>
      <c r="L1903">
        <v>2400</v>
      </c>
      <c r="M1903">
        <v>2400</v>
      </c>
      <c r="N1903">
        <v>0</v>
      </c>
    </row>
    <row r="1904" spans="1:14" x14ac:dyDescent="0.25">
      <c r="A1904">
        <v>1708.5597499999999</v>
      </c>
      <c r="B1904" s="1">
        <f>DATE(2015,1,3) + TIME(13,26,2)</f>
        <v>42007.559745370374</v>
      </c>
      <c r="C1904">
        <v>80</v>
      </c>
      <c r="D1904">
        <v>73.126113892000006</v>
      </c>
      <c r="E1904">
        <v>50</v>
      </c>
      <c r="F1904">
        <v>49.976497649999999</v>
      </c>
      <c r="G1904">
        <v>1010.2949219</v>
      </c>
      <c r="H1904">
        <v>879.26080321999996</v>
      </c>
      <c r="I1904">
        <v>1950.8741454999999</v>
      </c>
      <c r="J1904">
        <v>1759.0483397999999</v>
      </c>
      <c r="K1904">
        <v>0</v>
      </c>
      <c r="L1904">
        <v>2400</v>
      </c>
      <c r="M1904">
        <v>2400</v>
      </c>
      <c r="N1904">
        <v>0</v>
      </c>
    </row>
    <row r="1905" spans="1:14" x14ac:dyDescent="0.25">
      <c r="A1905">
        <v>1711.2624029999999</v>
      </c>
      <c r="B1905" s="1">
        <f>DATE(2015,1,6) + TIME(6,17,51)</f>
        <v>42010.262395833335</v>
      </c>
      <c r="C1905">
        <v>80</v>
      </c>
      <c r="D1905">
        <v>72.897254943999997</v>
      </c>
      <c r="E1905">
        <v>50</v>
      </c>
      <c r="F1905">
        <v>49.976520538000003</v>
      </c>
      <c r="G1905">
        <v>1008.7453613</v>
      </c>
      <c r="H1905">
        <v>877.46331786999997</v>
      </c>
      <c r="I1905">
        <v>1950.7956543</v>
      </c>
      <c r="J1905">
        <v>1758.9779053</v>
      </c>
      <c r="K1905">
        <v>0</v>
      </c>
      <c r="L1905">
        <v>2400</v>
      </c>
      <c r="M1905">
        <v>2400</v>
      </c>
      <c r="N1905">
        <v>0</v>
      </c>
    </row>
    <row r="1906" spans="1:14" x14ac:dyDescent="0.25">
      <c r="A1906">
        <v>1713.9954310000001</v>
      </c>
      <c r="B1906" s="1">
        <f>DATE(2015,1,8) + TIME(23,53,25)</f>
        <v>42012.995428240742</v>
      </c>
      <c r="C1906">
        <v>80</v>
      </c>
      <c r="D1906">
        <v>72.657600403000004</v>
      </c>
      <c r="E1906">
        <v>50</v>
      </c>
      <c r="F1906">
        <v>49.976547240999999</v>
      </c>
      <c r="G1906">
        <v>1007.182312</v>
      </c>
      <c r="H1906">
        <v>875.62567138999998</v>
      </c>
      <c r="I1906">
        <v>1950.6688231999999</v>
      </c>
      <c r="J1906">
        <v>1758.8586425999999</v>
      </c>
      <c r="K1906">
        <v>0</v>
      </c>
      <c r="L1906">
        <v>2400</v>
      </c>
      <c r="M1906">
        <v>2400</v>
      </c>
      <c r="N1906">
        <v>0</v>
      </c>
    </row>
    <row r="1907" spans="1:14" x14ac:dyDescent="0.25">
      <c r="A1907">
        <v>1716.7851430000001</v>
      </c>
      <c r="B1907" s="1">
        <f>DATE(2015,1,11) + TIME(18,50,36)</f>
        <v>42015.785138888888</v>
      </c>
      <c r="C1907">
        <v>80</v>
      </c>
      <c r="D1907">
        <v>72.410949707</v>
      </c>
      <c r="E1907">
        <v>50</v>
      </c>
      <c r="F1907">
        <v>49.976577759000001</v>
      </c>
      <c r="G1907">
        <v>1005.6067505</v>
      </c>
      <c r="H1907">
        <v>873.75073241999996</v>
      </c>
      <c r="I1907">
        <v>1950.5047606999999</v>
      </c>
      <c r="J1907">
        <v>1758.7017822</v>
      </c>
      <c r="K1907">
        <v>0</v>
      </c>
      <c r="L1907">
        <v>2400</v>
      </c>
      <c r="M1907">
        <v>2400</v>
      </c>
      <c r="N1907">
        <v>0</v>
      </c>
    </row>
    <row r="1908" spans="1:14" x14ac:dyDescent="0.25">
      <c r="A1908">
        <v>1719.657565</v>
      </c>
      <c r="B1908" s="1">
        <f>DATE(2015,1,14) + TIME(15,46,53)</f>
        <v>42018.657557870371</v>
      </c>
      <c r="C1908">
        <v>80</v>
      </c>
      <c r="D1908">
        <v>72.156013489000003</v>
      </c>
      <c r="E1908">
        <v>50</v>
      </c>
      <c r="F1908">
        <v>49.976615905999999</v>
      </c>
      <c r="G1908">
        <v>1004.0018921</v>
      </c>
      <c r="H1908">
        <v>871.81909180000002</v>
      </c>
      <c r="I1908">
        <v>1950.3089600000001</v>
      </c>
      <c r="J1908">
        <v>1758.5128173999999</v>
      </c>
      <c r="K1908">
        <v>0</v>
      </c>
      <c r="L1908">
        <v>2400</v>
      </c>
      <c r="M1908">
        <v>2400</v>
      </c>
      <c r="N1908">
        <v>0</v>
      </c>
    </row>
    <row r="1909" spans="1:14" x14ac:dyDescent="0.25">
      <c r="A1909">
        <v>1722.583073</v>
      </c>
      <c r="B1909" s="1">
        <f>DATE(2015,1,17) + TIME(13,59,37)</f>
        <v>42021.583067129628</v>
      </c>
      <c r="C1909">
        <v>80</v>
      </c>
      <c r="D1909">
        <v>71.891281128000003</v>
      </c>
      <c r="E1909">
        <v>50</v>
      </c>
      <c r="F1909">
        <v>49.976654052999997</v>
      </c>
      <c r="G1909">
        <v>1002.3629761</v>
      </c>
      <c r="H1909">
        <v>869.82244873000002</v>
      </c>
      <c r="I1909">
        <v>1950.0859375</v>
      </c>
      <c r="J1909">
        <v>1758.2961425999999</v>
      </c>
      <c r="K1909">
        <v>0</v>
      </c>
      <c r="L1909">
        <v>2400</v>
      </c>
      <c r="M1909">
        <v>2400</v>
      </c>
      <c r="N1909">
        <v>0</v>
      </c>
    </row>
    <row r="1910" spans="1:14" x14ac:dyDescent="0.25">
      <c r="A1910">
        <v>1725.5472460000001</v>
      </c>
      <c r="B1910" s="1">
        <f>DATE(2015,1,20) + TIME(13,8,2)</f>
        <v>42024.54724537037</v>
      </c>
      <c r="C1910">
        <v>80</v>
      </c>
      <c r="D1910">
        <v>71.617790221999996</v>
      </c>
      <c r="E1910">
        <v>50</v>
      </c>
      <c r="F1910">
        <v>49.976696013999998</v>
      </c>
      <c r="G1910">
        <v>1000.6918945</v>
      </c>
      <c r="H1910">
        <v>867.76214600000003</v>
      </c>
      <c r="I1910">
        <v>1949.8415527</v>
      </c>
      <c r="J1910">
        <v>1758.0579834</v>
      </c>
      <c r="K1910">
        <v>0</v>
      </c>
      <c r="L1910">
        <v>2400</v>
      </c>
      <c r="M1910">
        <v>2400</v>
      </c>
      <c r="N1910">
        <v>0</v>
      </c>
    </row>
    <row r="1911" spans="1:14" x14ac:dyDescent="0.25">
      <c r="A1911">
        <v>1728.576585</v>
      </c>
      <c r="B1911" s="1">
        <f>DATE(2015,1,23) + TIME(13,50,16)</f>
        <v>42027.576574074075</v>
      </c>
      <c r="C1911">
        <v>80</v>
      </c>
      <c r="D1911">
        <v>71.335693359000004</v>
      </c>
      <c r="E1911">
        <v>50</v>
      </c>
      <c r="F1911">
        <v>49.976745604999998</v>
      </c>
      <c r="G1911">
        <v>998.97991943</v>
      </c>
      <c r="H1911">
        <v>865.62835693</v>
      </c>
      <c r="I1911">
        <v>1949.5800781</v>
      </c>
      <c r="J1911">
        <v>1757.8022461</v>
      </c>
      <c r="K1911">
        <v>0</v>
      </c>
      <c r="L1911">
        <v>2400</v>
      </c>
      <c r="M1911">
        <v>2400</v>
      </c>
      <c r="N1911">
        <v>0</v>
      </c>
    </row>
    <row r="1912" spans="1:14" x14ac:dyDescent="0.25">
      <c r="A1912">
        <v>1731.6979040000001</v>
      </c>
      <c r="B1912" s="1">
        <f>DATE(2015,1,26) + TIME(16,44,58)</f>
        <v>42030.697893518518</v>
      </c>
      <c r="C1912">
        <v>80</v>
      </c>
      <c r="D1912">
        <v>71.042694092000005</v>
      </c>
      <c r="E1912">
        <v>50</v>
      </c>
      <c r="F1912">
        <v>49.976795197000001</v>
      </c>
      <c r="G1912">
        <v>997.20935058999999</v>
      </c>
      <c r="H1912">
        <v>863.39837646000001</v>
      </c>
      <c r="I1912">
        <v>1949.3029785000001</v>
      </c>
      <c r="J1912">
        <v>1757.5305175999999</v>
      </c>
      <c r="K1912">
        <v>0</v>
      </c>
      <c r="L1912">
        <v>2400</v>
      </c>
      <c r="M1912">
        <v>2400</v>
      </c>
      <c r="N1912">
        <v>0</v>
      </c>
    </row>
    <row r="1913" spans="1:14" x14ac:dyDescent="0.25">
      <c r="A1913">
        <v>1734.8463959999999</v>
      </c>
      <c r="B1913" s="1">
        <f>DATE(2015,1,29) + TIME(20,18,48)</f>
        <v>42033.846388888887</v>
      </c>
      <c r="C1913">
        <v>80</v>
      </c>
      <c r="D1913">
        <v>70.737289429</v>
      </c>
      <c r="E1913">
        <v>50</v>
      </c>
      <c r="F1913">
        <v>49.976844788000001</v>
      </c>
      <c r="G1913">
        <v>995.38037109000004</v>
      </c>
      <c r="H1913">
        <v>861.06817626999998</v>
      </c>
      <c r="I1913">
        <v>1949.0146483999999</v>
      </c>
      <c r="J1913">
        <v>1757.2473144999999</v>
      </c>
      <c r="K1913">
        <v>0</v>
      </c>
      <c r="L1913">
        <v>2400</v>
      </c>
      <c r="M1913">
        <v>2400</v>
      </c>
      <c r="N1913">
        <v>0</v>
      </c>
    </row>
    <row r="1914" spans="1:14" x14ac:dyDescent="0.25">
      <c r="A1914">
        <v>1737</v>
      </c>
      <c r="B1914" s="1">
        <f>DATE(2015,2,1) + TIME(0,0,0)</f>
        <v>42036</v>
      </c>
      <c r="C1914">
        <v>80</v>
      </c>
      <c r="D1914">
        <v>70.449005127000007</v>
      </c>
      <c r="E1914">
        <v>50</v>
      </c>
      <c r="F1914">
        <v>49.976860045999999</v>
      </c>
      <c r="G1914">
        <v>993.75445557</v>
      </c>
      <c r="H1914">
        <v>858.94445800999995</v>
      </c>
      <c r="I1914">
        <v>1948.7729492000001</v>
      </c>
      <c r="J1914">
        <v>1757.0101318</v>
      </c>
      <c r="K1914">
        <v>0</v>
      </c>
      <c r="L1914">
        <v>2400</v>
      </c>
      <c r="M1914">
        <v>2400</v>
      </c>
      <c r="N1914">
        <v>0</v>
      </c>
    </row>
    <row r="1915" spans="1:14" x14ac:dyDescent="0.25">
      <c r="A1915">
        <v>1740.1987839999999</v>
      </c>
      <c r="B1915" s="1">
        <f>DATE(2015,2,4) + TIME(4,46,14)</f>
        <v>42039.198773148149</v>
      </c>
      <c r="C1915">
        <v>80</v>
      </c>
      <c r="D1915">
        <v>70.186515807999996</v>
      </c>
      <c r="E1915">
        <v>50</v>
      </c>
      <c r="F1915">
        <v>49.976936340000002</v>
      </c>
      <c r="G1915">
        <v>992.12939453000001</v>
      </c>
      <c r="H1915">
        <v>856.85620116999996</v>
      </c>
      <c r="I1915">
        <v>1948.503418</v>
      </c>
      <c r="J1915">
        <v>1756.7441406</v>
      </c>
      <c r="K1915">
        <v>0</v>
      </c>
      <c r="L1915">
        <v>2400</v>
      </c>
      <c r="M1915">
        <v>2400</v>
      </c>
      <c r="N1915">
        <v>0</v>
      </c>
    </row>
    <row r="1916" spans="1:14" x14ac:dyDescent="0.25">
      <c r="A1916">
        <v>1743.5256159999999</v>
      </c>
      <c r="B1916" s="1">
        <f>DATE(2015,2,7) + TIME(12,36,53)</f>
        <v>42042.525613425925</v>
      </c>
      <c r="C1916">
        <v>80</v>
      </c>
      <c r="D1916">
        <v>69.864974975999999</v>
      </c>
      <c r="E1916">
        <v>50</v>
      </c>
      <c r="F1916">
        <v>49.976989746000001</v>
      </c>
      <c r="G1916">
        <v>990.18353271000001</v>
      </c>
      <c r="H1916">
        <v>854.32281493999994</v>
      </c>
      <c r="I1916">
        <v>1948.2082519999999</v>
      </c>
      <c r="J1916">
        <v>1756.4532471</v>
      </c>
      <c r="K1916">
        <v>0</v>
      </c>
      <c r="L1916">
        <v>2400</v>
      </c>
      <c r="M1916">
        <v>2400</v>
      </c>
      <c r="N1916">
        <v>0</v>
      </c>
    </row>
    <row r="1917" spans="1:14" x14ac:dyDescent="0.25">
      <c r="A1917">
        <v>1746.883716</v>
      </c>
      <c r="B1917" s="1">
        <f>DATE(2015,2,10) + TIME(21,12,33)</f>
        <v>42045.883715277778</v>
      </c>
      <c r="C1917">
        <v>80</v>
      </c>
      <c r="D1917">
        <v>69.515632628999995</v>
      </c>
      <c r="E1917">
        <v>50</v>
      </c>
      <c r="F1917">
        <v>49.977043152</v>
      </c>
      <c r="G1917">
        <v>988.11755371000004</v>
      </c>
      <c r="H1917">
        <v>851.59387206999997</v>
      </c>
      <c r="I1917">
        <v>1947.901001</v>
      </c>
      <c r="J1917">
        <v>1756.1500243999999</v>
      </c>
      <c r="K1917">
        <v>0</v>
      </c>
      <c r="L1917">
        <v>2400</v>
      </c>
      <c r="M1917">
        <v>2400</v>
      </c>
      <c r="N1917">
        <v>0</v>
      </c>
    </row>
    <row r="1918" spans="1:14" x14ac:dyDescent="0.25">
      <c r="A1918">
        <v>1750.2992810000001</v>
      </c>
      <c r="B1918" s="1">
        <f>DATE(2015,2,14) + TIME(7,10,57)</f>
        <v>42049.299270833333</v>
      </c>
      <c r="C1918">
        <v>80</v>
      </c>
      <c r="D1918">
        <v>69.150787354000002</v>
      </c>
      <c r="E1918">
        <v>50</v>
      </c>
      <c r="F1918">
        <v>49.977100372000002</v>
      </c>
      <c r="G1918">
        <v>985.97052001999998</v>
      </c>
      <c r="H1918">
        <v>848.72973633000004</v>
      </c>
      <c r="I1918">
        <v>1947.5893555</v>
      </c>
      <c r="J1918">
        <v>1755.8422852000001</v>
      </c>
      <c r="K1918">
        <v>0</v>
      </c>
      <c r="L1918">
        <v>2400</v>
      </c>
      <c r="M1918">
        <v>2400</v>
      </c>
      <c r="N1918">
        <v>0</v>
      </c>
    </row>
    <row r="1919" spans="1:14" x14ac:dyDescent="0.25">
      <c r="A1919">
        <v>1753.800045</v>
      </c>
      <c r="B1919" s="1">
        <f>DATE(2015,2,17) + TIME(19,12,3)</f>
        <v>42052.800034722219</v>
      </c>
      <c r="C1919">
        <v>80</v>
      </c>
      <c r="D1919">
        <v>68.769805907999995</v>
      </c>
      <c r="E1919">
        <v>50</v>
      </c>
      <c r="F1919">
        <v>49.977157593000001</v>
      </c>
      <c r="G1919">
        <v>983.73168944999998</v>
      </c>
      <c r="H1919">
        <v>845.71704102000001</v>
      </c>
      <c r="I1919">
        <v>1947.2746582</v>
      </c>
      <c r="J1919">
        <v>1755.5313721</v>
      </c>
      <c r="K1919">
        <v>0</v>
      </c>
      <c r="L1919">
        <v>2400</v>
      </c>
      <c r="M1919">
        <v>2400</v>
      </c>
      <c r="N1919">
        <v>0</v>
      </c>
    </row>
    <row r="1920" spans="1:14" x14ac:dyDescent="0.25">
      <c r="A1920">
        <v>1757.333339</v>
      </c>
      <c r="B1920" s="1">
        <f>DATE(2015,2,21) + TIME(8,0,0)</f>
        <v>42056.333333333336</v>
      </c>
      <c r="C1920">
        <v>80</v>
      </c>
      <c r="D1920">
        <v>68.370811462000006</v>
      </c>
      <c r="E1920">
        <v>50</v>
      </c>
      <c r="F1920">
        <v>49.977214813000003</v>
      </c>
      <c r="G1920">
        <v>981.39709473000005</v>
      </c>
      <c r="H1920">
        <v>842.54644774999997</v>
      </c>
      <c r="I1920">
        <v>1946.9597168</v>
      </c>
      <c r="J1920">
        <v>1755.2198486</v>
      </c>
      <c r="K1920">
        <v>0</v>
      </c>
      <c r="L1920">
        <v>2400</v>
      </c>
      <c r="M1920">
        <v>2400</v>
      </c>
      <c r="N1920">
        <v>0</v>
      </c>
    </row>
    <row r="1921" spans="1:14" x14ac:dyDescent="0.25">
      <c r="A1921">
        <v>1760.9171779999999</v>
      </c>
      <c r="B1921" s="1">
        <f>DATE(2015,2,24) + TIME(22,0,44)</f>
        <v>42059.917175925926</v>
      </c>
      <c r="C1921">
        <v>80</v>
      </c>
      <c r="D1921">
        <v>67.956237793</v>
      </c>
      <c r="E1921">
        <v>50</v>
      </c>
      <c r="F1921">
        <v>49.977272034000002</v>
      </c>
      <c r="G1921">
        <v>978.97814941000001</v>
      </c>
      <c r="H1921">
        <v>839.23315430000002</v>
      </c>
      <c r="I1921">
        <v>1946.6455077999999</v>
      </c>
      <c r="J1921">
        <v>1754.9090576000001</v>
      </c>
      <c r="K1921">
        <v>0</v>
      </c>
      <c r="L1921">
        <v>2400</v>
      </c>
      <c r="M1921">
        <v>2400</v>
      </c>
      <c r="N1921">
        <v>0</v>
      </c>
    </row>
    <row r="1922" spans="1:14" x14ac:dyDescent="0.25">
      <c r="A1922">
        <v>1764.5790939999999</v>
      </c>
      <c r="B1922" s="1">
        <f>DATE(2015,2,28) + TIME(13,53,53)</f>
        <v>42063.579085648147</v>
      </c>
      <c r="C1922">
        <v>80</v>
      </c>
      <c r="D1922">
        <v>67.524032593000001</v>
      </c>
      <c r="E1922">
        <v>50</v>
      </c>
      <c r="F1922">
        <v>49.977333068999997</v>
      </c>
      <c r="G1922">
        <v>976.46246338000003</v>
      </c>
      <c r="H1922">
        <v>835.75964354999996</v>
      </c>
      <c r="I1922">
        <v>1946.3312988</v>
      </c>
      <c r="J1922">
        <v>1754.5979004000001</v>
      </c>
      <c r="K1922">
        <v>0</v>
      </c>
      <c r="L1922">
        <v>2400</v>
      </c>
      <c r="M1922">
        <v>2400</v>
      </c>
      <c r="N1922">
        <v>0</v>
      </c>
    </row>
    <row r="1923" spans="1:14" x14ac:dyDescent="0.25">
      <c r="A1923">
        <v>1765</v>
      </c>
      <c r="B1923" s="1">
        <f>DATE(2015,3,1) + TIME(0,0,0)</f>
        <v>42064</v>
      </c>
      <c r="C1923">
        <v>80</v>
      </c>
      <c r="D1923">
        <v>67.328987122000001</v>
      </c>
      <c r="E1923">
        <v>50</v>
      </c>
      <c r="F1923">
        <v>49.977317810000002</v>
      </c>
      <c r="G1923">
        <v>975.09100341999999</v>
      </c>
      <c r="H1923">
        <v>833.88128661999997</v>
      </c>
      <c r="I1923">
        <v>1946.2733154</v>
      </c>
      <c r="J1923">
        <v>1754.5411377</v>
      </c>
      <c r="K1923">
        <v>0</v>
      </c>
      <c r="L1923">
        <v>2400</v>
      </c>
      <c r="M1923">
        <v>2400</v>
      </c>
      <c r="N1923">
        <v>0</v>
      </c>
    </row>
    <row r="1924" spans="1:14" x14ac:dyDescent="0.25">
      <c r="A1924">
        <v>1768.7011910000001</v>
      </c>
      <c r="B1924" s="1">
        <f>DATE(2015,3,4) + TIME(16,49,42)</f>
        <v>42067.701180555552</v>
      </c>
      <c r="C1924">
        <v>80</v>
      </c>
      <c r="D1924">
        <v>66.992698669000006</v>
      </c>
      <c r="E1924">
        <v>50</v>
      </c>
      <c r="F1924">
        <v>49.977397918999998</v>
      </c>
      <c r="G1924">
        <v>973.44049071999996</v>
      </c>
      <c r="H1924">
        <v>831.52197265999996</v>
      </c>
      <c r="I1924">
        <v>1945.9694824000001</v>
      </c>
      <c r="J1924">
        <v>1754.2395019999999</v>
      </c>
      <c r="K1924">
        <v>0</v>
      </c>
      <c r="L1924">
        <v>2400</v>
      </c>
      <c r="M1924">
        <v>2400</v>
      </c>
      <c r="N1924">
        <v>0</v>
      </c>
    </row>
    <row r="1925" spans="1:14" x14ac:dyDescent="0.25">
      <c r="A1925">
        <v>1772.4570510000001</v>
      </c>
      <c r="B1925" s="1">
        <f>DATE(2015,3,8) + TIME(10,58,9)</f>
        <v>42071.457048611112</v>
      </c>
      <c r="C1925">
        <v>80</v>
      </c>
      <c r="D1925">
        <v>66.542419433999996</v>
      </c>
      <c r="E1925">
        <v>50</v>
      </c>
      <c r="F1925">
        <v>49.977458953999999</v>
      </c>
      <c r="G1925">
        <v>970.78936768000005</v>
      </c>
      <c r="H1925">
        <v>827.82226562000005</v>
      </c>
      <c r="I1925">
        <v>1945.6679687999999</v>
      </c>
      <c r="J1925">
        <v>1753.9405518000001</v>
      </c>
      <c r="K1925">
        <v>0</v>
      </c>
      <c r="L1925">
        <v>2400</v>
      </c>
      <c r="M1925">
        <v>2400</v>
      </c>
      <c r="N1925">
        <v>0</v>
      </c>
    </row>
    <row r="1926" spans="1:14" x14ac:dyDescent="0.25">
      <c r="A1926">
        <v>1776.292864</v>
      </c>
      <c r="B1926" s="1">
        <f>DATE(2015,3,12) + TIME(7,1,43)</f>
        <v>42075.292858796296</v>
      </c>
      <c r="C1926">
        <v>80</v>
      </c>
      <c r="D1926">
        <v>66.053810119999994</v>
      </c>
      <c r="E1926">
        <v>50</v>
      </c>
      <c r="F1926">
        <v>49.977519989000001</v>
      </c>
      <c r="G1926">
        <v>967.97198486000002</v>
      </c>
      <c r="H1926">
        <v>823.83789062000005</v>
      </c>
      <c r="I1926">
        <v>1945.3601074000001</v>
      </c>
      <c r="J1926">
        <v>1753.635376</v>
      </c>
      <c r="K1926">
        <v>0</v>
      </c>
      <c r="L1926">
        <v>2400</v>
      </c>
      <c r="M1926">
        <v>2400</v>
      </c>
      <c r="N1926">
        <v>0</v>
      </c>
    </row>
    <row r="1927" spans="1:14" x14ac:dyDescent="0.25">
      <c r="A1927">
        <v>1780.157737</v>
      </c>
      <c r="B1927" s="1">
        <f>DATE(2015,3,16) + TIME(3,47,8)</f>
        <v>42079.157731481479</v>
      </c>
      <c r="C1927">
        <v>80</v>
      </c>
      <c r="D1927">
        <v>65.540550232000001</v>
      </c>
      <c r="E1927">
        <v>50</v>
      </c>
      <c r="F1927">
        <v>49.977577209000003</v>
      </c>
      <c r="G1927">
        <v>965.03320312000005</v>
      </c>
      <c r="H1927">
        <v>819.64654541000004</v>
      </c>
      <c r="I1927">
        <v>1945.052124</v>
      </c>
      <c r="J1927">
        <v>1753.3298339999999</v>
      </c>
      <c r="K1927">
        <v>0</v>
      </c>
      <c r="L1927">
        <v>2400</v>
      </c>
      <c r="M1927">
        <v>2400</v>
      </c>
      <c r="N1927">
        <v>0</v>
      </c>
    </row>
    <row r="1928" spans="1:14" x14ac:dyDescent="0.25">
      <c r="A1928">
        <v>1784.075376</v>
      </c>
      <c r="B1928" s="1">
        <f>DATE(2015,3,20) + TIME(1,48,32)</f>
        <v>42083.075370370374</v>
      </c>
      <c r="C1928">
        <v>80</v>
      </c>
      <c r="D1928">
        <v>65.008003235000004</v>
      </c>
      <c r="E1928">
        <v>50</v>
      </c>
      <c r="F1928">
        <v>49.977638245000001</v>
      </c>
      <c r="G1928">
        <v>961.99664307</v>
      </c>
      <c r="H1928">
        <v>815.28265381000006</v>
      </c>
      <c r="I1928">
        <v>1944.7452393000001</v>
      </c>
      <c r="J1928">
        <v>1753.0252685999999</v>
      </c>
      <c r="K1928">
        <v>0</v>
      </c>
      <c r="L1928">
        <v>2400</v>
      </c>
      <c r="M1928">
        <v>2400</v>
      </c>
      <c r="N1928">
        <v>0</v>
      </c>
    </row>
    <row r="1929" spans="1:14" x14ac:dyDescent="0.25">
      <c r="A1929">
        <v>1788.0601039999999</v>
      </c>
      <c r="B1929" s="1">
        <f>DATE(2015,3,24) + TIME(1,26,32)</f>
        <v>42087.06009259259</v>
      </c>
      <c r="C1929">
        <v>80</v>
      </c>
      <c r="D1929">
        <v>64.455070496000005</v>
      </c>
      <c r="E1929">
        <v>50</v>
      </c>
      <c r="F1929">
        <v>49.977699280000003</v>
      </c>
      <c r="G1929">
        <v>958.85314941000001</v>
      </c>
      <c r="H1929">
        <v>810.73443603999999</v>
      </c>
      <c r="I1929">
        <v>1944.4387207</v>
      </c>
      <c r="J1929">
        <v>1752.7209473</v>
      </c>
      <c r="K1929">
        <v>0</v>
      </c>
      <c r="L1929">
        <v>2400</v>
      </c>
      <c r="M1929">
        <v>2400</v>
      </c>
      <c r="N1929">
        <v>0</v>
      </c>
    </row>
    <row r="1930" spans="1:14" x14ac:dyDescent="0.25">
      <c r="A1930">
        <v>1792.0749109999999</v>
      </c>
      <c r="B1930" s="1">
        <f>DATE(2015,3,28) + TIME(1,47,52)</f>
        <v>42091.074907407405</v>
      </c>
      <c r="C1930">
        <v>80</v>
      </c>
      <c r="D1930">
        <v>63.880435943999998</v>
      </c>
      <c r="E1930">
        <v>50</v>
      </c>
      <c r="F1930">
        <v>49.977756499999998</v>
      </c>
      <c r="G1930">
        <v>955.59979248000002</v>
      </c>
      <c r="H1930">
        <v>805.99291991999996</v>
      </c>
      <c r="I1930">
        <v>1944.1337891000001</v>
      </c>
      <c r="J1930">
        <v>1752.4180908000001</v>
      </c>
      <c r="K1930">
        <v>0</v>
      </c>
      <c r="L1930">
        <v>2400</v>
      </c>
      <c r="M1930">
        <v>2400</v>
      </c>
      <c r="N1930">
        <v>0</v>
      </c>
    </row>
    <row r="1931" spans="1:14" x14ac:dyDescent="0.25">
      <c r="A1931">
        <v>1796</v>
      </c>
      <c r="B1931" s="1">
        <f>DATE(2015,4,1) + TIME(0,0,0)</f>
        <v>42095</v>
      </c>
      <c r="C1931">
        <v>80</v>
      </c>
      <c r="D1931">
        <v>63.290607452000003</v>
      </c>
      <c r="E1931">
        <v>50</v>
      </c>
      <c r="F1931">
        <v>49.977813720999997</v>
      </c>
      <c r="G1931">
        <v>952.27844238</v>
      </c>
      <c r="H1931">
        <v>801.11608887</v>
      </c>
      <c r="I1931">
        <v>1943.8356934000001</v>
      </c>
      <c r="J1931">
        <v>1752.1219481999999</v>
      </c>
      <c r="K1931">
        <v>0</v>
      </c>
      <c r="L1931">
        <v>2400</v>
      </c>
      <c r="M1931">
        <v>2400</v>
      </c>
      <c r="N193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2022-07-22T09:36:46Z</dcterms:created>
  <dcterms:modified xsi:type="dcterms:W3CDTF">2022-07-22T09:37:22Z</dcterms:modified>
</cp:coreProperties>
</file>