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Parameterstudy_kh_kv/"/>
    </mc:Choice>
  </mc:AlternateContent>
  <xr:revisionPtr revIDLastSave="0" documentId="8_{E25F4433-7BF9-4500-87C2-3593D1BF892B}" xr6:coauthVersionLast="47" xr6:coauthVersionMax="47" xr10:uidLastSave="{00000000-0000-0000-0000-000000000000}"/>
  <bookViews>
    <workbookView xWindow="-26220" yWindow="2580" windowWidth="15375" windowHeight="7875" xr2:uid="{752E1859-7319-48FF-A299-C989ADCD1CFF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03" i="1" l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<sst xmlns="http://schemas.openxmlformats.org/spreadsheetml/2006/main" count="15" uniqueCount="15">
  <si>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MODEL\SCENARIOS\2022\Parameterstudy_kh_kv\kh1_kv10.sr3</t>
  </si>
  <si>
    <t>Time (day)</t>
  </si>
  <si>
    <t>Date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</si>
  <si>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</si>
  <si>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</si>
  <si>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</si>
  <si>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</si>
  <si>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</si>
  <si>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</si>
  <si>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</si>
  <si>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</si>
  <si>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INJ-Fluid Rate SC (m³/day)</t>
  </si>
  <si>
    <t>Hot well PROD-Fluid Rate SC (m³/day)</t>
  </si>
  <si>
    <t>Warm well INJ-Fluid Rate SC (m³/day)</t>
  </si>
  <si>
    <t>Warm well PROD-Fluid Rate SC (m³/day)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</si>
</sst>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18D7C3-831E-4145-ACE1-129C8939D3B8}" name="Table1" displayName="Table1" ref="A3:N2003" totalsRowShown="0">
  <autoFilter ref="A3:N2003" xr:uid="{6018D7C3-831E-4145-ACE1-129C8939D3B8}"/>
  <tableColumns count="14">
    <tableColumn id="1" xr3:uid="{65DD0D65-5B84-4509-939D-E0BB3B3E8759}" name="Time (day)"/>
    <tableColumn id="2" xr3:uid="{D61440C5-4BD1-4FEA-A9B2-9F0773DAF589}" name="Date" dataDxfId="0"/>
    <tableColumn id="3" xr3:uid="{723EDB69-0BF4-43F2-88CF-866DCBF5B0EF}" name="Hot well INJ-Well bottom hole temperature (C)"/>
    <tableColumn id="4" xr3:uid="{B93F0633-76EE-493B-9269-62D33DFCC4FF}" name="Hot well PROD-Well bottom hole temperature (C)"/>
    <tableColumn id="5" xr3:uid="{C08D9F51-2D04-49DB-AA1A-16494D47D90D}" name="Warm well INJ-Well bottom hole temperature (C)"/>
    <tableColumn id="6" xr3:uid="{1B62272C-486C-44C4-9868-3590A551798F}" name="Warm well PROD-Well bottom hole temperature (C)"/>
    <tableColumn id="7" xr3:uid="{86EDA3AE-5580-4428-9FC7-03160172EB69}" name="Hot well INJ-Well Bottom-hole Pressure (kPa)"/>
    <tableColumn id="8" xr3:uid="{37D7D2C5-8B32-4AE4-8080-AF732EFF6E86}" name="Hot well PROD-Well Bottom-hole Pressure (kPa)"/>
    <tableColumn id="9" xr3:uid="{1D8BEDE9-05B3-47A5-B277-8AFAAABD6CE1}" name="Warm well INJ-Well Bottom-hole Pressure (kPa)"/>
    <tableColumn id="10" xr3:uid="{6D969406-C107-47DA-8179-79115FBAA263}" name="Warm well PROD-Well Bottom-hole Pressure (kPa)"/>
    <tableColumn id="11" xr3:uid="{7D5A96B2-951D-4ABD-979D-536FE121EA87}" name="Hot well INJ-Fluid Rate SC (m³/day)"/>
    <tableColumn id="12" xr3:uid="{271788BD-543E-4076-A80C-FB28CD36D1F3}" name="Hot well PROD-Fluid Rate SC (m³/day)"/>
    <tableColumn id="13" xr3:uid="{C0268E49-9B6F-498A-B9E0-0630E638406E}" name="Warm well INJ-Fluid Rate SC (m³/day)"/>
    <tableColumn id="14" xr3:uid="{F479EBC5-20CB-44E2-95A3-CDE5BCD5A025}" name="Warm well PROD-Fluid Rate SC (m³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14E60-6EDF-4182-B4FC-7792E4F8A5E3}">
  <dimension ref="A1:N2003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44.85546875" customWidth="1"/>
    <col min="4" max="5" width="47.140625" customWidth="1"/>
    <col min="6" max="6" width="49.42578125" customWidth="1"/>
    <col min="7" max="7" width="43.5703125" customWidth="1"/>
    <col min="8" max="9" width="45.85546875" customWidth="1"/>
    <col min="10" max="10" width="48.140625" customWidth="1"/>
    <col min="11" max="11" width="34.140625" customWidth="1"/>
    <col min="12" max="13" width="36.42578125" customWidth="1"/>
    <col min="14" max="14" width="38.710937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80</v>
      </c>
      <c r="D4">
        <v>15.000079155</v>
      </c>
      <c r="E4">
        <v>50</v>
      </c>
      <c r="F4">
        <v>14.999998093</v>
      </c>
      <c r="G4">
        <v>1723.6602783000001</v>
      </c>
      <c r="H4">
        <v>1329.4145507999999</v>
      </c>
      <c r="I4">
        <v>1329.4047852000001</v>
      </c>
      <c r="J4">
        <v>935.15753173999997</v>
      </c>
      <c r="K4">
        <v>2400</v>
      </c>
      <c r="L4">
        <v>0</v>
      </c>
      <c r="M4">
        <v>0</v>
      </c>
      <c r="N4">
        <v>2400</v>
      </c>
    </row>
    <row r="5" spans="1:14" x14ac:dyDescent="0.25">
      <c r="A5">
        <v>3.9999999999999998E-6</v>
      </c>
      <c r="B5" s="1">
        <f>DATE(2010,5,1) + TIME(0,0,0)</f>
        <v>40299</v>
      </c>
      <c r="C5">
        <v>80</v>
      </c>
      <c r="D5">
        <v>15.000314713</v>
      </c>
      <c r="E5">
        <v>50</v>
      </c>
      <c r="F5">
        <v>14.999993324</v>
      </c>
      <c r="G5">
        <v>1723.6726074000001</v>
      </c>
      <c r="H5">
        <v>1329.4291992000001</v>
      </c>
      <c r="I5">
        <v>1329.3902588000001</v>
      </c>
      <c r="J5">
        <v>935.14294433999999</v>
      </c>
      <c r="K5">
        <v>2400</v>
      </c>
      <c r="L5">
        <v>0</v>
      </c>
      <c r="M5">
        <v>0</v>
      </c>
      <c r="N5">
        <v>2400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80</v>
      </c>
      <c r="D6">
        <v>15.001023292999999</v>
      </c>
      <c r="E6">
        <v>50</v>
      </c>
      <c r="F6">
        <v>14.999977112</v>
      </c>
      <c r="G6">
        <v>1723.7094727000001</v>
      </c>
      <c r="H6">
        <v>1329.4730225000001</v>
      </c>
      <c r="I6">
        <v>1329.3465576000001</v>
      </c>
      <c r="J6">
        <v>935.09906006000006</v>
      </c>
      <c r="K6">
        <v>2400</v>
      </c>
      <c r="L6">
        <v>0</v>
      </c>
      <c r="M6">
        <v>0</v>
      </c>
      <c r="N6">
        <v>2400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80</v>
      </c>
      <c r="D7">
        <v>15.003149986</v>
      </c>
      <c r="E7">
        <v>50</v>
      </c>
      <c r="F7">
        <v>14.999929428</v>
      </c>
      <c r="G7">
        <v>1723.8198242000001</v>
      </c>
      <c r="H7">
        <v>1329.6044922000001</v>
      </c>
      <c r="I7">
        <v>1329.2155762</v>
      </c>
      <c r="J7">
        <v>934.96759033000001</v>
      </c>
      <c r="K7">
        <v>2400</v>
      </c>
      <c r="L7">
        <v>0</v>
      </c>
      <c r="M7">
        <v>0</v>
      </c>
      <c r="N7">
        <v>2400</v>
      </c>
    </row>
    <row r="8" spans="1:14" x14ac:dyDescent="0.25">
      <c r="A8">
        <v>1.21E-4</v>
      </c>
      <c r="B8" s="1">
        <f>DATE(2010,5,1) + TIME(0,0,10)</f>
        <v>40299.000115740739</v>
      </c>
      <c r="C8">
        <v>80</v>
      </c>
      <c r="D8">
        <v>15.009527206</v>
      </c>
      <c r="E8">
        <v>50</v>
      </c>
      <c r="F8">
        <v>14.999788283999999</v>
      </c>
      <c r="G8">
        <v>1724.1505127</v>
      </c>
      <c r="H8">
        <v>1329.9984131000001</v>
      </c>
      <c r="I8">
        <v>1328.8233643000001</v>
      </c>
      <c r="J8">
        <v>934.57379149999997</v>
      </c>
      <c r="K8">
        <v>2400</v>
      </c>
      <c r="L8">
        <v>0</v>
      </c>
      <c r="M8">
        <v>0</v>
      </c>
      <c r="N8">
        <v>2400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80</v>
      </c>
      <c r="D9">
        <v>15.028654099000001</v>
      </c>
      <c r="E9">
        <v>50</v>
      </c>
      <c r="F9">
        <v>14.999365807</v>
      </c>
      <c r="G9">
        <v>1725.1359863</v>
      </c>
      <c r="H9">
        <v>1331.1734618999999</v>
      </c>
      <c r="I9">
        <v>1327.6530762</v>
      </c>
      <c r="J9">
        <v>933.39892578000001</v>
      </c>
      <c r="K9">
        <v>2400</v>
      </c>
      <c r="L9">
        <v>0</v>
      </c>
      <c r="M9">
        <v>0</v>
      </c>
      <c r="N9">
        <v>2400</v>
      </c>
    </row>
    <row r="10" spans="1:14" x14ac:dyDescent="0.25">
      <c r="A10">
        <v>1.093E-3</v>
      </c>
      <c r="B10" s="1">
        <f>DATE(2010,5,1) + TIME(0,1,34)</f>
        <v>40299.001087962963</v>
      </c>
      <c r="C10">
        <v>80</v>
      </c>
      <c r="D10">
        <v>15.085990905999999</v>
      </c>
      <c r="E10">
        <v>50</v>
      </c>
      <c r="F10">
        <v>14.998118400999999</v>
      </c>
      <c r="G10">
        <v>1728.0367432</v>
      </c>
      <c r="H10">
        <v>1334.6419678</v>
      </c>
      <c r="I10">
        <v>1324.1992187999999</v>
      </c>
      <c r="J10">
        <v>929.93133545000001</v>
      </c>
      <c r="K10">
        <v>2400</v>
      </c>
      <c r="L10">
        <v>0</v>
      </c>
      <c r="M10">
        <v>0</v>
      </c>
      <c r="N10">
        <v>2400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80</v>
      </c>
      <c r="D11">
        <v>15.257610321</v>
      </c>
      <c r="E11">
        <v>50</v>
      </c>
      <c r="F11">
        <v>14.994558334000001</v>
      </c>
      <c r="G11">
        <v>1736.2683105000001</v>
      </c>
      <c r="H11">
        <v>1344.5667725000001</v>
      </c>
      <c r="I11">
        <v>1314.3164062000001</v>
      </c>
      <c r="J11">
        <v>920.00939941000001</v>
      </c>
      <c r="K11">
        <v>2400</v>
      </c>
      <c r="L11">
        <v>0</v>
      </c>
      <c r="M11">
        <v>0</v>
      </c>
      <c r="N11">
        <v>2400</v>
      </c>
    </row>
    <row r="12" spans="1:14" x14ac:dyDescent="0.25">
      <c r="A12">
        <v>9.8410000000000008E-3</v>
      </c>
      <c r="B12" s="1">
        <f>DATE(2010,5,1) + TIME(0,14,10)</f>
        <v>40299.009837962964</v>
      </c>
      <c r="C12">
        <v>80</v>
      </c>
      <c r="D12">
        <v>15.765863419</v>
      </c>
      <c r="E12">
        <v>50</v>
      </c>
      <c r="F12">
        <v>14.985224724</v>
      </c>
      <c r="G12">
        <v>1757.3814697</v>
      </c>
      <c r="H12">
        <v>1370.6354980000001</v>
      </c>
      <c r="I12">
        <v>1288.2877197</v>
      </c>
      <c r="J12">
        <v>893.87780762</v>
      </c>
      <c r="K12">
        <v>2400</v>
      </c>
      <c r="L12">
        <v>0</v>
      </c>
      <c r="M12">
        <v>0</v>
      </c>
      <c r="N12">
        <v>2400</v>
      </c>
    </row>
    <row r="13" spans="1:14" x14ac:dyDescent="0.25">
      <c r="A13">
        <v>2.2749999999999999E-2</v>
      </c>
      <c r="B13" s="1">
        <f>DATE(2010,5,1) + TIME(0,32,45)</f>
        <v>40299.022743055553</v>
      </c>
      <c r="C13">
        <v>80</v>
      </c>
      <c r="D13">
        <v>16.744367599</v>
      </c>
      <c r="E13">
        <v>50</v>
      </c>
      <c r="F13">
        <v>14.970756530999999</v>
      </c>
      <c r="G13">
        <v>1788.5958252</v>
      </c>
      <c r="H13">
        <v>1411.1151123</v>
      </c>
      <c r="I13">
        <v>1247.3837891000001</v>
      </c>
      <c r="J13">
        <v>852.81420897999999</v>
      </c>
      <c r="K13">
        <v>2400</v>
      </c>
      <c r="L13">
        <v>0</v>
      </c>
      <c r="M13">
        <v>0</v>
      </c>
      <c r="N13">
        <v>2400</v>
      </c>
    </row>
    <row r="14" spans="1:14" x14ac:dyDescent="0.25">
      <c r="A14">
        <v>3.5942000000000002E-2</v>
      </c>
      <c r="B14" s="1">
        <f>DATE(2010,5,1) + TIME(0,51,45)</f>
        <v>40299.035937499997</v>
      </c>
      <c r="C14">
        <v>80</v>
      </c>
      <c r="D14">
        <v>17.720682144000001</v>
      </c>
      <c r="E14">
        <v>50</v>
      </c>
      <c r="F14">
        <v>14.958986282</v>
      </c>
      <c r="G14">
        <v>1812.4962158000001</v>
      </c>
      <c r="H14">
        <v>1443.8917236</v>
      </c>
      <c r="I14">
        <v>1213.5556641000001</v>
      </c>
      <c r="J14">
        <v>818.85705566000001</v>
      </c>
      <c r="K14">
        <v>2400</v>
      </c>
      <c r="L14">
        <v>0</v>
      </c>
      <c r="M14">
        <v>0</v>
      </c>
      <c r="N14">
        <v>2400</v>
      </c>
    </row>
    <row r="15" spans="1:14" x14ac:dyDescent="0.25">
      <c r="A15">
        <v>4.9454999999999999E-2</v>
      </c>
      <c r="B15" s="1">
        <f>DATE(2010,5,1) + TIME(1,11,12)</f>
        <v>40299.049444444441</v>
      </c>
      <c r="C15">
        <v>80</v>
      </c>
      <c r="D15">
        <v>18.698835373000001</v>
      </c>
      <c r="E15">
        <v>50</v>
      </c>
      <c r="F15">
        <v>14.949308394999999</v>
      </c>
      <c r="G15">
        <v>1830.6716309000001</v>
      </c>
      <c r="H15">
        <v>1470.6171875</v>
      </c>
      <c r="I15">
        <v>1185.1489257999999</v>
      </c>
      <c r="J15">
        <v>790.34350586000005</v>
      </c>
      <c r="K15">
        <v>2400</v>
      </c>
      <c r="L15">
        <v>0</v>
      </c>
      <c r="M15">
        <v>0</v>
      </c>
      <c r="N15">
        <v>2400</v>
      </c>
    </row>
    <row r="16" spans="1:14" x14ac:dyDescent="0.25">
      <c r="A16">
        <v>6.3269000000000006E-2</v>
      </c>
      <c r="B16" s="1">
        <f>DATE(2010,5,1) + TIME(1,31,6)</f>
        <v>40299.063263888886</v>
      </c>
      <c r="C16">
        <v>80</v>
      </c>
      <c r="D16">
        <v>19.678382874</v>
      </c>
      <c r="E16">
        <v>50</v>
      </c>
      <c r="F16">
        <v>14.941292763</v>
      </c>
      <c r="G16">
        <v>1844.3306885</v>
      </c>
      <c r="H16">
        <v>1492.5111084</v>
      </c>
      <c r="I16">
        <v>1161.0170897999999</v>
      </c>
      <c r="J16">
        <v>766.12280272999999</v>
      </c>
      <c r="K16">
        <v>2400</v>
      </c>
      <c r="L16">
        <v>0</v>
      </c>
      <c r="M16">
        <v>0</v>
      </c>
      <c r="N16">
        <v>2400</v>
      </c>
    </row>
    <row r="17" spans="1:14" x14ac:dyDescent="0.25">
      <c r="A17">
        <v>7.7371999999999996E-2</v>
      </c>
      <c r="B17" s="1">
        <f>DATE(2010,5,1) + TIME(1,51,24)</f>
        <v>40299.077361111114</v>
      </c>
      <c r="C17">
        <v>80</v>
      </c>
      <c r="D17">
        <v>20.659561156999999</v>
      </c>
      <c r="E17">
        <v>50</v>
      </c>
      <c r="F17">
        <v>14.934600830000001</v>
      </c>
      <c r="G17">
        <v>1854.4512939000001</v>
      </c>
      <c r="H17">
        <v>1510.5679932</v>
      </c>
      <c r="I17">
        <v>1140.269043</v>
      </c>
      <c r="J17">
        <v>745.30023193</v>
      </c>
      <c r="K17">
        <v>2400</v>
      </c>
      <c r="L17">
        <v>0</v>
      </c>
      <c r="M17">
        <v>0</v>
      </c>
      <c r="N17">
        <v>2400</v>
      </c>
    </row>
    <row r="18" spans="1:14" x14ac:dyDescent="0.25">
      <c r="A18">
        <v>9.1744999999999993E-2</v>
      </c>
      <c r="B18" s="1">
        <f>DATE(2010,5,1) + TIME(2,12,6)</f>
        <v>40299.091736111113</v>
      </c>
      <c r="C18">
        <v>80</v>
      </c>
      <c r="D18">
        <v>21.641227722</v>
      </c>
      <c r="E18">
        <v>50</v>
      </c>
      <c r="F18">
        <v>14.928969383</v>
      </c>
      <c r="G18">
        <v>1861.8135986</v>
      </c>
      <c r="H18">
        <v>1525.5778809000001</v>
      </c>
      <c r="I18">
        <v>1122.2244873</v>
      </c>
      <c r="J18">
        <v>727.19268798999997</v>
      </c>
      <c r="K18">
        <v>2400</v>
      </c>
      <c r="L18">
        <v>0</v>
      </c>
      <c r="M18">
        <v>0</v>
      </c>
      <c r="N18">
        <v>2400</v>
      </c>
    </row>
    <row r="19" spans="1:14" x14ac:dyDescent="0.25">
      <c r="A19">
        <v>0.106387</v>
      </c>
      <c r="B19" s="1">
        <f>DATE(2010,5,1) + TIME(2,33,11)</f>
        <v>40299.106377314813</v>
      </c>
      <c r="C19">
        <v>80</v>
      </c>
      <c r="D19">
        <v>22.623147964000001</v>
      </c>
      <c r="E19">
        <v>50</v>
      </c>
      <c r="F19">
        <v>14.924189567999999</v>
      </c>
      <c r="G19">
        <v>1867.0449219</v>
      </c>
      <c r="H19">
        <v>1538.1795654</v>
      </c>
      <c r="I19">
        <v>1106.3427733999999</v>
      </c>
      <c r="J19">
        <v>711.25720215000001</v>
      </c>
      <c r="K19">
        <v>2400</v>
      </c>
      <c r="L19">
        <v>0</v>
      </c>
      <c r="M19">
        <v>0</v>
      </c>
      <c r="N19">
        <v>2400</v>
      </c>
    </row>
    <row r="20" spans="1:14" x14ac:dyDescent="0.25">
      <c r="A20">
        <v>0.121299</v>
      </c>
      <c r="B20" s="1">
        <f>DATE(2010,5,1) + TIME(2,54,40)</f>
        <v>40299.121296296296</v>
      </c>
      <c r="C20">
        <v>80</v>
      </c>
      <c r="D20">
        <v>23.605405807</v>
      </c>
      <c r="E20">
        <v>50</v>
      </c>
      <c r="F20">
        <v>14.920099258</v>
      </c>
      <c r="G20">
        <v>1870.6308594</v>
      </c>
      <c r="H20">
        <v>1548.8741454999999</v>
      </c>
      <c r="I20">
        <v>1092.2059326000001</v>
      </c>
      <c r="J20">
        <v>697.07421875</v>
      </c>
      <c r="K20">
        <v>2400</v>
      </c>
      <c r="L20">
        <v>0</v>
      </c>
      <c r="M20">
        <v>0</v>
      </c>
      <c r="N20">
        <v>2400</v>
      </c>
    </row>
    <row r="21" spans="1:14" x14ac:dyDescent="0.25">
      <c r="A21">
        <v>0.13647899999999999</v>
      </c>
      <c r="B21" s="1">
        <f>DATE(2010,5,1) + TIME(3,16,31)</f>
        <v>40299.136469907404</v>
      </c>
      <c r="C21">
        <v>80</v>
      </c>
      <c r="D21">
        <v>24.587844849</v>
      </c>
      <c r="E21">
        <v>50</v>
      </c>
      <c r="F21">
        <v>14.916571617000001</v>
      </c>
      <c r="G21">
        <v>1872.9479980000001</v>
      </c>
      <c r="H21">
        <v>1558.0499268000001</v>
      </c>
      <c r="I21">
        <v>1079.4930420000001</v>
      </c>
      <c r="J21">
        <v>684.32128906000003</v>
      </c>
      <c r="K21">
        <v>2400</v>
      </c>
      <c r="L21">
        <v>0</v>
      </c>
      <c r="M21">
        <v>0</v>
      </c>
      <c r="N21">
        <v>2400</v>
      </c>
    </row>
    <row r="22" spans="1:14" x14ac:dyDescent="0.25">
      <c r="A22">
        <v>0.15193100000000001</v>
      </c>
      <c r="B22" s="1">
        <f>DATE(2010,5,1) + TIME(3,38,46)</f>
        <v>40299.151921296296</v>
      </c>
      <c r="C22">
        <v>80</v>
      </c>
      <c r="D22">
        <v>25.570739746000001</v>
      </c>
      <c r="E22">
        <v>50</v>
      </c>
      <c r="F22">
        <v>14.913509369</v>
      </c>
      <c r="G22">
        <v>1874.2866211</v>
      </c>
      <c r="H22">
        <v>1566.0097656</v>
      </c>
      <c r="I22">
        <v>1067.9528809000001</v>
      </c>
      <c r="J22">
        <v>672.74615478999999</v>
      </c>
      <c r="K22">
        <v>2400</v>
      </c>
      <c r="L22">
        <v>0</v>
      </c>
      <c r="M22">
        <v>0</v>
      </c>
      <c r="N22">
        <v>2400</v>
      </c>
    </row>
    <row r="23" spans="1:14" x14ac:dyDescent="0.25">
      <c r="A23">
        <v>0.167652</v>
      </c>
      <c r="B23" s="1">
        <f>DATE(2010,5,1) + TIME(4,1,25)</f>
        <v>40299.167650462965</v>
      </c>
      <c r="C23">
        <v>80</v>
      </c>
      <c r="D23">
        <v>26.553503035999999</v>
      </c>
      <c r="E23">
        <v>50</v>
      </c>
      <c r="F23">
        <v>14.910835265999999</v>
      </c>
      <c r="G23">
        <v>1874.8695068</v>
      </c>
      <c r="H23">
        <v>1572.9869385</v>
      </c>
      <c r="I23">
        <v>1057.3916016000001</v>
      </c>
      <c r="J23">
        <v>662.15423583999996</v>
      </c>
      <c r="K23">
        <v>2400</v>
      </c>
      <c r="L23">
        <v>0</v>
      </c>
      <c r="M23">
        <v>0</v>
      </c>
      <c r="N23">
        <v>2400</v>
      </c>
    </row>
    <row r="24" spans="1:14" x14ac:dyDescent="0.25">
      <c r="A24">
        <v>0.18364900000000001</v>
      </c>
      <c r="B24" s="1">
        <f>DATE(2010,5,1) + TIME(4,24,27)</f>
        <v>40299.183645833335</v>
      </c>
      <c r="C24">
        <v>80</v>
      </c>
      <c r="D24">
        <v>27.535881042</v>
      </c>
      <c r="E24">
        <v>50</v>
      </c>
      <c r="F24">
        <v>14.908485412999999</v>
      </c>
      <c r="G24">
        <v>1874.8739014</v>
      </c>
      <c r="H24">
        <v>1579.1668701000001</v>
      </c>
      <c r="I24">
        <v>1047.651001</v>
      </c>
      <c r="J24">
        <v>652.38647461000005</v>
      </c>
      <c r="K24">
        <v>2400</v>
      </c>
      <c r="L24">
        <v>0</v>
      </c>
      <c r="M24">
        <v>0</v>
      </c>
      <c r="N24">
        <v>2400</v>
      </c>
    </row>
    <row r="25" spans="1:14" x14ac:dyDescent="0.25">
      <c r="A25">
        <v>0.199933</v>
      </c>
      <c r="B25" s="1">
        <f>DATE(2010,5,1) + TIME(4,47,54)</f>
        <v>40299.199930555558</v>
      </c>
      <c r="C25">
        <v>80</v>
      </c>
      <c r="D25">
        <v>28.518081665</v>
      </c>
      <c r="E25">
        <v>50</v>
      </c>
      <c r="F25">
        <v>14.906412124999999</v>
      </c>
      <c r="G25">
        <v>1874.4349365</v>
      </c>
      <c r="H25">
        <v>1584.6956786999999</v>
      </c>
      <c r="I25">
        <v>1038.6030272999999</v>
      </c>
      <c r="J25">
        <v>643.31445312000005</v>
      </c>
      <c r="K25">
        <v>2400</v>
      </c>
      <c r="L25">
        <v>0</v>
      </c>
      <c r="M25">
        <v>0</v>
      </c>
      <c r="N25">
        <v>2400</v>
      </c>
    </row>
    <row r="26" spans="1:14" x14ac:dyDescent="0.25">
      <c r="A26">
        <v>0.21651100000000001</v>
      </c>
      <c r="B26" s="1">
        <f>DATE(2010,5,1) + TIME(5,11,46)</f>
        <v>40299.216504629629</v>
      </c>
      <c r="C26">
        <v>80</v>
      </c>
      <c r="D26">
        <v>29.500049591</v>
      </c>
      <c r="E26">
        <v>50</v>
      </c>
      <c r="F26">
        <v>14.904574394000001</v>
      </c>
      <c r="G26">
        <v>1873.6567382999999</v>
      </c>
      <c r="H26">
        <v>1589.6870117000001</v>
      </c>
      <c r="I26">
        <v>1030.1469727000001</v>
      </c>
      <c r="J26">
        <v>634.83691406000003</v>
      </c>
      <c r="K26">
        <v>2400</v>
      </c>
      <c r="L26">
        <v>0</v>
      </c>
      <c r="M26">
        <v>0</v>
      </c>
      <c r="N26">
        <v>2400</v>
      </c>
    </row>
    <row r="27" spans="1:14" x14ac:dyDescent="0.25">
      <c r="A27">
        <v>0.23339399999999999</v>
      </c>
      <c r="B27" s="1">
        <f>DATE(2010,5,1) + TIME(5,36,5)</f>
        <v>40299.233391203707</v>
      </c>
      <c r="C27">
        <v>80</v>
      </c>
      <c r="D27">
        <v>30.481853484999998</v>
      </c>
      <c r="E27">
        <v>50</v>
      </c>
      <c r="F27">
        <v>14.902940750000001</v>
      </c>
      <c r="G27">
        <v>1872.6206055</v>
      </c>
      <c r="H27">
        <v>1594.2305908000001</v>
      </c>
      <c r="I27">
        <v>1022.2008057</v>
      </c>
      <c r="J27">
        <v>626.87158203000001</v>
      </c>
      <c r="K27">
        <v>2400</v>
      </c>
      <c r="L27">
        <v>0</v>
      </c>
      <c r="M27">
        <v>0</v>
      </c>
      <c r="N27">
        <v>2400</v>
      </c>
    </row>
    <row r="28" spans="1:14" x14ac:dyDescent="0.25">
      <c r="A28">
        <v>0.25058999999999998</v>
      </c>
      <c r="B28" s="1">
        <f>DATE(2010,5,1) + TIME(6,0,51)</f>
        <v>40299.250590277778</v>
      </c>
      <c r="C28">
        <v>80</v>
      </c>
      <c r="D28">
        <v>31.463348389</v>
      </c>
      <c r="E28">
        <v>50</v>
      </c>
      <c r="F28">
        <v>14.901483536000001</v>
      </c>
      <c r="G28">
        <v>1871.3892822</v>
      </c>
      <c r="H28">
        <v>1598.3977050999999</v>
      </c>
      <c r="I28">
        <v>1014.6981201</v>
      </c>
      <c r="J28">
        <v>619.35162353999999</v>
      </c>
      <c r="K28">
        <v>2400</v>
      </c>
      <c r="L28">
        <v>0</v>
      </c>
      <c r="M28">
        <v>0</v>
      </c>
      <c r="N28">
        <v>2400</v>
      </c>
    </row>
    <row r="29" spans="1:14" x14ac:dyDescent="0.25">
      <c r="A29">
        <v>0.26811099999999999</v>
      </c>
      <c r="B29" s="1">
        <f>DATE(2010,5,1) + TIME(6,26,4)</f>
        <v>40299.268101851849</v>
      </c>
      <c r="C29">
        <v>80</v>
      </c>
      <c r="D29">
        <v>32.444381714000002</v>
      </c>
      <c r="E29">
        <v>50</v>
      </c>
      <c r="F29">
        <v>14.90018177</v>
      </c>
      <c r="G29">
        <v>1870.0130615</v>
      </c>
      <c r="H29">
        <v>1602.2460937999999</v>
      </c>
      <c r="I29">
        <v>1007.5831299</v>
      </c>
      <c r="J29">
        <v>612.22113036999997</v>
      </c>
      <c r="K29">
        <v>2400</v>
      </c>
      <c r="L29">
        <v>0</v>
      </c>
      <c r="M29">
        <v>0</v>
      </c>
      <c r="N29">
        <v>2400</v>
      </c>
    </row>
    <row r="30" spans="1:14" x14ac:dyDescent="0.25">
      <c r="A30">
        <v>0.28597</v>
      </c>
      <c r="B30" s="1">
        <f>DATE(2010,5,1) + TIME(6,51,47)</f>
        <v>40299.285960648151</v>
      </c>
      <c r="C30">
        <v>80</v>
      </c>
      <c r="D30">
        <v>33.425033569</v>
      </c>
      <c r="E30">
        <v>50</v>
      </c>
      <c r="F30">
        <v>14.899017334</v>
      </c>
      <c r="G30">
        <v>1868.5313721</v>
      </c>
      <c r="H30">
        <v>1605.8229980000001</v>
      </c>
      <c r="I30">
        <v>1000.8084106</v>
      </c>
      <c r="J30">
        <v>605.43231201000003</v>
      </c>
      <c r="K30">
        <v>2400</v>
      </c>
      <c r="L30">
        <v>0</v>
      </c>
      <c r="M30">
        <v>0</v>
      </c>
      <c r="N30">
        <v>2400</v>
      </c>
    </row>
    <row r="31" spans="1:14" x14ac:dyDescent="0.25">
      <c r="A31">
        <v>0.30418099999999998</v>
      </c>
      <c r="B31" s="1">
        <f>DATE(2010,5,1) + TIME(7,18,1)</f>
        <v>40299.304178240738</v>
      </c>
      <c r="C31">
        <v>80</v>
      </c>
      <c r="D31">
        <v>34.405273438000002</v>
      </c>
      <c r="E31">
        <v>50</v>
      </c>
      <c r="F31">
        <v>14.897974014000001</v>
      </c>
      <c r="G31">
        <v>1866.9755858999999</v>
      </c>
      <c r="H31">
        <v>1609.1668701000001</v>
      </c>
      <c r="I31">
        <v>994.33465576000003</v>
      </c>
      <c r="J31">
        <v>598.94586182</v>
      </c>
      <c r="K31">
        <v>2400</v>
      </c>
      <c r="L31">
        <v>0</v>
      </c>
      <c r="M31">
        <v>0</v>
      </c>
      <c r="N31">
        <v>2400</v>
      </c>
    </row>
    <row r="32" spans="1:14" x14ac:dyDescent="0.25">
      <c r="A32">
        <v>0.32275999999999999</v>
      </c>
      <c r="B32" s="1">
        <f>DATE(2010,5,1) + TIME(7,44,46)</f>
        <v>40299.322754629633</v>
      </c>
      <c r="C32">
        <v>80</v>
      </c>
      <c r="D32">
        <v>35.385074615000001</v>
      </c>
      <c r="E32">
        <v>50</v>
      </c>
      <c r="F32">
        <v>14.897038459999999</v>
      </c>
      <c r="G32">
        <v>1865.3707274999999</v>
      </c>
      <c r="H32">
        <v>1612.3094481999999</v>
      </c>
      <c r="I32">
        <v>988.12835693</v>
      </c>
      <c r="J32">
        <v>592.72808838000003</v>
      </c>
      <c r="K32">
        <v>2400</v>
      </c>
      <c r="L32">
        <v>0</v>
      </c>
      <c r="M32">
        <v>0</v>
      </c>
      <c r="N32">
        <v>2400</v>
      </c>
    </row>
    <row r="33" spans="1:14" x14ac:dyDescent="0.25">
      <c r="A33">
        <v>0.341721</v>
      </c>
      <c r="B33" s="1">
        <f>DATE(2010,5,1) + TIME(8,12,4)</f>
        <v>40299.34171296296</v>
      </c>
      <c r="C33">
        <v>80</v>
      </c>
      <c r="D33">
        <v>36.364410399999997</v>
      </c>
      <c r="E33">
        <v>50</v>
      </c>
      <c r="F33">
        <v>14.896200179999999</v>
      </c>
      <c r="G33">
        <v>1863.7366943</v>
      </c>
      <c r="H33">
        <v>1615.2768555</v>
      </c>
      <c r="I33">
        <v>982.16094970999995</v>
      </c>
      <c r="J33">
        <v>586.75030518000005</v>
      </c>
      <c r="K33">
        <v>2400</v>
      </c>
      <c r="L33">
        <v>0</v>
      </c>
      <c r="M33">
        <v>0</v>
      </c>
      <c r="N33">
        <v>2400</v>
      </c>
    </row>
    <row r="34" spans="1:14" x14ac:dyDescent="0.25">
      <c r="A34">
        <v>0.36108299999999999</v>
      </c>
      <c r="B34" s="1">
        <f>DATE(2010,5,1) + TIME(8,39,57)</f>
        <v>40299.361076388886</v>
      </c>
      <c r="C34">
        <v>80</v>
      </c>
      <c r="D34">
        <v>37.343257903999998</v>
      </c>
      <c r="E34">
        <v>50</v>
      </c>
      <c r="F34">
        <v>14.895449638000001</v>
      </c>
      <c r="G34">
        <v>1862.0897216999999</v>
      </c>
      <c r="H34">
        <v>1618.0915527</v>
      </c>
      <c r="I34">
        <v>976.40759276999995</v>
      </c>
      <c r="J34">
        <v>580.98748779000005</v>
      </c>
      <c r="K34">
        <v>2400</v>
      </c>
      <c r="L34">
        <v>0</v>
      </c>
      <c r="M34">
        <v>0</v>
      </c>
      <c r="N34">
        <v>2400</v>
      </c>
    </row>
    <row r="35" spans="1:14" x14ac:dyDescent="0.25">
      <c r="A35">
        <v>0.38086300000000001</v>
      </c>
      <c r="B35" s="1">
        <f>DATE(2010,5,1) + TIME(9,8,26)</f>
        <v>40299.380856481483</v>
      </c>
      <c r="C35">
        <v>80</v>
      </c>
      <c r="D35">
        <v>38.321582794000001</v>
      </c>
      <c r="E35">
        <v>50</v>
      </c>
      <c r="F35">
        <v>14.894778252</v>
      </c>
      <c r="G35">
        <v>1860.4426269999999</v>
      </c>
      <c r="H35">
        <v>1620.7720947</v>
      </c>
      <c r="I35">
        <v>970.84661864999998</v>
      </c>
      <c r="J35">
        <v>575.41796875</v>
      </c>
      <c r="K35">
        <v>2400</v>
      </c>
      <c r="L35">
        <v>0</v>
      </c>
      <c r="M35">
        <v>0</v>
      </c>
      <c r="N35">
        <v>2400</v>
      </c>
    </row>
    <row r="36" spans="1:14" x14ac:dyDescent="0.25">
      <c r="A36">
        <v>0.40108100000000002</v>
      </c>
      <c r="B36" s="1">
        <f>DATE(2010,5,1) + TIME(9,37,33)</f>
        <v>40299.401076388887</v>
      </c>
      <c r="C36">
        <v>80</v>
      </c>
      <c r="D36">
        <v>39.299365997000002</v>
      </c>
      <c r="E36">
        <v>50</v>
      </c>
      <c r="F36">
        <v>14.894179343999999</v>
      </c>
      <c r="G36">
        <v>1858.8060303</v>
      </c>
      <c r="H36">
        <v>1623.3347168</v>
      </c>
      <c r="I36">
        <v>965.45904541000004</v>
      </c>
      <c r="J36">
        <v>570.02258300999995</v>
      </c>
      <c r="K36">
        <v>2400</v>
      </c>
      <c r="L36">
        <v>0</v>
      </c>
      <c r="M36">
        <v>0</v>
      </c>
      <c r="N36">
        <v>2400</v>
      </c>
    </row>
    <row r="37" spans="1:14" x14ac:dyDescent="0.25">
      <c r="A37">
        <v>0.42175800000000002</v>
      </c>
      <c r="B37" s="1">
        <f>DATE(2010,5,1) + TIME(10,7,19)</f>
        <v>40299.421747685185</v>
      </c>
      <c r="C37">
        <v>80</v>
      </c>
      <c r="D37">
        <v>40.276641845999997</v>
      </c>
      <c r="E37">
        <v>50</v>
      </c>
      <c r="F37">
        <v>14.893645287</v>
      </c>
      <c r="G37">
        <v>1857.1884766000001</v>
      </c>
      <c r="H37">
        <v>1625.7928466999999</v>
      </c>
      <c r="I37">
        <v>960.22802734000004</v>
      </c>
      <c r="J37">
        <v>564.78454590000001</v>
      </c>
      <c r="K37">
        <v>2400</v>
      </c>
      <c r="L37">
        <v>0</v>
      </c>
      <c r="M37">
        <v>0</v>
      </c>
      <c r="N37">
        <v>2400</v>
      </c>
    </row>
    <row r="38" spans="1:14" x14ac:dyDescent="0.25">
      <c r="A38">
        <v>0.44291700000000001</v>
      </c>
      <c r="B38" s="1">
        <f>DATE(2010,5,1) + TIME(10,37,48)</f>
        <v>40299.442916666667</v>
      </c>
      <c r="C38">
        <v>80</v>
      </c>
      <c r="D38">
        <v>41.253421783</v>
      </c>
      <c r="E38">
        <v>50</v>
      </c>
      <c r="F38">
        <v>14.89317131</v>
      </c>
      <c r="G38">
        <v>1855.5966797000001</v>
      </c>
      <c r="H38">
        <v>1628.1584473</v>
      </c>
      <c r="I38">
        <v>955.13891602000001</v>
      </c>
      <c r="J38">
        <v>559.68908691000001</v>
      </c>
      <c r="K38">
        <v>2400</v>
      </c>
      <c r="L38">
        <v>0</v>
      </c>
      <c r="M38">
        <v>0</v>
      </c>
      <c r="N38">
        <v>2400</v>
      </c>
    </row>
    <row r="39" spans="1:14" x14ac:dyDescent="0.25">
      <c r="A39">
        <v>0.46457799999999999</v>
      </c>
      <c r="B39" s="1">
        <f>DATE(2010,5,1) + TIME(11,8,59)</f>
        <v>40299.464571759258</v>
      </c>
      <c r="C39">
        <v>80</v>
      </c>
      <c r="D39">
        <v>42.229408264</v>
      </c>
      <c r="E39">
        <v>50</v>
      </c>
      <c r="F39">
        <v>14.892751693999999</v>
      </c>
      <c r="G39">
        <v>1854.0363769999999</v>
      </c>
      <c r="H39">
        <v>1630.4414062000001</v>
      </c>
      <c r="I39">
        <v>950.17871093999997</v>
      </c>
      <c r="J39">
        <v>554.72314453000001</v>
      </c>
      <c r="K39">
        <v>2400</v>
      </c>
      <c r="L39">
        <v>0</v>
      </c>
      <c r="M39">
        <v>0</v>
      </c>
      <c r="N39">
        <v>2400</v>
      </c>
    </row>
    <row r="40" spans="1:14" x14ac:dyDescent="0.25">
      <c r="A40">
        <v>0.48677199999999998</v>
      </c>
      <c r="B40" s="1">
        <f>DATE(2010,5,1) + TIME(11,40,57)</f>
        <v>40299.486770833333</v>
      </c>
      <c r="C40">
        <v>80</v>
      </c>
      <c r="D40">
        <v>43.204730988000001</v>
      </c>
      <c r="E40">
        <v>50</v>
      </c>
      <c r="F40">
        <v>14.892382622</v>
      </c>
      <c r="G40">
        <v>1852.5118408000001</v>
      </c>
      <c r="H40">
        <v>1632.6511230000001</v>
      </c>
      <c r="I40">
        <v>945.33453368999994</v>
      </c>
      <c r="J40">
        <v>549.87371826000003</v>
      </c>
      <c r="K40">
        <v>2400</v>
      </c>
      <c r="L40">
        <v>0</v>
      </c>
      <c r="M40">
        <v>0</v>
      </c>
      <c r="N40">
        <v>2400</v>
      </c>
    </row>
    <row r="41" spans="1:14" x14ac:dyDescent="0.25">
      <c r="A41">
        <v>0.50952799999999998</v>
      </c>
      <c r="B41" s="1">
        <f>DATE(2010,5,1) + TIME(12,13,43)</f>
        <v>40299.509525462963</v>
      </c>
      <c r="C41">
        <v>80</v>
      </c>
      <c r="D41">
        <v>44.179355620999999</v>
      </c>
      <c r="E41">
        <v>50</v>
      </c>
      <c r="F41">
        <v>14.892059326</v>
      </c>
      <c r="G41">
        <v>1851.0270995999999</v>
      </c>
      <c r="H41">
        <v>1634.7956543</v>
      </c>
      <c r="I41">
        <v>940.59515381000006</v>
      </c>
      <c r="J41">
        <v>545.12969970999995</v>
      </c>
      <c r="K41">
        <v>2400</v>
      </c>
      <c r="L41">
        <v>0</v>
      </c>
      <c r="M41">
        <v>0</v>
      </c>
      <c r="N41">
        <v>2400</v>
      </c>
    </row>
    <row r="42" spans="1:14" x14ac:dyDescent="0.25">
      <c r="A42">
        <v>0.53287700000000005</v>
      </c>
      <c r="B42" s="1">
        <f>DATE(2010,5,1) + TIME(12,47,20)</f>
        <v>40299.532870370371</v>
      </c>
      <c r="C42">
        <v>80</v>
      </c>
      <c r="D42">
        <v>45.153244018999999</v>
      </c>
      <c r="E42">
        <v>50</v>
      </c>
      <c r="F42">
        <v>14.891778946000001</v>
      </c>
      <c r="G42">
        <v>1849.5853271000001</v>
      </c>
      <c r="H42">
        <v>1636.8820800999999</v>
      </c>
      <c r="I42">
        <v>935.95062256000006</v>
      </c>
      <c r="J42">
        <v>540.48095703000001</v>
      </c>
      <c r="K42">
        <v>2400</v>
      </c>
      <c r="L42">
        <v>0</v>
      </c>
      <c r="M42">
        <v>0</v>
      </c>
      <c r="N42">
        <v>2400</v>
      </c>
    </row>
    <row r="43" spans="1:14" x14ac:dyDescent="0.25">
      <c r="A43">
        <v>0.55685099999999998</v>
      </c>
      <c r="B43" s="1">
        <f>DATE(2010,5,1) + TIME(13,21,51)</f>
        <v>40299.556840277779</v>
      </c>
      <c r="C43">
        <v>80</v>
      </c>
      <c r="D43">
        <v>46.126361846999998</v>
      </c>
      <c r="E43">
        <v>50</v>
      </c>
      <c r="F43">
        <v>14.891537666</v>
      </c>
      <c r="G43">
        <v>1848.1889647999999</v>
      </c>
      <c r="H43">
        <v>1638.916626</v>
      </c>
      <c r="I43">
        <v>931.39147949000005</v>
      </c>
      <c r="J43">
        <v>535.91809081999997</v>
      </c>
      <c r="K43">
        <v>2400</v>
      </c>
      <c r="L43">
        <v>0</v>
      </c>
      <c r="M43">
        <v>0</v>
      </c>
      <c r="N43">
        <v>2400</v>
      </c>
    </row>
    <row r="44" spans="1:14" x14ac:dyDescent="0.25">
      <c r="A44">
        <v>0.581488</v>
      </c>
      <c r="B44" s="1">
        <f>DATE(2010,5,1) + TIME(13,57,20)</f>
        <v>40299.58148148148</v>
      </c>
      <c r="C44">
        <v>80</v>
      </c>
      <c r="D44">
        <v>47.098659515000001</v>
      </c>
      <c r="E44">
        <v>50</v>
      </c>
      <c r="F44">
        <v>14.891332626000001</v>
      </c>
      <c r="G44">
        <v>1846.8398437999999</v>
      </c>
      <c r="H44">
        <v>1640.9050293</v>
      </c>
      <c r="I44">
        <v>926.90911864999998</v>
      </c>
      <c r="J44">
        <v>531.43237305000002</v>
      </c>
      <c r="K44">
        <v>2400</v>
      </c>
      <c r="L44">
        <v>0</v>
      </c>
      <c r="M44">
        <v>0</v>
      </c>
      <c r="N44">
        <v>2400</v>
      </c>
    </row>
    <row r="45" spans="1:14" x14ac:dyDescent="0.25">
      <c r="A45">
        <v>0.60682599999999998</v>
      </c>
      <c r="B45" s="1">
        <f>DATE(2010,5,1) + TIME(14,33,49)</f>
        <v>40299.606817129628</v>
      </c>
      <c r="C45">
        <v>80</v>
      </c>
      <c r="D45">
        <v>48.070098877</v>
      </c>
      <c r="E45">
        <v>50</v>
      </c>
      <c r="F45">
        <v>14.891160964999999</v>
      </c>
      <c r="G45">
        <v>1845.5396728999999</v>
      </c>
      <c r="H45">
        <v>1642.8521728999999</v>
      </c>
      <c r="I45">
        <v>922.49542236000002</v>
      </c>
      <c r="J45">
        <v>527.01568603999999</v>
      </c>
      <c r="K45">
        <v>2400</v>
      </c>
      <c r="L45">
        <v>0</v>
      </c>
      <c r="M45">
        <v>0</v>
      </c>
      <c r="N45">
        <v>2400</v>
      </c>
    </row>
    <row r="46" spans="1:14" x14ac:dyDescent="0.25">
      <c r="A46">
        <v>0.63290999999999997</v>
      </c>
      <c r="B46" s="1">
        <f>DATE(2010,5,1) + TIME(15,11,23)</f>
        <v>40299.632905092592</v>
      </c>
      <c r="C46">
        <v>80</v>
      </c>
      <c r="D46">
        <v>49.040626525999997</v>
      </c>
      <c r="E46">
        <v>50</v>
      </c>
      <c r="F46">
        <v>14.891020774999999</v>
      </c>
      <c r="G46">
        <v>1844.2897949000001</v>
      </c>
      <c r="H46">
        <v>1644.7629394999999</v>
      </c>
      <c r="I46">
        <v>918.14270020000004</v>
      </c>
      <c r="J46">
        <v>522.66033935999997</v>
      </c>
      <c r="K46">
        <v>2400</v>
      </c>
      <c r="L46">
        <v>0</v>
      </c>
      <c r="M46">
        <v>0</v>
      </c>
      <c r="N46">
        <v>2400</v>
      </c>
    </row>
    <row r="47" spans="1:14" x14ac:dyDescent="0.25">
      <c r="A47">
        <v>0.65978499999999995</v>
      </c>
      <c r="B47" s="1">
        <f>DATE(2010,5,1) + TIME(15,50,5)</f>
        <v>40299.659780092596</v>
      </c>
      <c r="C47">
        <v>80</v>
      </c>
      <c r="D47">
        <v>50.010189056000002</v>
      </c>
      <c r="E47">
        <v>50</v>
      </c>
      <c r="F47">
        <v>14.890908241</v>
      </c>
      <c r="G47">
        <v>1843.0913086</v>
      </c>
      <c r="H47">
        <v>1646.6413574000001</v>
      </c>
      <c r="I47">
        <v>913.84375</v>
      </c>
      <c r="J47">
        <v>518.35913086000005</v>
      </c>
      <c r="K47">
        <v>2400</v>
      </c>
      <c r="L47">
        <v>0</v>
      </c>
      <c r="M47">
        <v>0</v>
      </c>
      <c r="N47">
        <v>2400</v>
      </c>
    </row>
    <row r="48" spans="1:14" x14ac:dyDescent="0.25">
      <c r="A48">
        <v>0.68750500000000003</v>
      </c>
      <c r="B48" s="1">
        <f>DATE(2010,5,1) + TIME(16,30,0)</f>
        <v>40299.6875</v>
      </c>
      <c r="C48">
        <v>80</v>
      </c>
      <c r="D48">
        <v>50.978260040000002</v>
      </c>
      <c r="E48">
        <v>50</v>
      </c>
      <c r="F48">
        <v>14.890822411</v>
      </c>
      <c r="G48">
        <v>1841.9453125</v>
      </c>
      <c r="H48">
        <v>1648.4913329999999</v>
      </c>
      <c r="I48">
        <v>909.59167479999996</v>
      </c>
      <c r="J48">
        <v>514.10498046999999</v>
      </c>
      <c r="K48">
        <v>2400</v>
      </c>
      <c r="L48">
        <v>0</v>
      </c>
      <c r="M48">
        <v>0</v>
      </c>
      <c r="N48">
        <v>2400</v>
      </c>
    </row>
    <row r="49" spans="1:14" x14ac:dyDescent="0.25">
      <c r="A49">
        <v>0.71613800000000005</v>
      </c>
      <c r="B49" s="1">
        <f>DATE(2010,5,1) + TIME(17,11,14)</f>
        <v>40299.716134259259</v>
      </c>
      <c r="C49">
        <v>80</v>
      </c>
      <c r="D49">
        <v>51.945686340000002</v>
      </c>
      <c r="E49">
        <v>50</v>
      </c>
      <c r="F49">
        <v>14.890761375</v>
      </c>
      <c r="G49">
        <v>1840.8524170000001</v>
      </c>
      <c r="H49">
        <v>1650.3176269999999</v>
      </c>
      <c r="I49">
        <v>905.37768555000002</v>
      </c>
      <c r="J49">
        <v>509.88931273999998</v>
      </c>
      <c r="K49">
        <v>2400</v>
      </c>
      <c r="L49">
        <v>0</v>
      </c>
      <c r="M49">
        <v>0</v>
      </c>
      <c r="N49">
        <v>2400</v>
      </c>
    </row>
    <row r="50" spans="1:14" x14ac:dyDescent="0.25">
      <c r="A50">
        <v>0.74573599999999995</v>
      </c>
      <c r="B50" s="1">
        <f>DATE(2010,5,1) + TIME(17,53,51)</f>
        <v>40299.745729166665</v>
      </c>
      <c r="C50">
        <v>80</v>
      </c>
      <c r="D50">
        <v>52.911960602000001</v>
      </c>
      <c r="E50">
        <v>50</v>
      </c>
      <c r="F50">
        <v>14.890722275</v>
      </c>
      <c r="G50">
        <v>1839.8138428</v>
      </c>
      <c r="H50">
        <v>1652.1229248</v>
      </c>
      <c r="I50">
        <v>901.19726562000005</v>
      </c>
      <c r="J50">
        <v>505.70739745999998</v>
      </c>
      <c r="K50">
        <v>2400</v>
      </c>
      <c r="L50">
        <v>0</v>
      </c>
      <c r="M50">
        <v>0</v>
      </c>
      <c r="N50">
        <v>2400</v>
      </c>
    </row>
    <row r="51" spans="1:14" x14ac:dyDescent="0.25">
      <c r="A51">
        <v>0.77636700000000003</v>
      </c>
      <c r="B51" s="1">
        <f>DATE(2010,5,1) + TIME(18,37,58)</f>
        <v>40299.776365740741</v>
      </c>
      <c r="C51">
        <v>80</v>
      </c>
      <c r="D51">
        <v>53.876998901</v>
      </c>
      <c r="E51">
        <v>50</v>
      </c>
      <c r="F51">
        <v>14.890704155</v>
      </c>
      <c r="G51">
        <v>1838.8302002</v>
      </c>
      <c r="H51">
        <v>1653.9105225000001</v>
      </c>
      <c r="I51">
        <v>897.04394531000003</v>
      </c>
      <c r="J51">
        <v>501.55288696000002</v>
      </c>
      <c r="K51">
        <v>2400</v>
      </c>
      <c r="L51">
        <v>0</v>
      </c>
      <c r="M51">
        <v>0</v>
      </c>
      <c r="N51">
        <v>2400</v>
      </c>
    </row>
    <row r="52" spans="1:14" x14ac:dyDescent="0.25">
      <c r="A52">
        <v>0.80810700000000002</v>
      </c>
      <c r="B52" s="1">
        <f>DATE(2010,5,1) + TIME(19,23,40)</f>
        <v>40299.80810185185</v>
      </c>
      <c r="C52">
        <v>80</v>
      </c>
      <c r="D52">
        <v>54.840724944999998</v>
      </c>
      <c r="E52">
        <v>50</v>
      </c>
      <c r="F52">
        <v>14.890705109000001</v>
      </c>
      <c r="G52">
        <v>1837.9017334</v>
      </c>
      <c r="H52">
        <v>1655.6832274999999</v>
      </c>
      <c r="I52">
        <v>892.91143798999997</v>
      </c>
      <c r="J52">
        <v>497.41934204</v>
      </c>
      <c r="K52">
        <v>2400</v>
      </c>
      <c r="L52">
        <v>0</v>
      </c>
      <c r="M52">
        <v>0</v>
      </c>
      <c r="N52">
        <v>2400</v>
      </c>
    </row>
    <row r="53" spans="1:14" x14ac:dyDescent="0.25">
      <c r="A53">
        <v>0.84104199999999996</v>
      </c>
      <c r="B53" s="1">
        <f>DATE(2010,5,1) + TIME(20,11,6)</f>
        <v>40299.841041666667</v>
      </c>
      <c r="C53">
        <v>80</v>
      </c>
      <c r="D53">
        <v>55.803043365000001</v>
      </c>
      <c r="E53">
        <v>50</v>
      </c>
      <c r="F53">
        <v>14.890723228000001</v>
      </c>
      <c r="G53">
        <v>1837.0291748</v>
      </c>
      <c r="H53">
        <v>1657.4444579999999</v>
      </c>
      <c r="I53">
        <v>888.79333496000004</v>
      </c>
      <c r="J53">
        <v>493.30038452000002</v>
      </c>
      <c r="K53">
        <v>2400</v>
      </c>
      <c r="L53">
        <v>0</v>
      </c>
      <c r="M53">
        <v>0</v>
      </c>
      <c r="N53">
        <v>2400</v>
      </c>
    </row>
    <row r="54" spans="1:14" x14ac:dyDescent="0.25">
      <c r="A54">
        <v>0.87524900000000005</v>
      </c>
      <c r="B54" s="1">
        <f>DATE(2010,5,1) + TIME(21,0,21)</f>
        <v>40299.875243055554</v>
      </c>
      <c r="C54">
        <v>80</v>
      </c>
      <c r="D54">
        <v>56.763351440000001</v>
      </c>
      <c r="E54">
        <v>50</v>
      </c>
      <c r="F54">
        <v>14.890757560999999</v>
      </c>
      <c r="G54">
        <v>1836.2137451000001</v>
      </c>
      <c r="H54">
        <v>1659.1961670000001</v>
      </c>
      <c r="I54">
        <v>884.68524170000001</v>
      </c>
      <c r="J54">
        <v>489.19168091</v>
      </c>
      <c r="K54">
        <v>2400</v>
      </c>
      <c r="L54">
        <v>0</v>
      </c>
      <c r="M54">
        <v>0</v>
      </c>
      <c r="N54">
        <v>2400</v>
      </c>
    </row>
    <row r="55" spans="1:14" x14ac:dyDescent="0.25">
      <c r="A55">
        <v>0.910825</v>
      </c>
      <c r="B55" s="1">
        <f>DATE(2010,5,1) + TIME(21,51,35)</f>
        <v>40299.910821759258</v>
      </c>
      <c r="C55">
        <v>80</v>
      </c>
      <c r="D55">
        <v>57.721393585000001</v>
      </c>
      <c r="E55">
        <v>50</v>
      </c>
      <c r="F55">
        <v>14.890805243999999</v>
      </c>
      <c r="G55">
        <v>1835.4562988</v>
      </c>
      <c r="H55">
        <v>1660.9412841999999</v>
      </c>
      <c r="I55">
        <v>880.58123779000005</v>
      </c>
      <c r="J55">
        <v>485.08724976000002</v>
      </c>
      <c r="K55">
        <v>2400</v>
      </c>
      <c r="L55">
        <v>0</v>
      </c>
      <c r="M55">
        <v>0</v>
      </c>
      <c r="N55">
        <v>2400</v>
      </c>
    </row>
    <row r="56" spans="1:14" x14ac:dyDescent="0.25">
      <c r="A56">
        <v>0.94788600000000001</v>
      </c>
      <c r="B56" s="1">
        <f>DATE(2010,5,1) + TIME(22,44,57)</f>
        <v>40299.947881944441</v>
      </c>
      <c r="C56">
        <v>80</v>
      </c>
      <c r="D56">
        <v>58.677013397000003</v>
      </c>
      <c r="E56">
        <v>50</v>
      </c>
      <c r="F56">
        <v>14.890866279999999</v>
      </c>
      <c r="G56">
        <v>1834.7580565999999</v>
      </c>
      <c r="H56">
        <v>1662.6828613</v>
      </c>
      <c r="I56">
        <v>876.47467041000004</v>
      </c>
      <c r="J56">
        <v>480.98034668000003</v>
      </c>
      <c r="K56">
        <v>2400</v>
      </c>
      <c r="L56">
        <v>0</v>
      </c>
      <c r="M56">
        <v>0</v>
      </c>
      <c r="N56">
        <v>2400</v>
      </c>
    </row>
    <row r="57" spans="1:14" x14ac:dyDescent="0.25">
      <c r="A57">
        <v>0.98656299999999997</v>
      </c>
      <c r="B57" s="1">
        <f>DATE(2010,5,1) + TIME(23,40,39)</f>
        <v>40299.986562500002</v>
      </c>
      <c r="C57">
        <v>80</v>
      </c>
      <c r="D57">
        <v>59.630035399999997</v>
      </c>
      <c r="E57">
        <v>50</v>
      </c>
      <c r="F57">
        <v>14.890938759000001</v>
      </c>
      <c r="G57">
        <v>1834.1202393000001</v>
      </c>
      <c r="H57">
        <v>1664.4243164</v>
      </c>
      <c r="I57">
        <v>872.35864258000004</v>
      </c>
      <c r="J57">
        <v>476.86413573999999</v>
      </c>
      <c r="K57">
        <v>2400</v>
      </c>
      <c r="L57">
        <v>0</v>
      </c>
      <c r="M57">
        <v>0</v>
      </c>
      <c r="N57">
        <v>2400</v>
      </c>
    </row>
    <row r="58" spans="1:14" x14ac:dyDescent="0.25">
      <c r="A58">
        <v>1.0269619999999999</v>
      </c>
      <c r="B58" s="1">
        <f>DATE(2010,5,2) + TIME(0,38,49)</f>
        <v>40300.026956018519</v>
      </c>
      <c r="C58">
        <v>80</v>
      </c>
      <c r="D58">
        <v>60.578941344999997</v>
      </c>
      <c r="E58">
        <v>50</v>
      </c>
      <c r="F58">
        <v>14.891020774999999</v>
      </c>
      <c r="G58">
        <v>1833.5449219</v>
      </c>
      <c r="H58">
        <v>1666.1672363</v>
      </c>
      <c r="I58">
        <v>868.22973633000004</v>
      </c>
      <c r="J58">
        <v>472.73513794000002</v>
      </c>
      <c r="K58">
        <v>2400</v>
      </c>
      <c r="L58">
        <v>0</v>
      </c>
      <c r="M58">
        <v>0</v>
      </c>
      <c r="N58">
        <v>2400</v>
      </c>
    </row>
    <row r="59" spans="1:14" x14ac:dyDescent="0.25">
      <c r="A59">
        <v>1.06918</v>
      </c>
      <c r="B59" s="1">
        <f>DATE(2010,5,2) + TIME(1,39,37)</f>
        <v>40300.069178240738</v>
      </c>
      <c r="C59">
        <v>80</v>
      </c>
      <c r="D59">
        <v>61.522239685000002</v>
      </c>
      <c r="E59">
        <v>50</v>
      </c>
      <c r="F59">
        <v>14.891111373999999</v>
      </c>
      <c r="G59">
        <v>1833.0349120999999</v>
      </c>
      <c r="H59">
        <v>1667.9122314000001</v>
      </c>
      <c r="I59">
        <v>864.08660888999998</v>
      </c>
      <c r="J59">
        <v>468.59201050000001</v>
      </c>
      <c r="K59">
        <v>2400</v>
      </c>
      <c r="L59">
        <v>0</v>
      </c>
      <c r="M59">
        <v>0</v>
      </c>
      <c r="N59">
        <v>2400</v>
      </c>
    </row>
    <row r="60" spans="1:14" x14ac:dyDescent="0.25">
      <c r="A60">
        <v>1.113289</v>
      </c>
      <c r="B60" s="1">
        <f>DATE(2010,5,2) + TIME(2,43,8)</f>
        <v>40300.113287037035</v>
      </c>
      <c r="C60">
        <v>80</v>
      </c>
      <c r="D60">
        <v>62.457935333000002</v>
      </c>
      <c r="E60">
        <v>50</v>
      </c>
      <c r="F60">
        <v>14.891207695</v>
      </c>
      <c r="G60">
        <v>1832.5921631000001</v>
      </c>
      <c r="H60">
        <v>1669.6591797000001</v>
      </c>
      <c r="I60">
        <v>859.93041991999996</v>
      </c>
      <c r="J60">
        <v>464.43591308999999</v>
      </c>
      <c r="K60">
        <v>2400</v>
      </c>
      <c r="L60">
        <v>0</v>
      </c>
      <c r="M60">
        <v>0</v>
      </c>
      <c r="N60">
        <v>2400</v>
      </c>
    </row>
    <row r="61" spans="1:14" x14ac:dyDescent="0.25">
      <c r="A61">
        <v>1.159462</v>
      </c>
      <c r="B61" s="1">
        <f>DATE(2010,5,2) + TIME(3,49,37)</f>
        <v>40300.159456018519</v>
      </c>
      <c r="C61">
        <v>80</v>
      </c>
      <c r="D61">
        <v>63.385574341000002</v>
      </c>
      <c r="E61">
        <v>50</v>
      </c>
      <c r="F61">
        <v>14.891308784</v>
      </c>
      <c r="G61">
        <v>1832.2183838000001</v>
      </c>
      <c r="H61">
        <v>1671.411499</v>
      </c>
      <c r="I61">
        <v>855.75402831999997</v>
      </c>
      <c r="J61">
        <v>460.25970459000001</v>
      </c>
      <c r="K61">
        <v>2400</v>
      </c>
      <c r="L61">
        <v>0</v>
      </c>
      <c r="M61">
        <v>0</v>
      </c>
      <c r="N61">
        <v>2400</v>
      </c>
    </row>
    <row r="62" spans="1:14" x14ac:dyDescent="0.25">
      <c r="A62">
        <v>1.2079329999999999</v>
      </c>
      <c r="B62" s="1">
        <f>DATE(2010,5,2) + TIME(4,59,25)</f>
        <v>40300.207928240743</v>
      </c>
      <c r="C62">
        <v>80</v>
      </c>
      <c r="D62">
        <v>64.305351256999998</v>
      </c>
      <c r="E62">
        <v>50</v>
      </c>
      <c r="F62">
        <v>14.891413689</v>
      </c>
      <c r="G62">
        <v>1831.9154053</v>
      </c>
      <c r="H62">
        <v>1673.1745605000001</v>
      </c>
      <c r="I62">
        <v>851.54656981999995</v>
      </c>
      <c r="J62">
        <v>456.05242920000001</v>
      </c>
      <c r="K62">
        <v>2400</v>
      </c>
      <c r="L62">
        <v>0</v>
      </c>
      <c r="M62">
        <v>0</v>
      </c>
      <c r="N62">
        <v>2400</v>
      </c>
    </row>
    <row r="63" spans="1:14" x14ac:dyDescent="0.25">
      <c r="A63">
        <v>1.2588900000000001</v>
      </c>
      <c r="B63" s="1">
        <f>DATE(2010,5,2) + TIME(6,12,48)</f>
        <v>40300.258888888886</v>
      </c>
      <c r="C63">
        <v>80</v>
      </c>
      <c r="D63">
        <v>65.216018676999994</v>
      </c>
      <c r="E63">
        <v>50</v>
      </c>
      <c r="F63">
        <v>14.8915205</v>
      </c>
      <c r="G63">
        <v>1831.6859131000001</v>
      </c>
      <c r="H63">
        <v>1674.9508057</v>
      </c>
      <c r="I63">
        <v>847.30316161999997</v>
      </c>
      <c r="J63">
        <v>451.80929565000002</v>
      </c>
      <c r="K63">
        <v>2400</v>
      </c>
      <c r="L63">
        <v>0</v>
      </c>
      <c r="M63">
        <v>0</v>
      </c>
      <c r="N63">
        <v>2400</v>
      </c>
    </row>
    <row r="64" spans="1:14" x14ac:dyDescent="0.25">
      <c r="A64">
        <v>1.3125739999999999</v>
      </c>
      <c r="B64" s="1">
        <f>DATE(2010,5,2) + TIME(7,30,6)</f>
        <v>40300.312569444446</v>
      </c>
      <c r="C64">
        <v>80</v>
      </c>
      <c r="D64">
        <v>66.116844177000004</v>
      </c>
      <c r="E64">
        <v>50</v>
      </c>
      <c r="F64">
        <v>14.891627312000001</v>
      </c>
      <c r="G64">
        <v>1831.5325928</v>
      </c>
      <c r="H64">
        <v>1676.7441406</v>
      </c>
      <c r="I64">
        <v>843.01617432</v>
      </c>
      <c r="J64">
        <v>447.52252197000001</v>
      </c>
      <c r="K64">
        <v>2400</v>
      </c>
      <c r="L64">
        <v>0</v>
      </c>
      <c r="M64">
        <v>0</v>
      </c>
      <c r="N64">
        <v>2400</v>
      </c>
    </row>
    <row r="65" spans="1:14" x14ac:dyDescent="0.25">
      <c r="A65">
        <v>1.369289</v>
      </c>
      <c r="B65" s="1">
        <f>DATE(2010,5,2) + TIME(8,51,46)</f>
        <v>40300.36928240741</v>
      </c>
      <c r="C65">
        <v>80</v>
      </c>
      <c r="D65">
        <v>67.007087708</v>
      </c>
      <c r="E65">
        <v>50</v>
      </c>
      <c r="F65">
        <v>14.891732215999999</v>
      </c>
      <c r="G65">
        <v>1831.4593506000001</v>
      </c>
      <c r="H65">
        <v>1678.5598144999999</v>
      </c>
      <c r="I65">
        <v>838.67529296999999</v>
      </c>
      <c r="J65">
        <v>443.18188477000001</v>
      </c>
      <c r="K65">
        <v>2400</v>
      </c>
      <c r="L65">
        <v>0</v>
      </c>
      <c r="M65">
        <v>0</v>
      </c>
      <c r="N65">
        <v>2400</v>
      </c>
    </row>
    <row r="66" spans="1:14" x14ac:dyDescent="0.25">
      <c r="A66">
        <v>1.429022</v>
      </c>
      <c r="B66" s="1">
        <f>DATE(2010,5,2) + TIME(10,17,47)</f>
        <v>40300.429016203707</v>
      </c>
      <c r="C66">
        <v>80</v>
      </c>
      <c r="D66">
        <v>67.881134032999995</v>
      </c>
      <c r="E66">
        <v>50</v>
      </c>
      <c r="F66">
        <v>14.891834258999999</v>
      </c>
      <c r="G66">
        <v>1831.4683838000001</v>
      </c>
      <c r="H66">
        <v>1680.390625</v>
      </c>
      <c r="I66">
        <v>834.29486083999996</v>
      </c>
      <c r="J66">
        <v>438.80166625999999</v>
      </c>
      <c r="K66">
        <v>2400</v>
      </c>
      <c r="L66">
        <v>0</v>
      </c>
      <c r="M66">
        <v>0</v>
      </c>
      <c r="N66">
        <v>2400</v>
      </c>
    </row>
    <row r="67" spans="1:14" x14ac:dyDescent="0.25">
      <c r="A67">
        <v>1.488772</v>
      </c>
      <c r="B67" s="1">
        <f>DATE(2010,5,2) + TIME(11,43,49)</f>
        <v>40300.488761574074</v>
      </c>
      <c r="C67">
        <v>80</v>
      </c>
      <c r="D67">
        <v>68.696044921999999</v>
      </c>
      <c r="E67">
        <v>50</v>
      </c>
      <c r="F67">
        <v>14.891921997000001</v>
      </c>
      <c r="G67">
        <v>1831.5388184000001</v>
      </c>
      <c r="H67">
        <v>1682.1271973</v>
      </c>
      <c r="I67">
        <v>830.08953856999995</v>
      </c>
      <c r="J67">
        <v>434.59646606000001</v>
      </c>
      <c r="K67">
        <v>2400</v>
      </c>
      <c r="L67">
        <v>0</v>
      </c>
      <c r="M67">
        <v>0</v>
      </c>
      <c r="N67">
        <v>2400</v>
      </c>
    </row>
    <row r="68" spans="1:14" x14ac:dyDescent="0.25">
      <c r="A68">
        <v>1.548721</v>
      </c>
      <c r="B68" s="1">
        <f>DATE(2010,5,2) + TIME(13,10,9)</f>
        <v>40300.548715277779</v>
      </c>
      <c r="C68">
        <v>80</v>
      </c>
      <c r="D68">
        <v>69.457962035999998</v>
      </c>
      <c r="E68">
        <v>50</v>
      </c>
      <c r="F68">
        <v>14.891998291</v>
      </c>
      <c r="G68">
        <v>1831.6656493999999</v>
      </c>
      <c r="H68">
        <v>1683.7890625</v>
      </c>
      <c r="I68">
        <v>826.03417968999997</v>
      </c>
      <c r="J68">
        <v>430.54113769999998</v>
      </c>
      <c r="K68">
        <v>2400</v>
      </c>
      <c r="L68">
        <v>0</v>
      </c>
      <c r="M68">
        <v>0</v>
      </c>
      <c r="N68">
        <v>2400</v>
      </c>
    </row>
    <row r="69" spans="1:14" x14ac:dyDescent="0.25">
      <c r="A69">
        <v>1.608968</v>
      </c>
      <c r="B69" s="1">
        <f>DATE(2010,5,2) + TIME(14,36,54)</f>
        <v>40300.608958333331</v>
      </c>
      <c r="C69">
        <v>80</v>
      </c>
      <c r="D69">
        <v>70.171073914000004</v>
      </c>
      <c r="E69">
        <v>50</v>
      </c>
      <c r="F69">
        <v>14.892062187000001</v>
      </c>
      <c r="G69">
        <v>1831.848999</v>
      </c>
      <c r="H69">
        <v>1685.3901367000001</v>
      </c>
      <c r="I69">
        <v>822.11212158000001</v>
      </c>
      <c r="J69">
        <v>426.61901855000002</v>
      </c>
      <c r="K69">
        <v>2400</v>
      </c>
      <c r="L69">
        <v>0</v>
      </c>
      <c r="M69">
        <v>0</v>
      </c>
      <c r="N69">
        <v>2400</v>
      </c>
    </row>
    <row r="70" spans="1:14" x14ac:dyDescent="0.25">
      <c r="A70">
        <v>1.669605</v>
      </c>
      <c r="B70" s="1">
        <f>DATE(2010,5,2) + TIME(16,4,13)</f>
        <v>40300.669594907406</v>
      </c>
      <c r="C70">
        <v>80</v>
      </c>
      <c r="D70">
        <v>70.838935852000006</v>
      </c>
      <c r="E70">
        <v>50</v>
      </c>
      <c r="F70">
        <v>14.892113686</v>
      </c>
      <c r="G70">
        <v>1832.0869141000001</v>
      </c>
      <c r="H70">
        <v>1686.9400635</v>
      </c>
      <c r="I70">
        <v>818.30889893000005</v>
      </c>
      <c r="J70">
        <v>422.81561278999999</v>
      </c>
      <c r="K70">
        <v>2400</v>
      </c>
      <c r="L70">
        <v>0</v>
      </c>
      <c r="M70">
        <v>0</v>
      </c>
      <c r="N70">
        <v>2400</v>
      </c>
    </row>
    <row r="71" spans="1:14" x14ac:dyDescent="0.25">
      <c r="A71">
        <v>1.730723</v>
      </c>
      <c r="B71" s="1">
        <f>DATE(2010,5,2) + TIME(17,32,14)</f>
        <v>40300.730717592596</v>
      </c>
      <c r="C71">
        <v>80</v>
      </c>
      <c r="D71">
        <v>71.465309142999999</v>
      </c>
      <c r="E71">
        <v>50</v>
      </c>
      <c r="F71">
        <v>14.892154694</v>
      </c>
      <c r="G71">
        <v>1832.3764647999999</v>
      </c>
      <c r="H71">
        <v>1688.4466553</v>
      </c>
      <c r="I71">
        <v>814.61175536999997</v>
      </c>
      <c r="J71">
        <v>419.11822510000002</v>
      </c>
      <c r="K71">
        <v>2400</v>
      </c>
      <c r="L71">
        <v>0</v>
      </c>
      <c r="M71">
        <v>0</v>
      </c>
      <c r="N71">
        <v>2400</v>
      </c>
    </row>
    <row r="72" spans="1:14" x14ac:dyDescent="0.25">
      <c r="A72">
        <v>1.792411</v>
      </c>
      <c r="B72" s="1">
        <f>DATE(2010,5,2) + TIME(19,1,4)</f>
        <v>40300.792407407411</v>
      </c>
      <c r="C72">
        <v>80</v>
      </c>
      <c r="D72">
        <v>72.053199767999999</v>
      </c>
      <c r="E72">
        <v>50</v>
      </c>
      <c r="F72">
        <v>14.892185210999999</v>
      </c>
      <c r="G72">
        <v>1832.7147216999999</v>
      </c>
      <c r="H72">
        <v>1689.9158935999999</v>
      </c>
      <c r="I72">
        <v>811.00946045000001</v>
      </c>
      <c r="J72">
        <v>415.515625</v>
      </c>
      <c r="K72">
        <v>2400</v>
      </c>
      <c r="L72">
        <v>0</v>
      </c>
      <c r="M72">
        <v>0</v>
      </c>
      <c r="N72">
        <v>2400</v>
      </c>
    </row>
    <row r="73" spans="1:14" x14ac:dyDescent="0.25">
      <c r="A73">
        <v>1.854757</v>
      </c>
      <c r="B73" s="1">
        <f>DATE(2010,5,2) + TIME(20,30,51)</f>
        <v>40300.854756944442</v>
      </c>
      <c r="C73">
        <v>80</v>
      </c>
      <c r="D73">
        <v>72.605278014999996</v>
      </c>
      <c r="E73">
        <v>50</v>
      </c>
      <c r="F73">
        <v>14.892205238000001</v>
      </c>
      <c r="G73">
        <v>1833.0988769999999</v>
      </c>
      <c r="H73">
        <v>1691.3527832</v>
      </c>
      <c r="I73">
        <v>807.49212646000001</v>
      </c>
      <c r="J73">
        <v>411.99783324999999</v>
      </c>
      <c r="K73">
        <v>2400</v>
      </c>
      <c r="L73">
        <v>0</v>
      </c>
      <c r="M73">
        <v>0</v>
      </c>
      <c r="N73">
        <v>2400</v>
      </c>
    </row>
    <row r="74" spans="1:14" x14ac:dyDescent="0.25">
      <c r="A74">
        <v>1.9178470000000001</v>
      </c>
      <c r="B74" s="1">
        <f>DATE(2010,5,2) + TIME(22,1,42)</f>
        <v>40300.917847222219</v>
      </c>
      <c r="C74">
        <v>80</v>
      </c>
      <c r="D74">
        <v>73.123954772999994</v>
      </c>
      <c r="E74">
        <v>50</v>
      </c>
      <c r="F74">
        <v>14.892215729</v>
      </c>
      <c r="G74">
        <v>1833.5261230000001</v>
      </c>
      <c r="H74">
        <v>1692.7613524999999</v>
      </c>
      <c r="I74">
        <v>804.05078125</v>
      </c>
      <c r="J74">
        <v>408.55596924000002</v>
      </c>
      <c r="K74">
        <v>2400</v>
      </c>
      <c r="L74">
        <v>0</v>
      </c>
      <c r="M74">
        <v>0</v>
      </c>
      <c r="N74">
        <v>2400</v>
      </c>
    </row>
    <row r="75" spans="1:14" x14ac:dyDescent="0.25">
      <c r="A75">
        <v>1.9817670000000001</v>
      </c>
      <c r="B75" s="1">
        <f>DATE(2010,5,2) + TIME(23,33,44)</f>
        <v>40300.981759259259</v>
      </c>
      <c r="C75">
        <v>80</v>
      </c>
      <c r="D75">
        <v>73.611366271999998</v>
      </c>
      <c r="E75">
        <v>50</v>
      </c>
      <c r="F75">
        <v>14.892216682000001</v>
      </c>
      <c r="G75">
        <v>1833.9941406</v>
      </c>
      <c r="H75">
        <v>1694.1453856999999</v>
      </c>
      <c r="I75">
        <v>800.67755126999998</v>
      </c>
      <c r="J75">
        <v>405.18215942</v>
      </c>
      <c r="K75">
        <v>2400</v>
      </c>
      <c r="L75">
        <v>0</v>
      </c>
      <c r="M75">
        <v>0</v>
      </c>
      <c r="N75">
        <v>2400</v>
      </c>
    </row>
    <row r="76" spans="1:14" x14ac:dyDescent="0.25">
      <c r="A76">
        <v>2.0465979999999999</v>
      </c>
      <c r="B76" s="1">
        <f>DATE(2010,5,3) + TIME(1,7,6)</f>
        <v>40301.046597222223</v>
      </c>
      <c r="C76">
        <v>80</v>
      </c>
      <c r="D76">
        <v>74.069419861</v>
      </c>
      <c r="E76">
        <v>50</v>
      </c>
      <c r="F76">
        <v>14.892209053</v>
      </c>
      <c r="G76">
        <v>1834.5006103999999</v>
      </c>
      <c r="H76">
        <v>1695.5076904</v>
      </c>
      <c r="I76">
        <v>797.36553954999999</v>
      </c>
      <c r="J76">
        <v>401.86944579999999</v>
      </c>
      <c r="K76">
        <v>2400</v>
      </c>
      <c r="L76">
        <v>0</v>
      </c>
      <c r="M76">
        <v>0</v>
      </c>
      <c r="N76">
        <v>2400</v>
      </c>
    </row>
    <row r="77" spans="1:14" x14ac:dyDescent="0.25">
      <c r="A77">
        <v>2.1124420000000002</v>
      </c>
      <c r="B77" s="1">
        <f>DATE(2010,5,3) + TIME(2,41,54)</f>
        <v>40301.112430555557</v>
      </c>
      <c r="C77">
        <v>80</v>
      </c>
      <c r="D77">
        <v>74.500007628999995</v>
      </c>
      <c r="E77">
        <v>50</v>
      </c>
      <c r="F77">
        <v>14.892193794000001</v>
      </c>
      <c r="G77">
        <v>1835.0440673999999</v>
      </c>
      <c r="H77">
        <v>1696.8518065999999</v>
      </c>
      <c r="I77">
        <v>794.10748291000004</v>
      </c>
      <c r="J77">
        <v>398.61062621999997</v>
      </c>
      <c r="K77">
        <v>2400</v>
      </c>
      <c r="L77">
        <v>0</v>
      </c>
      <c r="M77">
        <v>0</v>
      </c>
      <c r="N77">
        <v>2400</v>
      </c>
    </row>
    <row r="78" spans="1:14" x14ac:dyDescent="0.25">
      <c r="A78">
        <v>2.179395</v>
      </c>
      <c r="B78" s="1">
        <f>DATE(2010,5,3) + TIME(4,18,19)</f>
        <v>40301.179386574076</v>
      </c>
      <c r="C78">
        <v>80</v>
      </c>
      <c r="D78">
        <v>74.904731749999996</v>
      </c>
      <c r="E78">
        <v>50</v>
      </c>
      <c r="F78">
        <v>14.892170906</v>
      </c>
      <c r="G78">
        <v>1835.6229248</v>
      </c>
      <c r="H78">
        <v>1698.1801757999999</v>
      </c>
      <c r="I78">
        <v>790.89721680000002</v>
      </c>
      <c r="J78">
        <v>395.39950562000001</v>
      </c>
      <c r="K78">
        <v>2400</v>
      </c>
      <c r="L78">
        <v>0</v>
      </c>
      <c r="M78">
        <v>0</v>
      </c>
      <c r="N78">
        <v>2400</v>
      </c>
    </row>
    <row r="79" spans="1:14" x14ac:dyDescent="0.25">
      <c r="A79">
        <v>2.2475559999999999</v>
      </c>
      <c r="B79" s="1">
        <f>DATE(2010,5,3) + TIME(5,56,28)</f>
        <v>40301.247546296298</v>
      </c>
      <c r="C79">
        <v>80</v>
      </c>
      <c r="D79">
        <v>75.284881592000005</v>
      </c>
      <c r="E79">
        <v>50</v>
      </c>
      <c r="F79">
        <v>14.892140388</v>
      </c>
      <c r="G79">
        <v>1836.2358397999999</v>
      </c>
      <c r="H79">
        <v>1699.4952393000001</v>
      </c>
      <c r="I79">
        <v>787.72894286999997</v>
      </c>
      <c r="J79">
        <v>392.23031615999997</v>
      </c>
      <c r="K79">
        <v>2400</v>
      </c>
      <c r="L79">
        <v>0</v>
      </c>
      <c r="M79">
        <v>0</v>
      </c>
      <c r="N79">
        <v>2400</v>
      </c>
    </row>
    <row r="80" spans="1:14" x14ac:dyDescent="0.25">
      <c r="A80">
        <v>2.3170289999999998</v>
      </c>
      <c r="B80" s="1">
        <f>DATE(2010,5,3) + TIME(7,36,31)</f>
        <v>40301.317025462966</v>
      </c>
      <c r="C80">
        <v>80</v>
      </c>
      <c r="D80">
        <v>75.641975403000004</v>
      </c>
      <c r="E80">
        <v>50</v>
      </c>
      <c r="F80">
        <v>14.892103195000001</v>
      </c>
      <c r="G80">
        <v>1836.8818358999999</v>
      </c>
      <c r="H80">
        <v>1700.7991943</v>
      </c>
      <c r="I80">
        <v>784.59735106999995</v>
      </c>
      <c r="J80">
        <v>389.09774779999998</v>
      </c>
      <c r="K80">
        <v>2400</v>
      </c>
      <c r="L80">
        <v>0</v>
      </c>
      <c r="M80">
        <v>0</v>
      </c>
      <c r="N80">
        <v>2400</v>
      </c>
    </row>
    <row r="81" spans="1:14" x14ac:dyDescent="0.25">
      <c r="A81">
        <v>2.3879250000000001</v>
      </c>
      <c r="B81" s="1">
        <f>DATE(2010,5,3) + TIME(9,18,36)</f>
        <v>40301.387916666667</v>
      </c>
      <c r="C81">
        <v>80</v>
      </c>
      <c r="D81">
        <v>75.977355957</v>
      </c>
      <c r="E81">
        <v>50</v>
      </c>
      <c r="F81">
        <v>14.892059326</v>
      </c>
      <c r="G81">
        <v>1837.5596923999999</v>
      </c>
      <c r="H81">
        <v>1702.0939940999999</v>
      </c>
      <c r="I81">
        <v>781.49737548999997</v>
      </c>
      <c r="J81">
        <v>385.99670409999999</v>
      </c>
      <c r="K81">
        <v>2400</v>
      </c>
      <c r="L81">
        <v>0</v>
      </c>
      <c r="M81">
        <v>0</v>
      </c>
      <c r="N81">
        <v>2400</v>
      </c>
    </row>
    <row r="82" spans="1:14" x14ac:dyDescent="0.25">
      <c r="A82">
        <v>2.460359</v>
      </c>
      <c r="B82" s="1">
        <f>DATE(2010,5,3) + TIME(11,2,55)</f>
        <v>40301.460358796299</v>
      </c>
      <c r="C82">
        <v>80</v>
      </c>
      <c r="D82">
        <v>76.292182921999995</v>
      </c>
      <c r="E82">
        <v>50</v>
      </c>
      <c r="F82">
        <v>14.892010688999999</v>
      </c>
      <c r="G82">
        <v>1838.2687988</v>
      </c>
      <c r="H82">
        <v>1703.3818358999999</v>
      </c>
      <c r="I82">
        <v>778.42413329999999</v>
      </c>
      <c r="J82">
        <v>382.92239380000001</v>
      </c>
      <c r="K82">
        <v>2400</v>
      </c>
      <c r="L82">
        <v>0</v>
      </c>
      <c r="M82">
        <v>0</v>
      </c>
      <c r="N82">
        <v>2400</v>
      </c>
    </row>
    <row r="83" spans="1:14" x14ac:dyDescent="0.25">
      <c r="A83">
        <v>2.534411</v>
      </c>
      <c r="B83" s="1">
        <f>DATE(2010,5,3) + TIME(12,49,33)</f>
        <v>40301.534409722219</v>
      </c>
      <c r="C83">
        <v>80</v>
      </c>
      <c r="D83">
        <v>76.587387085000003</v>
      </c>
      <c r="E83">
        <v>50</v>
      </c>
      <c r="F83">
        <v>14.891955376</v>
      </c>
      <c r="G83">
        <v>1839.0075684000001</v>
      </c>
      <c r="H83">
        <v>1704.6633300999999</v>
      </c>
      <c r="I83">
        <v>775.37493896000001</v>
      </c>
      <c r="J83">
        <v>379.87200927999999</v>
      </c>
      <c r="K83">
        <v>2400</v>
      </c>
      <c r="L83">
        <v>0</v>
      </c>
      <c r="M83">
        <v>0</v>
      </c>
      <c r="N83">
        <v>2400</v>
      </c>
    </row>
    <row r="84" spans="1:14" x14ac:dyDescent="0.25">
      <c r="A84">
        <v>2.6101770000000002</v>
      </c>
      <c r="B84" s="1">
        <f>DATE(2010,5,3) + TIME(14,38,39)</f>
        <v>40301.610173611109</v>
      </c>
      <c r="C84">
        <v>80</v>
      </c>
      <c r="D84">
        <v>76.863899231000005</v>
      </c>
      <c r="E84">
        <v>50</v>
      </c>
      <c r="F84">
        <v>14.891895293999999</v>
      </c>
      <c r="G84">
        <v>1839.7751464999999</v>
      </c>
      <c r="H84">
        <v>1705.9396973</v>
      </c>
      <c r="I84">
        <v>772.34649658000001</v>
      </c>
      <c r="J84">
        <v>376.84231567</v>
      </c>
      <c r="K84">
        <v>2400</v>
      </c>
      <c r="L84">
        <v>0</v>
      </c>
      <c r="M84">
        <v>0</v>
      </c>
      <c r="N84">
        <v>2400</v>
      </c>
    </row>
    <row r="85" spans="1:14" x14ac:dyDescent="0.25">
      <c r="A85">
        <v>2.6877970000000002</v>
      </c>
      <c r="B85" s="1">
        <f>DATE(2010,5,3) + TIME(16,30,25)</f>
        <v>40301.687789351854</v>
      </c>
      <c r="C85">
        <v>80</v>
      </c>
      <c r="D85">
        <v>77.122703552000004</v>
      </c>
      <c r="E85">
        <v>50</v>
      </c>
      <c r="F85">
        <v>14.891831398000001</v>
      </c>
      <c r="G85">
        <v>1840.5709228999999</v>
      </c>
      <c r="H85">
        <v>1707.2126464999999</v>
      </c>
      <c r="I85">
        <v>769.33435058999999</v>
      </c>
      <c r="J85">
        <v>373.82891846000001</v>
      </c>
      <c r="K85">
        <v>2400</v>
      </c>
      <c r="L85">
        <v>0</v>
      </c>
      <c r="M85">
        <v>0</v>
      </c>
      <c r="N85">
        <v>2400</v>
      </c>
    </row>
    <row r="86" spans="1:14" x14ac:dyDescent="0.25">
      <c r="A86">
        <v>2.7674400000000001</v>
      </c>
      <c r="B86" s="1">
        <f>DATE(2010,5,3) + TIME(18,25,6)</f>
        <v>40301.767430555556</v>
      </c>
      <c r="C86">
        <v>80</v>
      </c>
      <c r="D86">
        <v>77.364799500000004</v>
      </c>
      <c r="E86">
        <v>50</v>
      </c>
      <c r="F86">
        <v>14.891762733</v>
      </c>
      <c r="G86">
        <v>1841.3951416</v>
      </c>
      <c r="H86">
        <v>1708.4844971</v>
      </c>
      <c r="I86">
        <v>766.33349609000004</v>
      </c>
      <c r="J86">
        <v>370.82675171</v>
      </c>
      <c r="K86">
        <v>2400</v>
      </c>
      <c r="L86">
        <v>0</v>
      </c>
      <c r="M86">
        <v>0</v>
      </c>
      <c r="N86">
        <v>2400</v>
      </c>
    </row>
    <row r="87" spans="1:14" x14ac:dyDescent="0.25">
      <c r="A87">
        <v>2.849262</v>
      </c>
      <c r="B87" s="1">
        <f>DATE(2010,5,3) + TIME(20,22,56)</f>
        <v>40301.849259259259</v>
      </c>
      <c r="C87">
        <v>80</v>
      </c>
      <c r="D87">
        <v>77.591011046999995</v>
      </c>
      <c r="E87">
        <v>50</v>
      </c>
      <c r="F87">
        <v>14.891690254</v>
      </c>
      <c r="G87">
        <v>1842.2474365</v>
      </c>
      <c r="H87">
        <v>1709.7567139</v>
      </c>
      <c r="I87">
        <v>763.33996581999997</v>
      </c>
      <c r="J87">
        <v>367.83178710999999</v>
      </c>
      <c r="K87">
        <v>2400</v>
      </c>
      <c r="L87">
        <v>0</v>
      </c>
      <c r="M87">
        <v>0</v>
      </c>
      <c r="N87">
        <v>2400</v>
      </c>
    </row>
    <row r="88" spans="1:14" x14ac:dyDescent="0.25">
      <c r="A88">
        <v>2.933424</v>
      </c>
      <c r="B88" s="1">
        <f>DATE(2010,5,3) + TIME(22,24,7)</f>
        <v>40301.93341435185</v>
      </c>
      <c r="C88">
        <v>80</v>
      </c>
      <c r="D88">
        <v>77.802108765</v>
      </c>
      <c r="E88">
        <v>50</v>
      </c>
      <c r="F88">
        <v>14.891613960000001</v>
      </c>
      <c r="G88">
        <v>1843.1276855000001</v>
      </c>
      <c r="H88">
        <v>1711.0305175999999</v>
      </c>
      <c r="I88">
        <v>760.34997558999999</v>
      </c>
      <c r="J88">
        <v>364.84042357999999</v>
      </c>
      <c r="K88">
        <v>2400</v>
      </c>
      <c r="L88">
        <v>0</v>
      </c>
      <c r="M88">
        <v>0</v>
      </c>
      <c r="N88">
        <v>2400</v>
      </c>
    </row>
    <row r="89" spans="1:14" x14ac:dyDescent="0.25">
      <c r="A89">
        <v>3.0201020000000001</v>
      </c>
      <c r="B89" s="1">
        <f>DATE(2010,5,4) + TIME(0,28,56)</f>
        <v>40302.020092592589</v>
      </c>
      <c r="C89">
        <v>80</v>
      </c>
      <c r="D89">
        <v>77.998832703000005</v>
      </c>
      <c r="E89">
        <v>50</v>
      </c>
      <c r="F89">
        <v>14.891535759</v>
      </c>
      <c r="G89">
        <v>1844.0356445</v>
      </c>
      <c r="H89">
        <v>1712.307251</v>
      </c>
      <c r="I89">
        <v>757.35992432</v>
      </c>
      <c r="J89">
        <v>361.84890746999997</v>
      </c>
      <c r="K89">
        <v>2400</v>
      </c>
      <c r="L89">
        <v>0</v>
      </c>
      <c r="M89">
        <v>0</v>
      </c>
      <c r="N89">
        <v>2400</v>
      </c>
    </row>
    <row r="90" spans="1:14" x14ac:dyDescent="0.25">
      <c r="A90">
        <v>3.109394</v>
      </c>
      <c r="B90" s="1">
        <f>DATE(2010,5,4) + TIME(2,37,31)</f>
        <v>40302.109386574077</v>
      </c>
      <c r="C90">
        <v>80</v>
      </c>
      <c r="D90">
        <v>78.181686400999993</v>
      </c>
      <c r="E90">
        <v>50</v>
      </c>
      <c r="F90">
        <v>14.891453743</v>
      </c>
      <c r="G90">
        <v>1844.9697266000001</v>
      </c>
      <c r="H90">
        <v>1713.5865478999999</v>
      </c>
      <c r="I90">
        <v>754.36920166000004</v>
      </c>
      <c r="J90">
        <v>358.85665893999999</v>
      </c>
      <c r="K90">
        <v>2400</v>
      </c>
      <c r="L90">
        <v>0</v>
      </c>
      <c r="M90">
        <v>0</v>
      </c>
      <c r="N90">
        <v>2400</v>
      </c>
    </row>
    <row r="91" spans="1:14" x14ac:dyDescent="0.25">
      <c r="A91">
        <v>3.2013769999999999</v>
      </c>
      <c r="B91" s="1">
        <f>DATE(2010,5,4) + TIME(4,49,58)</f>
        <v>40302.201365740744</v>
      </c>
      <c r="C91">
        <v>80</v>
      </c>
      <c r="D91">
        <v>78.351173400999997</v>
      </c>
      <c r="E91">
        <v>50</v>
      </c>
      <c r="F91">
        <v>14.891370773</v>
      </c>
      <c r="G91">
        <v>1845.9283447</v>
      </c>
      <c r="H91">
        <v>1714.8675536999999</v>
      </c>
      <c r="I91">
        <v>751.37780762</v>
      </c>
      <c r="J91">
        <v>355.86376953000001</v>
      </c>
      <c r="K91">
        <v>2400</v>
      </c>
      <c r="L91">
        <v>0</v>
      </c>
      <c r="M91">
        <v>0</v>
      </c>
      <c r="N91">
        <v>2400</v>
      </c>
    </row>
    <row r="92" spans="1:14" x14ac:dyDescent="0.25">
      <c r="A92">
        <v>3.2961109999999998</v>
      </c>
      <c r="B92" s="1">
        <f>DATE(2010,5,4) + TIME(7,6,23)</f>
        <v>40302.296099537038</v>
      </c>
      <c r="C92">
        <v>80</v>
      </c>
      <c r="D92">
        <v>78.507774353000002</v>
      </c>
      <c r="E92">
        <v>50</v>
      </c>
      <c r="F92">
        <v>14.891285895999999</v>
      </c>
      <c r="G92">
        <v>1846.9094238</v>
      </c>
      <c r="H92">
        <v>1716.1494141000001</v>
      </c>
      <c r="I92">
        <v>748.38671875</v>
      </c>
      <c r="J92">
        <v>352.87106323</v>
      </c>
      <c r="K92">
        <v>2400</v>
      </c>
      <c r="L92">
        <v>0</v>
      </c>
      <c r="M92">
        <v>0</v>
      </c>
      <c r="N92">
        <v>2400</v>
      </c>
    </row>
    <row r="93" spans="1:14" x14ac:dyDescent="0.25">
      <c r="A93">
        <v>3.3936700000000002</v>
      </c>
      <c r="B93" s="1">
        <f>DATE(2010,5,4) + TIME(9,26,53)</f>
        <v>40302.39366898148</v>
      </c>
      <c r="C93">
        <v>80</v>
      </c>
      <c r="D93">
        <v>78.652030945000007</v>
      </c>
      <c r="E93">
        <v>50</v>
      </c>
      <c r="F93">
        <v>14.891200066</v>
      </c>
      <c r="G93">
        <v>1847.9116211</v>
      </c>
      <c r="H93">
        <v>1717.4313964999999</v>
      </c>
      <c r="I93">
        <v>745.39611816000001</v>
      </c>
      <c r="J93">
        <v>349.87887573</v>
      </c>
      <c r="K93">
        <v>2400</v>
      </c>
      <c r="L93">
        <v>0</v>
      </c>
      <c r="M93">
        <v>0</v>
      </c>
      <c r="N93">
        <v>2400</v>
      </c>
    </row>
    <row r="94" spans="1:14" x14ac:dyDescent="0.25">
      <c r="A94">
        <v>3.4942700000000002</v>
      </c>
      <c r="B94" s="1">
        <f>DATE(2010,5,4) + TIME(11,51,44)</f>
        <v>40302.494259259256</v>
      </c>
      <c r="C94">
        <v>80</v>
      </c>
      <c r="D94">
        <v>78.784683228000006</v>
      </c>
      <c r="E94">
        <v>50</v>
      </c>
      <c r="F94">
        <v>14.891113281000001</v>
      </c>
      <c r="G94">
        <v>1848.9353027</v>
      </c>
      <c r="H94">
        <v>1718.7154541</v>
      </c>
      <c r="I94">
        <v>742.40240478999999</v>
      </c>
      <c r="J94">
        <v>346.88360596000001</v>
      </c>
      <c r="K94">
        <v>2400</v>
      </c>
      <c r="L94">
        <v>0</v>
      </c>
      <c r="M94">
        <v>0</v>
      </c>
      <c r="N94">
        <v>2400</v>
      </c>
    </row>
    <row r="95" spans="1:14" x14ac:dyDescent="0.25">
      <c r="A95">
        <v>3.5981679999999998</v>
      </c>
      <c r="B95" s="1">
        <f>DATE(2010,5,4) + TIME(14,21,21)</f>
        <v>40302.59815972222</v>
      </c>
      <c r="C95">
        <v>80</v>
      </c>
      <c r="D95">
        <v>78.906440735000004</v>
      </c>
      <c r="E95">
        <v>50</v>
      </c>
      <c r="F95">
        <v>14.891026497</v>
      </c>
      <c r="G95">
        <v>1849.9812012</v>
      </c>
      <c r="H95">
        <v>1720.0035399999999</v>
      </c>
      <c r="I95">
        <v>739.40130614999998</v>
      </c>
      <c r="J95">
        <v>343.88085938</v>
      </c>
      <c r="K95">
        <v>2400</v>
      </c>
      <c r="L95">
        <v>0</v>
      </c>
      <c r="M95">
        <v>0</v>
      </c>
      <c r="N95">
        <v>2400</v>
      </c>
    </row>
    <row r="96" spans="1:14" x14ac:dyDescent="0.25">
      <c r="A96">
        <v>3.705651</v>
      </c>
      <c r="B96" s="1">
        <f>DATE(2010,5,4) + TIME(16,56,8)</f>
        <v>40302.705648148149</v>
      </c>
      <c r="C96">
        <v>80</v>
      </c>
      <c r="D96">
        <v>79.017967224000003</v>
      </c>
      <c r="E96">
        <v>50</v>
      </c>
      <c r="F96">
        <v>14.890939713</v>
      </c>
      <c r="G96">
        <v>1851.0500488</v>
      </c>
      <c r="H96">
        <v>1721.2973632999999</v>
      </c>
      <c r="I96">
        <v>736.38830566000001</v>
      </c>
      <c r="J96">
        <v>340.86624146000003</v>
      </c>
      <c r="K96">
        <v>2400</v>
      </c>
      <c r="L96">
        <v>0</v>
      </c>
      <c r="M96">
        <v>0</v>
      </c>
      <c r="N96">
        <v>2400</v>
      </c>
    </row>
    <row r="97" spans="1:14" x14ac:dyDescent="0.25">
      <c r="A97">
        <v>3.8170359999999999</v>
      </c>
      <c r="B97" s="1">
        <f>DATE(2010,5,4) + TIME(19,36,31)</f>
        <v>40302.817025462966</v>
      </c>
      <c r="C97">
        <v>80</v>
      </c>
      <c r="D97">
        <v>79.119895935000002</v>
      </c>
      <c r="E97">
        <v>50</v>
      </c>
      <c r="F97">
        <v>14.890853882</v>
      </c>
      <c r="G97">
        <v>1852.1423339999999</v>
      </c>
      <c r="H97">
        <v>1722.598999</v>
      </c>
      <c r="I97">
        <v>733.35882568</v>
      </c>
      <c r="J97">
        <v>337.83514403999999</v>
      </c>
      <c r="K97">
        <v>2400</v>
      </c>
      <c r="L97">
        <v>0</v>
      </c>
      <c r="M97">
        <v>0</v>
      </c>
      <c r="N97">
        <v>2400</v>
      </c>
    </row>
    <row r="98" spans="1:14" x14ac:dyDescent="0.25">
      <c r="A98">
        <v>3.9326810000000001</v>
      </c>
      <c r="B98" s="1">
        <f>DATE(2010,5,4) + TIME(22,23,3)</f>
        <v>40302.932673611111</v>
      </c>
      <c r="C98">
        <v>80</v>
      </c>
      <c r="D98">
        <v>79.212837218999994</v>
      </c>
      <c r="E98">
        <v>50</v>
      </c>
      <c r="F98">
        <v>14.890769958</v>
      </c>
      <c r="G98">
        <v>1853.2590332</v>
      </c>
      <c r="H98">
        <v>1723.9100341999999</v>
      </c>
      <c r="I98">
        <v>730.30798340000001</v>
      </c>
      <c r="J98">
        <v>334.78268433</v>
      </c>
      <c r="K98">
        <v>2400</v>
      </c>
      <c r="L98">
        <v>0</v>
      </c>
      <c r="M98">
        <v>0</v>
      </c>
      <c r="N98">
        <v>2400</v>
      </c>
    </row>
    <row r="99" spans="1:14" x14ac:dyDescent="0.25">
      <c r="A99">
        <v>4.0523300000000004</v>
      </c>
      <c r="B99" s="1">
        <f>DATE(2010,5,5) + TIME(1,15,21)</f>
        <v>40303.05232638889</v>
      </c>
      <c r="C99">
        <v>80</v>
      </c>
      <c r="D99">
        <v>79.296928406000006</v>
      </c>
      <c r="E99">
        <v>50</v>
      </c>
      <c r="F99">
        <v>14.890686989000001</v>
      </c>
      <c r="G99">
        <v>1854.3918457</v>
      </c>
      <c r="H99">
        <v>1725.2224120999999</v>
      </c>
      <c r="I99">
        <v>727.24694824000005</v>
      </c>
      <c r="J99">
        <v>331.72003174000002</v>
      </c>
      <c r="K99">
        <v>2400</v>
      </c>
      <c r="L99">
        <v>0</v>
      </c>
      <c r="M99">
        <v>0</v>
      </c>
      <c r="N99">
        <v>2400</v>
      </c>
    </row>
    <row r="100" spans="1:14" x14ac:dyDescent="0.25">
      <c r="A100">
        <v>4.1758829999999998</v>
      </c>
      <c r="B100" s="1">
        <f>DATE(2010,5,5) + TIME(4,13,16)</f>
        <v>40303.175879629627</v>
      </c>
      <c r="C100">
        <v>80</v>
      </c>
      <c r="D100">
        <v>79.372581482000001</v>
      </c>
      <c r="E100">
        <v>50</v>
      </c>
      <c r="F100">
        <v>14.890605926999999</v>
      </c>
      <c r="G100">
        <v>1855.5362548999999</v>
      </c>
      <c r="H100">
        <v>1726.5323486</v>
      </c>
      <c r="I100">
        <v>724.18206786999997</v>
      </c>
      <c r="J100">
        <v>328.65353393999999</v>
      </c>
      <c r="K100">
        <v>2400</v>
      </c>
      <c r="L100">
        <v>0</v>
      </c>
      <c r="M100">
        <v>0</v>
      </c>
      <c r="N100">
        <v>2400</v>
      </c>
    </row>
    <row r="101" spans="1:14" x14ac:dyDescent="0.25">
      <c r="A101">
        <v>4.3036880000000002</v>
      </c>
      <c r="B101" s="1">
        <f>DATE(2010,5,5) + TIME(7,17,18)</f>
        <v>40303.303680555553</v>
      </c>
      <c r="C101">
        <v>80</v>
      </c>
      <c r="D101">
        <v>79.440475464000002</v>
      </c>
      <c r="E101">
        <v>50</v>
      </c>
      <c r="F101">
        <v>14.890527725</v>
      </c>
      <c r="G101">
        <v>1856.6947021000001</v>
      </c>
      <c r="H101">
        <v>1727.8433838000001</v>
      </c>
      <c r="I101">
        <v>721.10870361000002</v>
      </c>
      <c r="J101">
        <v>325.57858276000002</v>
      </c>
      <c r="K101">
        <v>2400</v>
      </c>
      <c r="L101">
        <v>0</v>
      </c>
      <c r="M101">
        <v>0</v>
      </c>
      <c r="N101">
        <v>2400</v>
      </c>
    </row>
    <row r="102" spans="1:14" x14ac:dyDescent="0.25">
      <c r="A102">
        <v>4.4330069999999999</v>
      </c>
      <c r="B102" s="1">
        <f>DATE(2010,5,5) + TIME(10,23,31)</f>
        <v>40303.432997685188</v>
      </c>
      <c r="C102">
        <v>80</v>
      </c>
      <c r="D102">
        <v>79.499969481999997</v>
      </c>
      <c r="E102">
        <v>50</v>
      </c>
      <c r="F102">
        <v>14.890454291999999</v>
      </c>
      <c r="G102">
        <v>1857.8275146000001</v>
      </c>
      <c r="H102">
        <v>1729.1138916</v>
      </c>
      <c r="I102">
        <v>718.09265137</v>
      </c>
      <c r="J102">
        <v>322.56097412000003</v>
      </c>
      <c r="K102">
        <v>2400</v>
      </c>
      <c r="L102">
        <v>0</v>
      </c>
      <c r="M102">
        <v>0</v>
      </c>
      <c r="N102">
        <v>2400</v>
      </c>
    </row>
    <row r="103" spans="1:14" x14ac:dyDescent="0.25">
      <c r="A103">
        <v>4.5628690000000001</v>
      </c>
      <c r="B103" s="1">
        <f>DATE(2010,5,5) + TIME(13,30,31)</f>
        <v>40303.562858796293</v>
      </c>
      <c r="C103">
        <v>80</v>
      </c>
      <c r="D103">
        <v>79.551689147999994</v>
      </c>
      <c r="E103">
        <v>50</v>
      </c>
      <c r="F103">
        <v>14.890384674</v>
      </c>
      <c r="G103">
        <v>1858.9279785000001</v>
      </c>
      <c r="H103">
        <v>1730.3382568</v>
      </c>
      <c r="I103">
        <v>715.15338135000002</v>
      </c>
      <c r="J103">
        <v>319.62023926000001</v>
      </c>
      <c r="K103">
        <v>2400</v>
      </c>
      <c r="L103">
        <v>0</v>
      </c>
      <c r="M103">
        <v>0</v>
      </c>
      <c r="N103">
        <v>2400</v>
      </c>
    </row>
    <row r="104" spans="1:14" x14ac:dyDescent="0.25">
      <c r="A104">
        <v>4.6935130000000003</v>
      </c>
      <c r="B104" s="1">
        <f>DATE(2010,5,5) + TIME(16,38,39)</f>
        <v>40303.693506944444</v>
      </c>
      <c r="C104">
        <v>80</v>
      </c>
      <c r="D104">
        <v>79.596733092999997</v>
      </c>
      <c r="E104">
        <v>50</v>
      </c>
      <c r="F104">
        <v>14.890319824000001</v>
      </c>
      <c r="G104">
        <v>1860.0047606999999</v>
      </c>
      <c r="H104">
        <v>1731.5268555</v>
      </c>
      <c r="I104">
        <v>712.28222656000003</v>
      </c>
      <c r="J104">
        <v>316.74761962999997</v>
      </c>
      <c r="K104">
        <v>2400</v>
      </c>
      <c r="L104">
        <v>0</v>
      </c>
      <c r="M104">
        <v>0</v>
      </c>
      <c r="N104">
        <v>2400</v>
      </c>
    </row>
    <row r="105" spans="1:14" x14ac:dyDescent="0.25">
      <c r="A105">
        <v>4.8251720000000002</v>
      </c>
      <c r="B105" s="1">
        <f>DATE(2010,5,5) + TIME(19,48,14)</f>
        <v>40303.825162037036</v>
      </c>
      <c r="C105">
        <v>80</v>
      </c>
      <c r="D105">
        <v>79.636001586999996</v>
      </c>
      <c r="E105">
        <v>50</v>
      </c>
      <c r="F105">
        <v>14.890259743</v>
      </c>
      <c r="G105">
        <v>1861.0626221</v>
      </c>
      <c r="H105">
        <v>1732.6857910000001</v>
      </c>
      <c r="I105">
        <v>709.47143555000002</v>
      </c>
      <c r="J105">
        <v>313.93545532000002</v>
      </c>
      <c r="K105">
        <v>2400</v>
      </c>
      <c r="L105">
        <v>0</v>
      </c>
      <c r="M105">
        <v>0</v>
      </c>
      <c r="N105">
        <v>2400</v>
      </c>
    </row>
    <row r="106" spans="1:14" x14ac:dyDescent="0.25">
      <c r="A106">
        <v>4.9580650000000004</v>
      </c>
      <c r="B106" s="1">
        <f>DATE(2010,5,5) + TIME(22,59,36)</f>
        <v>40303.958055555559</v>
      </c>
      <c r="C106">
        <v>80</v>
      </c>
      <c r="D106">
        <v>79.670257567999997</v>
      </c>
      <c r="E106">
        <v>50</v>
      </c>
      <c r="F106">
        <v>14.890204430000001</v>
      </c>
      <c r="G106">
        <v>1862.1042480000001</v>
      </c>
      <c r="H106">
        <v>1733.8189697</v>
      </c>
      <c r="I106">
        <v>706.71429443</v>
      </c>
      <c r="J106">
        <v>311.17700194999998</v>
      </c>
      <c r="K106">
        <v>2400</v>
      </c>
      <c r="L106">
        <v>0</v>
      </c>
      <c r="M106">
        <v>0</v>
      </c>
      <c r="N106">
        <v>2400</v>
      </c>
    </row>
    <row r="107" spans="1:14" x14ac:dyDescent="0.25">
      <c r="A107">
        <v>5.09239</v>
      </c>
      <c r="B107" s="1">
        <f>DATE(2010,5,6) + TIME(2,13,2)</f>
        <v>40304.09238425926</v>
      </c>
      <c r="C107">
        <v>80</v>
      </c>
      <c r="D107">
        <v>79.700157165999997</v>
      </c>
      <c r="E107">
        <v>50</v>
      </c>
      <c r="F107">
        <v>14.890152930999999</v>
      </c>
      <c r="G107">
        <v>1863.1309814000001</v>
      </c>
      <c r="H107">
        <v>1734.9291992000001</v>
      </c>
      <c r="I107">
        <v>704.00512694999998</v>
      </c>
      <c r="J107">
        <v>308.46655272999999</v>
      </c>
      <c r="K107">
        <v>2400</v>
      </c>
      <c r="L107">
        <v>0</v>
      </c>
      <c r="M107">
        <v>0</v>
      </c>
      <c r="N107">
        <v>2400</v>
      </c>
    </row>
    <row r="108" spans="1:14" x14ac:dyDescent="0.25">
      <c r="A108">
        <v>5.2283660000000003</v>
      </c>
      <c r="B108" s="1">
        <f>DATE(2010,5,6) + TIME(5,28,50)</f>
        <v>40304.228356481479</v>
      </c>
      <c r="C108">
        <v>80</v>
      </c>
      <c r="D108">
        <v>79.726257324000002</v>
      </c>
      <c r="E108">
        <v>50</v>
      </c>
      <c r="F108">
        <v>14.890107155000001</v>
      </c>
      <c r="G108">
        <v>1864.1444091999999</v>
      </c>
      <c r="H108">
        <v>1736.0189209</v>
      </c>
      <c r="I108">
        <v>701.33843993999994</v>
      </c>
      <c r="J108">
        <v>305.79864501999998</v>
      </c>
      <c r="K108">
        <v>2400</v>
      </c>
      <c r="L108">
        <v>0</v>
      </c>
      <c r="M108">
        <v>0</v>
      </c>
      <c r="N108">
        <v>2400</v>
      </c>
    </row>
    <row r="109" spans="1:14" x14ac:dyDescent="0.25">
      <c r="A109">
        <v>5.3662219999999996</v>
      </c>
      <c r="B109" s="1">
        <f>DATE(2010,5,6) + TIME(8,47,21)</f>
        <v>40304.366215277776</v>
      </c>
      <c r="C109">
        <v>80</v>
      </c>
      <c r="D109">
        <v>79.749046325999998</v>
      </c>
      <c r="E109">
        <v>50</v>
      </c>
      <c r="F109">
        <v>14.890065193</v>
      </c>
      <c r="G109">
        <v>1865.1459961</v>
      </c>
      <c r="H109">
        <v>1737.090332</v>
      </c>
      <c r="I109">
        <v>698.70898437999995</v>
      </c>
      <c r="J109">
        <v>303.16799927</v>
      </c>
      <c r="K109">
        <v>2400</v>
      </c>
      <c r="L109">
        <v>0</v>
      </c>
      <c r="M109">
        <v>0</v>
      </c>
      <c r="N109">
        <v>2400</v>
      </c>
    </row>
    <row r="110" spans="1:14" x14ac:dyDescent="0.25">
      <c r="A110">
        <v>5.5060510000000003</v>
      </c>
      <c r="B110" s="1">
        <f>DATE(2010,5,6) + TIME(12,8,42)</f>
        <v>40304.506041666667</v>
      </c>
      <c r="C110">
        <v>80</v>
      </c>
      <c r="D110">
        <v>79.768913268999995</v>
      </c>
      <c r="E110">
        <v>50</v>
      </c>
      <c r="F110">
        <v>14.890027999999999</v>
      </c>
      <c r="G110">
        <v>1866.1351318</v>
      </c>
      <c r="H110">
        <v>1738.1436768000001</v>
      </c>
      <c r="I110">
        <v>696.11450194999998</v>
      </c>
      <c r="J110">
        <v>300.57244873000002</v>
      </c>
      <c r="K110">
        <v>2400</v>
      </c>
      <c r="L110">
        <v>0</v>
      </c>
      <c r="M110">
        <v>0</v>
      </c>
      <c r="N110">
        <v>2400</v>
      </c>
    </row>
    <row r="111" spans="1:14" x14ac:dyDescent="0.25">
      <c r="A111">
        <v>5.6479980000000003</v>
      </c>
      <c r="B111" s="1">
        <f>DATE(2010,5,6) + TIME(15,33,7)</f>
        <v>40304.647997685184</v>
      </c>
      <c r="C111">
        <v>80</v>
      </c>
      <c r="D111">
        <v>79.786224364999995</v>
      </c>
      <c r="E111">
        <v>50</v>
      </c>
      <c r="F111">
        <v>14.889995575</v>
      </c>
      <c r="G111">
        <v>1867.1123047000001</v>
      </c>
      <c r="H111">
        <v>1739.1801757999999</v>
      </c>
      <c r="I111">
        <v>693.55212401999995</v>
      </c>
      <c r="J111">
        <v>298.00903319999998</v>
      </c>
      <c r="K111">
        <v>2400</v>
      </c>
      <c r="L111">
        <v>0</v>
      </c>
      <c r="M111">
        <v>0</v>
      </c>
      <c r="N111">
        <v>2400</v>
      </c>
    </row>
    <row r="112" spans="1:14" x14ac:dyDescent="0.25">
      <c r="A112">
        <v>5.7922890000000002</v>
      </c>
      <c r="B112" s="1">
        <f>DATE(2010,5,6) + TIME(19,0,53)</f>
        <v>40304.792280092595</v>
      </c>
      <c r="C112">
        <v>80</v>
      </c>
      <c r="D112">
        <v>79.801292419000006</v>
      </c>
      <c r="E112">
        <v>50</v>
      </c>
      <c r="F112">
        <v>14.889967918</v>
      </c>
      <c r="G112">
        <v>1868.0787353999999</v>
      </c>
      <c r="H112">
        <v>1740.2014160000001</v>
      </c>
      <c r="I112">
        <v>691.01782227000001</v>
      </c>
      <c r="J112">
        <v>295.47369385000002</v>
      </c>
      <c r="K112">
        <v>2400</v>
      </c>
      <c r="L112">
        <v>0</v>
      </c>
      <c r="M112">
        <v>0</v>
      </c>
      <c r="N112">
        <v>2400</v>
      </c>
    </row>
    <row r="113" spans="1:14" x14ac:dyDescent="0.25">
      <c r="A113">
        <v>5.9391569999999998</v>
      </c>
      <c r="B113" s="1">
        <f>DATE(2010,5,6) + TIME(22,32,23)</f>
        <v>40304.939155092594</v>
      </c>
      <c r="C113">
        <v>80</v>
      </c>
      <c r="D113">
        <v>79.814414978000002</v>
      </c>
      <c r="E113">
        <v>50</v>
      </c>
      <c r="F113">
        <v>14.88994503</v>
      </c>
      <c r="G113">
        <v>1869.0352783000001</v>
      </c>
      <c r="H113">
        <v>1741.2088623</v>
      </c>
      <c r="I113">
        <v>688.50775146000001</v>
      </c>
      <c r="J113">
        <v>292.96267699999999</v>
      </c>
      <c r="K113">
        <v>2400</v>
      </c>
      <c r="L113">
        <v>0</v>
      </c>
      <c r="M113">
        <v>0</v>
      </c>
      <c r="N113">
        <v>2400</v>
      </c>
    </row>
    <row r="114" spans="1:14" x14ac:dyDescent="0.25">
      <c r="A114">
        <v>6.0881319999999999</v>
      </c>
      <c r="B114" s="1">
        <f>DATE(2010,5,7) + TIME(2,6,54)</f>
        <v>40305.088125000002</v>
      </c>
      <c r="C114">
        <v>80</v>
      </c>
      <c r="D114">
        <v>79.825767517000003</v>
      </c>
      <c r="E114">
        <v>50</v>
      </c>
      <c r="F114">
        <v>14.88992691</v>
      </c>
      <c r="G114">
        <v>1869.9760742000001</v>
      </c>
      <c r="H114">
        <v>1742.1968993999999</v>
      </c>
      <c r="I114">
        <v>686.02996826000003</v>
      </c>
      <c r="J114">
        <v>290.48400879000002</v>
      </c>
      <c r="K114">
        <v>2400</v>
      </c>
      <c r="L114">
        <v>0</v>
      </c>
      <c r="M114">
        <v>0</v>
      </c>
      <c r="N114">
        <v>2400</v>
      </c>
    </row>
    <row r="115" spans="1:14" x14ac:dyDescent="0.25">
      <c r="A115">
        <v>6.2393960000000002</v>
      </c>
      <c r="B115" s="1">
        <f>DATE(2010,5,7) + TIME(5,44,43)</f>
        <v>40305.239386574074</v>
      </c>
      <c r="C115">
        <v>80</v>
      </c>
      <c r="D115">
        <v>79.835578917999996</v>
      </c>
      <c r="E115">
        <v>50</v>
      </c>
      <c r="F115">
        <v>14.889913559</v>
      </c>
      <c r="G115">
        <v>1870.9027100000001</v>
      </c>
      <c r="H115">
        <v>1743.1676024999999</v>
      </c>
      <c r="I115">
        <v>683.58135986000002</v>
      </c>
      <c r="J115">
        <v>288.03457642000001</v>
      </c>
      <c r="K115">
        <v>2400</v>
      </c>
      <c r="L115">
        <v>0</v>
      </c>
      <c r="M115">
        <v>0</v>
      </c>
      <c r="N115">
        <v>2400</v>
      </c>
    </row>
    <row r="116" spans="1:14" x14ac:dyDescent="0.25">
      <c r="A116">
        <v>6.3931810000000002</v>
      </c>
      <c r="B116" s="1">
        <f>DATE(2010,5,7) + TIME(9,26,10)</f>
        <v>40305.393171296295</v>
      </c>
      <c r="C116">
        <v>80</v>
      </c>
      <c r="D116">
        <v>79.844070435000006</v>
      </c>
      <c r="E116">
        <v>50</v>
      </c>
      <c r="F116">
        <v>14.889904022</v>
      </c>
      <c r="G116">
        <v>1871.8168945</v>
      </c>
      <c r="H116">
        <v>1744.1230469</v>
      </c>
      <c r="I116">
        <v>681.15844727000001</v>
      </c>
      <c r="J116">
        <v>285.61083983999998</v>
      </c>
      <c r="K116">
        <v>2400</v>
      </c>
      <c r="L116">
        <v>0</v>
      </c>
      <c r="M116">
        <v>0</v>
      </c>
      <c r="N116">
        <v>2400</v>
      </c>
    </row>
    <row r="117" spans="1:14" x14ac:dyDescent="0.25">
      <c r="A117">
        <v>6.5497259999999997</v>
      </c>
      <c r="B117" s="1">
        <f>DATE(2010,5,7) + TIME(13,11,36)</f>
        <v>40305.549722222226</v>
      </c>
      <c r="C117">
        <v>80</v>
      </c>
      <c r="D117">
        <v>79.851409911999994</v>
      </c>
      <c r="E117">
        <v>50</v>
      </c>
      <c r="F117">
        <v>14.889899253999999</v>
      </c>
      <c r="G117">
        <v>1872.7197266000001</v>
      </c>
      <c r="H117">
        <v>1745.0645752</v>
      </c>
      <c r="I117">
        <v>678.75775146000001</v>
      </c>
      <c r="J117">
        <v>283.20944214000002</v>
      </c>
      <c r="K117">
        <v>2400</v>
      </c>
      <c r="L117">
        <v>0</v>
      </c>
      <c r="M117">
        <v>0</v>
      </c>
      <c r="N117">
        <v>2400</v>
      </c>
    </row>
    <row r="118" spans="1:14" x14ac:dyDescent="0.25">
      <c r="A118">
        <v>6.7092879999999999</v>
      </c>
      <c r="B118" s="1">
        <f>DATE(2010,5,7) + TIME(17,1,22)</f>
        <v>40305.709282407406</v>
      </c>
      <c r="C118">
        <v>80</v>
      </c>
      <c r="D118">
        <v>79.857742310000006</v>
      </c>
      <c r="E118">
        <v>50</v>
      </c>
      <c r="F118">
        <v>14.889899253999999</v>
      </c>
      <c r="G118">
        <v>1873.6121826000001</v>
      </c>
      <c r="H118">
        <v>1745.9935303</v>
      </c>
      <c r="I118">
        <v>676.37622069999998</v>
      </c>
      <c r="J118">
        <v>280.82720947000001</v>
      </c>
      <c r="K118">
        <v>2400</v>
      </c>
      <c r="L118">
        <v>0</v>
      </c>
      <c r="M118">
        <v>0</v>
      </c>
      <c r="N118">
        <v>2400</v>
      </c>
    </row>
    <row r="119" spans="1:14" x14ac:dyDescent="0.25">
      <c r="A119">
        <v>6.8722050000000001</v>
      </c>
      <c r="B119" s="1">
        <f>DATE(2010,5,7) + TIME(20,55,58)</f>
        <v>40305.872199074074</v>
      </c>
      <c r="C119">
        <v>80</v>
      </c>
      <c r="D119">
        <v>79.863204956000004</v>
      </c>
      <c r="E119">
        <v>50</v>
      </c>
      <c r="F119">
        <v>14.889904976</v>
      </c>
      <c r="G119">
        <v>1874.4956055</v>
      </c>
      <c r="H119">
        <v>1746.911499</v>
      </c>
      <c r="I119">
        <v>674.00976562000005</v>
      </c>
      <c r="J119">
        <v>278.46008301000001</v>
      </c>
      <c r="K119">
        <v>2400</v>
      </c>
      <c r="L119">
        <v>0</v>
      </c>
      <c r="M119">
        <v>0</v>
      </c>
      <c r="N119">
        <v>2400</v>
      </c>
    </row>
    <row r="120" spans="1:14" x14ac:dyDescent="0.25">
      <c r="A120">
        <v>7.0387250000000003</v>
      </c>
      <c r="B120" s="1">
        <f>DATE(2010,5,8) + TIME(0,55,45)</f>
        <v>40306.038715277777</v>
      </c>
      <c r="C120">
        <v>80</v>
      </c>
      <c r="D120">
        <v>79.867912292</v>
      </c>
      <c r="E120">
        <v>50</v>
      </c>
      <c r="F120">
        <v>14.889914513000001</v>
      </c>
      <c r="G120">
        <v>1875.3703613</v>
      </c>
      <c r="H120">
        <v>1747.8190918</v>
      </c>
      <c r="I120">
        <v>671.65606689000003</v>
      </c>
      <c r="J120">
        <v>276.10577393</v>
      </c>
      <c r="K120">
        <v>2400</v>
      </c>
      <c r="L120">
        <v>0</v>
      </c>
      <c r="M120">
        <v>0</v>
      </c>
      <c r="N120">
        <v>2400</v>
      </c>
    </row>
    <row r="121" spans="1:14" x14ac:dyDescent="0.25">
      <c r="A121">
        <v>7.2091529999999997</v>
      </c>
      <c r="B121" s="1">
        <f>DATE(2010,5,8) + TIME(5,1,10)</f>
        <v>40306.209143518521</v>
      </c>
      <c r="C121">
        <v>80</v>
      </c>
      <c r="D121">
        <v>79.871963500999996</v>
      </c>
      <c r="E121">
        <v>50</v>
      </c>
      <c r="F121">
        <v>14.889928818</v>
      </c>
      <c r="G121">
        <v>1876.2370605000001</v>
      </c>
      <c r="H121">
        <v>1748.7170410000001</v>
      </c>
      <c r="I121">
        <v>669.31231689000003</v>
      </c>
      <c r="J121">
        <v>273.76150512999999</v>
      </c>
      <c r="K121">
        <v>2400</v>
      </c>
      <c r="L121">
        <v>0</v>
      </c>
      <c r="M121">
        <v>0</v>
      </c>
      <c r="N121">
        <v>2400</v>
      </c>
    </row>
    <row r="122" spans="1:14" x14ac:dyDescent="0.25">
      <c r="A122">
        <v>7.3838379999999999</v>
      </c>
      <c r="B122" s="1">
        <f>DATE(2010,5,8) + TIME(9,12,43)</f>
        <v>40306.383831018517</v>
      </c>
      <c r="C122">
        <v>80</v>
      </c>
      <c r="D122">
        <v>79.875442504999995</v>
      </c>
      <c r="E122">
        <v>50</v>
      </c>
      <c r="F122">
        <v>14.889947891</v>
      </c>
      <c r="G122">
        <v>1877.0964355000001</v>
      </c>
      <c r="H122">
        <v>1749.6064452999999</v>
      </c>
      <c r="I122">
        <v>666.97552489999998</v>
      </c>
      <c r="J122">
        <v>271.42422484999997</v>
      </c>
      <c r="K122">
        <v>2400</v>
      </c>
      <c r="L122">
        <v>0</v>
      </c>
      <c r="M122">
        <v>0</v>
      </c>
      <c r="N122">
        <v>2400</v>
      </c>
    </row>
    <row r="123" spans="1:14" x14ac:dyDescent="0.25">
      <c r="A123">
        <v>7.5628909999999996</v>
      </c>
      <c r="B123" s="1">
        <f>DATE(2010,5,8) + TIME(13,30,33)</f>
        <v>40306.562881944446</v>
      </c>
      <c r="C123">
        <v>80</v>
      </c>
      <c r="D123">
        <v>79.878410338999998</v>
      </c>
      <c r="E123">
        <v>50</v>
      </c>
      <c r="F123">
        <v>14.889972687</v>
      </c>
      <c r="G123">
        <v>1877.9473877</v>
      </c>
      <c r="H123">
        <v>1750.4860839999999</v>
      </c>
      <c r="I123">
        <v>664.64611816000001</v>
      </c>
      <c r="J123">
        <v>269.09436034999999</v>
      </c>
      <c r="K123">
        <v>2400</v>
      </c>
      <c r="L123">
        <v>0</v>
      </c>
      <c r="M123">
        <v>0</v>
      </c>
      <c r="N123">
        <v>2400</v>
      </c>
    </row>
    <row r="124" spans="1:14" x14ac:dyDescent="0.25">
      <c r="A124">
        <v>7.7464500000000003</v>
      </c>
      <c r="B124" s="1">
        <f>DATE(2010,5,8) + TIME(17,54,53)</f>
        <v>40306.746446759258</v>
      </c>
      <c r="C124">
        <v>80</v>
      </c>
      <c r="D124">
        <v>79.880943298000005</v>
      </c>
      <c r="E124">
        <v>50</v>
      </c>
      <c r="F124">
        <v>14.890003203999999</v>
      </c>
      <c r="G124">
        <v>1878.7890625</v>
      </c>
      <c r="H124">
        <v>1751.3554687999999</v>
      </c>
      <c r="I124">
        <v>662.32421875</v>
      </c>
      <c r="J124">
        <v>266.77209472999999</v>
      </c>
      <c r="K124">
        <v>2400</v>
      </c>
      <c r="L124">
        <v>0</v>
      </c>
      <c r="M124">
        <v>0</v>
      </c>
      <c r="N124">
        <v>2400</v>
      </c>
    </row>
    <row r="125" spans="1:14" x14ac:dyDescent="0.25">
      <c r="A125">
        <v>7.9346310000000004</v>
      </c>
      <c r="B125" s="1">
        <f>DATE(2010,5,8) + TIME(22,25,52)</f>
        <v>40306.934629629628</v>
      </c>
      <c r="C125">
        <v>80</v>
      </c>
      <c r="D125">
        <v>79.883102417000003</v>
      </c>
      <c r="E125">
        <v>50</v>
      </c>
      <c r="F125">
        <v>14.89003849</v>
      </c>
      <c r="G125">
        <v>1879.6207274999999</v>
      </c>
      <c r="H125">
        <v>1752.2138672000001</v>
      </c>
      <c r="I125">
        <v>660.01025390999996</v>
      </c>
      <c r="J125">
        <v>264.45782471000001</v>
      </c>
      <c r="K125">
        <v>2400</v>
      </c>
      <c r="L125">
        <v>0</v>
      </c>
      <c r="M125">
        <v>0</v>
      </c>
      <c r="N125">
        <v>2400</v>
      </c>
    </row>
    <row r="126" spans="1:14" x14ac:dyDescent="0.25">
      <c r="A126">
        <v>8.1275119999999994</v>
      </c>
      <c r="B126" s="1">
        <f>DATE(2010,5,9) + TIME(3,3,37)</f>
        <v>40307.127511574072</v>
      </c>
      <c r="C126">
        <v>80</v>
      </c>
      <c r="D126">
        <v>79.884918213000006</v>
      </c>
      <c r="E126">
        <v>50</v>
      </c>
      <c r="F126">
        <v>14.890078545</v>
      </c>
      <c r="G126">
        <v>1880.4415283000001</v>
      </c>
      <c r="H126">
        <v>1753.0605469</v>
      </c>
      <c r="I126">
        <v>657.70526123000002</v>
      </c>
      <c r="J126">
        <v>262.15252686000002</v>
      </c>
      <c r="K126">
        <v>2400</v>
      </c>
      <c r="L126">
        <v>0</v>
      </c>
      <c r="M126">
        <v>0</v>
      </c>
      <c r="N126">
        <v>2400</v>
      </c>
    </row>
    <row r="127" spans="1:14" x14ac:dyDescent="0.25">
      <c r="A127">
        <v>8.3251740000000005</v>
      </c>
      <c r="B127" s="1">
        <f>DATE(2010,5,9) + TIME(7,48,15)</f>
        <v>40307.325173611112</v>
      </c>
      <c r="C127">
        <v>80</v>
      </c>
      <c r="D127">
        <v>79.886451721</v>
      </c>
      <c r="E127">
        <v>50</v>
      </c>
      <c r="F127">
        <v>14.890125275000001</v>
      </c>
      <c r="G127">
        <v>1881.2507324000001</v>
      </c>
      <c r="H127">
        <v>1753.8946533000001</v>
      </c>
      <c r="I127">
        <v>655.41003418000003</v>
      </c>
      <c r="J127">
        <v>259.85708618000001</v>
      </c>
      <c r="K127">
        <v>2400</v>
      </c>
      <c r="L127">
        <v>0</v>
      </c>
      <c r="M127">
        <v>0</v>
      </c>
      <c r="N127">
        <v>2400</v>
      </c>
    </row>
    <row r="128" spans="1:14" x14ac:dyDescent="0.25">
      <c r="A128">
        <v>8.527787</v>
      </c>
      <c r="B128" s="1">
        <f>DATE(2010,5,9) + TIME(12,40,0)</f>
        <v>40307.527777777781</v>
      </c>
      <c r="C128">
        <v>80</v>
      </c>
      <c r="D128">
        <v>79.887733459000003</v>
      </c>
      <c r="E128">
        <v>50</v>
      </c>
      <c r="F128">
        <v>14.890176773</v>
      </c>
      <c r="G128">
        <v>1882.0479736</v>
      </c>
      <c r="H128">
        <v>1754.7161865</v>
      </c>
      <c r="I128">
        <v>653.12457274999997</v>
      </c>
      <c r="J128">
        <v>257.57147216999999</v>
      </c>
      <c r="K128">
        <v>2400</v>
      </c>
      <c r="L128">
        <v>0</v>
      </c>
      <c r="M128">
        <v>0</v>
      </c>
      <c r="N128">
        <v>2400</v>
      </c>
    </row>
    <row r="129" spans="1:14" x14ac:dyDescent="0.25">
      <c r="A129">
        <v>8.7355140000000002</v>
      </c>
      <c r="B129" s="1">
        <f>DATE(2010,5,9) + TIME(17,39,8)</f>
        <v>40307.735509259262</v>
      </c>
      <c r="C129">
        <v>80</v>
      </c>
      <c r="D129">
        <v>79.888809203999998</v>
      </c>
      <c r="E129">
        <v>50</v>
      </c>
      <c r="F129">
        <v>14.890234947</v>
      </c>
      <c r="G129">
        <v>1882.8331298999999</v>
      </c>
      <c r="H129">
        <v>1755.5249022999999</v>
      </c>
      <c r="I129">
        <v>650.84893798999997</v>
      </c>
      <c r="J129">
        <v>255.29573059000001</v>
      </c>
      <c r="K129">
        <v>2400</v>
      </c>
      <c r="L129">
        <v>0</v>
      </c>
      <c r="M129">
        <v>0</v>
      </c>
      <c r="N129">
        <v>2400</v>
      </c>
    </row>
    <row r="130" spans="1:14" x14ac:dyDescent="0.25">
      <c r="A130">
        <v>8.9488190000000003</v>
      </c>
      <c r="B130" s="1">
        <f>DATE(2010,5,9) + TIME(22,46,17)</f>
        <v>40307.948807870373</v>
      </c>
      <c r="C130">
        <v>80</v>
      </c>
      <c r="D130">
        <v>79.889701842999997</v>
      </c>
      <c r="E130">
        <v>50</v>
      </c>
      <c r="F130">
        <v>14.890298843</v>
      </c>
      <c r="G130">
        <v>1883.6075439000001</v>
      </c>
      <c r="H130">
        <v>1756.3221435999999</v>
      </c>
      <c r="I130">
        <v>648.58020020000004</v>
      </c>
      <c r="J130">
        <v>253.02693176</v>
      </c>
      <c r="K130">
        <v>2400</v>
      </c>
      <c r="L130">
        <v>0</v>
      </c>
      <c r="M130">
        <v>0</v>
      </c>
      <c r="N130">
        <v>2400</v>
      </c>
    </row>
    <row r="131" spans="1:14" x14ac:dyDescent="0.25">
      <c r="A131">
        <v>9.1645470000000007</v>
      </c>
      <c r="B131" s="1">
        <f>DATE(2010,5,10) + TIME(3,56,56)</f>
        <v>40308.164537037039</v>
      </c>
      <c r="C131">
        <v>80</v>
      </c>
      <c r="D131">
        <v>79.890411377000007</v>
      </c>
      <c r="E131">
        <v>50</v>
      </c>
      <c r="F131">
        <v>14.890367508000001</v>
      </c>
      <c r="G131">
        <v>1884.3513184000001</v>
      </c>
      <c r="H131">
        <v>1757.0881348</v>
      </c>
      <c r="I131">
        <v>646.35217284999999</v>
      </c>
      <c r="J131">
        <v>250.79888915999999</v>
      </c>
      <c r="K131">
        <v>2400</v>
      </c>
      <c r="L131">
        <v>0</v>
      </c>
      <c r="M131">
        <v>0</v>
      </c>
      <c r="N131">
        <v>2400</v>
      </c>
    </row>
    <row r="132" spans="1:14" x14ac:dyDescent="0.25">
      <c r="A132">
        <v>9.3809529999999999</v>
      </c>
      <c r="B132" s="1">
        <f>DATE(2010,5,10) + TIME(9,8,34)</f>
        <v>40308.380949074075</v>
      </c>
      <c r="C132">
        <v>80</v>
      </c>
      <c r="D132">
        <v>79.890968322999996</v>
      </c>
      <c r="E132">
        <v>50</v>
      </c>
      <c r="F132">
        <v>14.890440941</v>
      </c>
      <c r="G132">
        <v>1885.0589600000001</v>
      </c>
      <c r="H132">
        <v>1757.8171387</v>
      </c>
      <c r="I132">
        <v>644.18103026999995</v>
      </c>
      <c r="J132">
        <v>248.62783812999999</v>
      </c>
      <c r="K132">
        <v>2400</v>
      </c>
      <c r="L132">
        <v>0</v>
      </c>
      <c r="M132">
        <v>0</v>
      </c>
      <c r="N132">
        <v>2400</v>
      </c>
    </row>
    <row r="133" spans="1:14" x14ac:dyDescent="0.25">
      <c r="A133">
        <v>9.5983719999999995</v>
      </c>
      <c r="B133" s="1">
        <f>DATE(2010,5,10) + TIME(14,21,39)</f>
        <v>40308.598368055558</v>
      </c>
      <c r="C133">
        <v>80</v>
      </c>
      <c r="D133">
        <v>79.891403198000006</v>
      </c>
      <c r="E133">
        <v>50</v>
      </c>
      <c r="F133">
        <v>14.890518188</v>
      </c>
      <c r="G133">
        <v>1885.7376709</v>
      </c>
      <c r="H133">
        <v>1758.5162353999999</v>
      </c>
      <c r="I133">
        <v>642.06152343999997</v>
      </c>
      <c r="J133">
        <v>246.50845337000001</v>
      </c>
      <c r="K133">
        <v>2400</v>
      </c>
      <c r="L133">
        <v>0</v>
      </c>
      <c r="M133">
        <v>0</v>
      </c>
      <c r="N133">
        <v>2400</v>
      </c>
    </row>
    <row r="134" spans="1:14" x14ac:dyDescent="0.25">
      <c r="A134">
        <v>9.8169799999999992</v>
      </c>
      <c r="B134" s="1">
        <f>DATE(2010,5,10) + TIME(19,36,27)</f>
        <v>40308.816979166666</v>
      </c>
      <c r="C134">
        <v>80</v>
      </c>
      <c r="D134">
        <v>79.891746521000002</v>
      </c>
      <c r="E134">
        <v>50</v>
      </c>
      <c r="F134">
        <v>14.890600204</v>
      </c>
      <c r="G134">
        <v>1886.3907471</v>
      </c>
      <c r="H134">
        <v>1759.1888428</v>
      </c>
      <c r="I134">
        <v>639.99023437999995</v>
      </c>
      <c r="J134">
        <v>244.43733215</v>
      </c>
      <c r="K134">
        <v>2400</v>
      </c>
      <c r="L134">
        <v>0</v>
      </c>
      <c r="M134">
        <v>0</v>
      </c>
      <c r="N134">
        <v>2400</v>
      </c>
    </row>
    <row r="135" spans="1:14" x14ac:dyDescent="0.25">
      <c r="A135">
        <v>10.036782000000001</v>
      </c>
      <c r="B135" s="1">
        <f>DATE(2010,5,11) + TIME(0,52,57)</f>
        <v>40309.036770833336</v>
      </c>
      <c r="C135">
        <v>80</v>
      </c>
      <c r="D135">
        <v>79.892021178999997</v>
      </c>
      <c r="E135">
        <v>50</v>
      </c>
      <c r="F135">
        <v>14.890686989000001</v>
      </c>
      <c r="G135">
        <v>1887.0192870999999</v>
      </c>
      <c r="H135">
        <v>1759.8363036999999</v>
      </c>
      <c r="I135">
        <v>637.96551513999998</v>
      </c>
      <c r="J135">
        <v>242.4128418</v>
      </c>
      <c r="K135">
        <v>2400</v>
      </c>
      <c r="L135">
        <v>0</v>
      </c>
      <c r="M135">
        <v>0</v>
      </c>
      <c r="N135">
        <v>2400</v>
      </c>
    </row>
    <row r="136" spans="1:14" x14ac:dyDescent="0.25">
      <c r="A136">
        <v>10.257790999999999</v>
      </c>
      <c r="B136" s="1">
        <f>DATE(2010,5,11) + TIME(6,11,13)</f>
        <v>40309.257789351854</v>
      </c>
      <c r="C136">
        <v>80</v>
      </c>
      <c r="D136">
        <v>79.892234802000004</v>
      </c>
      <c r="E136">
        <v>50</v>
      </c>
      <c r="F136">
        <v>14.890776634</v>
      </c>
      <c r="G136">
        <v>1887.6245117000001</v>
      </c>
      <c r="H136">
        <v>1760.4595947</v>
      </c>
      <c r="I136">
        <v>635.98577881000006</v>
      </c>
      <c r="J136">
        <v>240.43341064000001</v>
      </c>
      <c r="K136">
        <v>2400</v>
      </c>
      <c r="L136">
        <v>0</v>
      </c>
      <c r="M136">
        <v>0</v>
      </c>
      <c r="N136">
        <v>2400</v>
      </c>
    </row>
    <row r="137" spans="1:14" x14ac:dyDescent="0.25">
      <c r="A137">
        <v>10.48033</v>
      </c>
      <c r="B137" s="1">
        <f>DATE(2010,5,11) + TIME(11,31,40)</f>
        <v>40309.480324074073</v>
      </c>
      <c r="C137">
        <v>80</v>
      </c>
      <c r="D137">
        <v>79.892402649000005</v>
      </c>
      <c r="E137">
        <v>50</v>
      </c>
      <c r="F137">
        <v>14.890872002</v>
      </c>
      <c r="G137">
        <v>1888.2084961</v>
      </c>
      <c r="H137">
        <v>1761.0610352000001</v>
      </c>
      <c r="I137">
        <v>634.04693603999999</v>
      </c>
      <c r="J137">
        <v>238.49488830999999</v>
      </c>
      <c r="K137">
        <v>2400</v>
      </c>
      <c r="L137">
        <v>0</v>
      </c>
      <c r="M137">
        <v>0</v>
      </c>
      <c r="N137">
        <v>2400</v>
      </c>
    </row>
    <row r="138" spans="1:14" x14ac:dyDescent="0.25">
      <c r="A138">
        <v>10.704722</v>
      </c>
      <c r="B138" s="1">
        <f>DATE(2010,5,11) + TIME(16,54,47)</f>
        <v>40309.704710648148</v>
      </c>
      <c r="C138">
        <v>80</v>
      </c>
      <c r="D138">
        <v>79.892524718999994</v>
      </c>
      <c r="E138">
        <v>50</v>
      </c>
      <c r="F138">
        <v>14.890970230000001</v>
      </c>
      <c r="G138">
        <v>1888.7731934000001</v>
      </c>
      <c r="H138">
        <v>1761.6424560999999</v>
      </c>
      <c r="I138">
        <v>632.14514159999999</v>
      </c>
      <c r="J138">
        <v>236.59347534</v>
      </c>
      <c r="K138">
        <v>2400</v>
      </c>
      <c r="L138">
        <v>0</v>
      </c>
      <c r="M138">
        <v>0</v>
      </c>
      <c r="N138">
        <v>2400</v>
      </c>
    </row>
    <row r="139" spans="1:14" x14ac:dyDescent="0.25">
      <c r="A139">
        <v>10.931291999999999</v>
      </c>
      <c r="B139" s="1">
        <f>DATE(2010,5,11) + TIME(22,21,3)</f>
        <v>40309.931284722225</v>
      </c>
      <c r="C139">
        <v>80</v>
      </c>
      <c r="D139">
        <v>79.892616271999998</v>
      </c>
      <c r="E139">
        <v>50</v>
      </c>
      <c r="F139">
        <v>14.891073227</v>
      </c>
      <c r="G139">
        <v>1889.3197021000001</v>
      </c>
      <c r="H139">
        <v>1762.2052002</v>
      </c>
      <c r="I139">
        <v>630.27697753999996</v>
      </c>
      <c r="J139">
        <v>234.72572327</v>
      </c>
      <c r="K139">
        <v>2400</v>
      </c>
      <c r="L139">
        <v>0</v>
      </c>
      <c r="M139">
        <v>0</v>
      </c>
      <c r="N139">
        <v>2400</v>
      </c>
    </row>
    <row r="140" spans="1:14" x14ac:dyDescent="0.25">
      <c r="A140">
        <v>11.16037</v>
      </c>
      <c r="B140" s="1">
        <f>DATE(2010,5,12) + TIME(3,50,55)</f>
        <v>40310.160358796296</v>
      </c>
      <c r="C140">
        <v>80</v>
      </c>
      <c r="D140">
        <v>79.892677307</v>
      </c>
      <c r="E140">
        <v>50</v>
      </c>
      <c r="F140">
        <v>14.891180038</v>
      </c>
      <c r="G140">
        <v>1889.8493652</v>
      </c>
      <c r="H140">
        <v>1762.7504882999999</v>
      </c>
      <c r="I140">
        <v>628.43914795000001</v>
      </c>
      <c r="J140">
        <v>232.88841248</v>
      </c>
      <c r="K140">
        <v>2400</v>
      </c>
      <c r="L140">
        <v>0</v>
      </c>
      <c r="M140">
        <v>0</v>
      </c>
      <c r="N140">
        <v>2400</v>
      </c>
    </row>
    <row r="141" spans="1:14" x14ac:dyDescent="0.25">
      <c r="A141">
        <v>11.392296999999999</v>
      </c>
      <c r="B141" s="1">
        <f>DATE(2010,5,12) + TIME(9,24,54)</f>
        <v>40310.392291666663</v>
      </c>
      <c r="C141">
        <v>80</v>
      </c>
      <c r="D141">
        <v>79.892715453999998</v>
      </c>
      <c r="E141">
        <v>50</v>
      </c>
      <c r="F141">
        <v>14.891291618</v>
      </c>
      <c r="G141">
        <v>1890.3630370999999</v>
      </c>
      <c r="H141">
        <v>1763.2794189000001</v>
      </c>
      <c r="I141">
        <v>626.62878418000003</v>
      </c>
      <c r="J141">
        <v>231.07856749999999</v>
      </c>
      <c r="K141">
        <v>2400</v>
      </c>
      <c r="L141">
        <v>0</v>
      </c>
      <c r="M141">
        <v>0</v>
      </c>
      <c r="N141">
        <v>2400</v>
      </c>
    </row>
    <row r="142" spans="1:14" x14ac:dyDescent="0.25">
      <c r="A142">
        <v>11.627424</v>
      </c>
      <c r="B142" s="1">
        <f>DATE(2010,5,12) + TIME(15,3,29)</f>
        <v>40310.627418981479</v>
      </c>
      <c r="C142">
        <v>80</v>
      </c>
      <c r="D142">
        <v>79.892738342000001</v>
      </c>
      <c r="E142">
        <v>50</v>
      </c>
      <c r="F142">
        <v>14.891407966999999</v>
      </c>
      <c r="G142">
        <v>1890.8615723</v>
      </c>
      <c r="H142">
        <v>1763.7927245999999</v>
      </c>
      <c r="I142">
        <v>624.84301758000004</v>
      </c>
      <c r="J142">
        <v>229.293396</v>
      </c>
      <c r="K142">
        <v>2400</v>
      </c>
      <c r="L142">
        <v>0</v>
      </c>
      <c r="M142">
        <v>0</v>
      </c>
      <c r="N142">
        <v>2400</v>
      </c>
    </row>
    <row r="143" spans="1:14" x14ac:dyDescent="0.25">
      <c r="A143">
        <v>11.866142999999999</v>
      </c>
      <c r="B143" s="1">
        <f>DATE(2010,5,12) + TIME(20,47,14)</f>
        <v>40310.86613425926</v>
      </c>
      <c r="C143">
        <v>80</v>
      </c>
      <c r="D143">
        <v>79.892738342000001</v>
      </c>
      <c r="E143">
        <v>50</v>
      </c>
      <c r="F143">
        <v>14.891529083</v>
      </c>
      <c r="G143">
        <v>1891.3458252</v>
      </c>
      <c r="H143">
        <v>1764.2913818</v>
      </c>
      <c r="I143">
        <v>623.07910156000003</v>
      </c>
      <c r="J143">
        <v>227.53007507000001</v>
      </c>
      <c r="K143">
        <v>2400</v>
      </c>
      <c r="L143">
        <v>0</v>
      </c>
      <c r="M143">
        <v>0</v>
      </c>
      <c r="N143">
        <v>2400</v>
      </c>
    </row>
    <row r="144" spans="1:14" x14ac:dyDescent="0.25">
      <c r="A144">
        <v>12.108855999999999</v>
      </c>
      <c r="B144" s="1">
        <f>DATE(2010,5,13) + TIME(2,36,45)</f>
        <v>40311.108854166669</v>
      </c>
      <c r="C144">
        <v>80</v>
      </c>
      <c r="D144">
        <v>79.892730713000006</v>
      </c>
      <c r="E144">
        <v>50</v>
      </c>
      <c r="F144">
        <v>14.891654967999999</v>
      </c>
      <c r="G144">
        <v>1891.8164062000001</v>
      </c>
      <c r="H144">
        <v>1764.7761230000001</v>
      </c>
      <c r="I144">
        <v>621.33435058999999</v>
      </c>
      <c r="J144">
        <v>225.78601073999999</v>
      </c>
      <c r="K144">
        <v>2400</v>
      </c>
      <c r="L144">
        <v>0</v>
      </c>
      <c r="M144">
        <v>0</v>
      </c>
      <c r="N144">
        <v>2400</v>
      </c>
    </row>
    <row r="145" spans="1:14" x14ac:dyDescent="0.25">
      <c r="A145">
        <v>12.356085999999999</v>
      </c>
      <c r="B145" s="1">
        <f>DATE(2010,5,13) + TIME(8,32,45)</f>
        <v>40311.356076388889</v>
      </c>
      <c r="C145">
        <v>80</v>
      </c>
      <c r="D145">
        <v>79.892700195000003</v>
      </c>
      <c r="E145">
        <v>50</v>
      </c>
      <c r="F145">
        <v>14.891786574999999</v>
      </c>
      <c r="G145">
        <v>1892.2745361</v>
      </c>
      <c r="H145">
        <v>1765.2478027</v>
      </c>
      <c r="I145">
        <v>619.60565185999997</v>
      </c>
      <c r="J145">
        <v>224.05805968999999</v>
      </c>
      <c r="K145">
        <v>2400</v>
      </c>
      <c r="L145">
        <v>0</v>
      </c>
      <c r="M145">
        <v>0</v>
      </c>
      <c r="N145">
        <v>2400</v>
      </c>
    </row>
    <row r="146" spans="1:14" x14ac:dyDescent="0.25">
      <c r="A146">
        <v>12.608174</v>
      </c>
      <c r="B146" s="1">
        <f>DATE(2010,5,13) + TIME(14,35,46)</f>
        <v>40311.608171296299</v>
      </c>
      <c r="C146">
        <v>80</v>
      </c>
      <c r="D146">
        <v>79.892669678000004</v>
      </c>
      <c r="E146">
        <v>50</v>
      </c>
      <c r="F146">
        <v>14.891922951</v>
      </c>
      <c r="G146">
        <v>1892.7200928</v>
      </c>
      <c r="H146">
        <v>1765.7067870999999</v>
      </c>
      <c r="I146">
        <v>617.89141845999995</v>
      </c>
      <c r="J146">
        <v>222.34465026999999</v>
      </c>
      <c r="K146">
        <v>2400</v>
      </c>
      <c r="L146">
        <v>0</v>
      </c>
      <c r="M146">
        <v>0</v>
      </c>
      <c r="N146">
        <v>2400</v>
      </c>
    </row>
    <row r="147" spans="1:14" x14ac:dyDescent="0.25">
      <c r="A147">
        <v>12.865601</v>
      </c>
      <c r="B147" s="1">
        <f>DATE(2010,5,13) + TIME(20,46,27)</f>
        <v>40311.865590277775</v>
      </c>
      <c r="C147">
        <v>80</v>
      </c>
      <c r="D147">
        <v>79.892623900999993</v>
      </c>
      <c r="E147">
        <v>50</v>
      </c>
      <c r="F147">
        <v>14.892066002</v>
      </c>
      <c r="G147">
        <v>1893.1534423999999</v>
      </c>
      <c r="H147">
        <v>1766.1533202999999</v>
      </c>
      <c r="I147">
        <v>616.18939208999996</v>
      </c>
      <c r="J147">
        <v>220.64346312999999</v>
      </c>
      <c r="K147">
        <v>2400</v>
      </c>
      <c r="L147">
        <v>0</v>
      </c>
      <c r="M147">
        <v>0</v>
      </c>
      <c r="N147">
        <v>2400</v>
      </c>
    </row>
    <row r="148" spans="1:14" x14ac:dyDescent="0.25">
      <c r="A148">
        <v>13.128405000000001</v>
      </c>
      <c r="B148" s="1">
        <f>DATE(2010,5,14) + TIME(3,4,54)</f>
        <v>40312.12840277778</v>
      </c>
      <c r="C148">
        <v>80</v>
      </c>
      <c r="D148">
        <v>79.892570496000005</v>
      </c>
      <c r="E148">
        <v>50</v>
      </c>
      <c r="F148">
        <v>14.892214774999999</v>
      </c>
      <c r="G148">
        <v>1893.5738524999999</v>
      </c>
      <c r="H148">
        <v>1766.5864257999999</v>
      </c>
      <c r="I148">
        <v>614.50030518000005</v>
      </c>
      <c r="J148">
        <v>218.95526122999999</v>
      </c>
      <c r="K148">
        <v>2400</v>
      </c>
      <c r="L148">
        <v>0</v>
      </c>
      <c r="M148">
        <v>0</v>
      </c>
      <c r="N148">
        <v>2400</v>
      </c>
    </row>
    <row r="149" spans="1:14" x14ac:dyDescent="0.25">
      <c r="A149">
        <v>13.396863</v>
      </c>
      <c r="B149" s="1">
        <f>DATE(2010,5,14) + TIME(9,31,29)</f>
        <v>40312.396863425929</v>
      </c>
      <c r="C149">
        <v>80</v>
      </c>
      <c r="D149">
        <v>79.892501831000004</v>
      </c>
      <c r="E149">
        <v>50</v>
      </c>
      <c r="F149">
        <v>14.89236927</v>
      </c>
      <c r="G149">
        <v>1893.9810791</v>
      </c>
      <c r="H149">
        <v>1767.0062256000001</v>
      </c>
      <c r="I149">
        <v>612.82336425999995</v>
      </c>
      <c r="J149">
        <v>217.27932738999999</v>
      </c>
      <c r="K149">
        <v>2400</v>
      </c>
      <c r="L149">
        <v>0</v>
      </c>
      <c r="M149">
        <v>0</v>
      </c>
      <c r="N149">
        <v>2400</v>
      </c>
    </row>
    <row r="150" spans="1:14" x14ac:dyDescent="0.25">
      <c r="A150">
        <v>13.671112000000001</v>
      </c>
      <c r="B150" s="1">
        <f>DATE(2010,5,14) + TIME(16,6,24)</f>
        <v>40312.671111111114</v>
      </c>
      <c r="C150">
        <v>80</v>
      </c>
      <c r="D150">
        <v>79.892433166999993</v>
      </c>
      <c r="E150">
        <v>50</v>
      </c>
      <c r="F150">
        <v>14.892529487999999</v>
      </c>
      <c r="G150">
        <v>1894.3747559000001</v>
      </c>
      <c r="H150">
        <v>1767.4122314000001</v>
      </c>
      <c r="I150">
        <v>611.15887451000003</v>
      </c>
      <c r="J150">
        <v>215.61587524000001</v>
      </c>
      <c r="K150">
        <v>2400</v>
      </c>
      <c r="L150">
        <v>0</v>
      </c>
      <c r="M150">
        <v>0</v>
      </c>
      <c r="N150">
        <v>2400</v>
      </c>
    </row>
    <row r="151" spans="1:14" x14ac:dyDescent="0.25">
      <c r="A151">
        <v>13.951204000000001</v>
      </c>
      <c r="B151" s="1">
        <f>DATE(2010,5,14) + TIME(22,49,44)</f>
        <v>40312.951203703706</v>
      </c>
      <c r="C151">
        <v>80</v>
      </c>
      <c r="D151">
        <v>79.892356872999997</v>
      </c>
      <c r="E151">
        <v>50</v>
      </c>
      <c r="F151">
        <v>14.892697333999999</v>
      </c>
      <c r="G151">
        <v>1894.7543945</v>
      </c>
      <c r="H151">
        <v>1767.8037108999999</v>
      </c>
      <c r="I151">
        <v>609.50750731999995</v>
      </c>
      <c r="J151">
        <v>213.96563721000001</v>
      </c>
      <c r="K151">
        <v>2400</v>
      </c>
      <c r="L151">
        <v>0</v>
      </c>
      <c r="M151">
        <v>0</v>
      </c>
      <c r="N151">
        <v>2400</v>
      </c>
    </row>
    <row r="152" spans="1:14" x14ac:dyDescent="0.25">
      <c r="A152">
        <v>14.23728</v>
      </c>
      <c r="B152" s="1">
        <f>DATE(2010,5,15) + TIME(5,41,40)</f>
        <v>40313.237268518518</v>
      </c>
      <c r="C152">
        <v>80</v>
      </c>
      <c r="D152">
        <v>79.892272949000002</v>
      </c>
      <c r="E152">
        <v>50</v>
      </c>
      <c r="F152">
        <v>14.892870903</v>
      </c>
      <c r="G152">
        <v>1895.1195068</v>
      </c>
      <c r="H152">
        <v>1768.1806641000001</v>
      </c>
      <c r="I152">
        <v>607.86956786999997</v>
      </c>
      <c r="J152">
        <v>212.32881165000001</v>
      </c>
      <c r="K152">
        <v>2400</v>
      </c>
      <c r="L152">
        <v>0</v>
      </c>
      <c r="M152">
        <v>0</v>
      </c>
      <c r="N152">
        <v>2400</v>
      </c>
    </row>
    <row r="153" spans="1:14" x14ac:dyDescent="0.25">
      <c r="A153">
        <v>14.529401</v>
      </c>
      <c r="B153" s="1">
        <f>DATE(2010,5,15) + TIME(12,42,20)</f>
        <v>40313.529398148145</v>
      </c>
      <c r="C153">
        <v>80</v>
      </c>
      <c r="D153">
        <v>79.892189025999997</v>
      </c>
      <c r="E153">
        <v>50</v>
      </c>
      <c r="F153">
        <v>14.893050194000001</v>
      </c>
      <c r="G153">
        <v>1895.4699707</v>
      </c>
      <c r="H153">
        <v>1768.5426024999999</v>
      </c>
      <c r="I153">
        <v>606.24554443</v>
      </c>
      <c r="J153">
        <v>210.70605469</v>
      </c>
      <c r="K153">
        <v>2400</v>
      </c>
      <c r="L153">
        <v>0</v>
      </c>
      <c r="M153">
        <v>0</v>
      </c>
      <c r="N153">
        <v>2400</v>
      </c>
    </row>
    <row r="154" spans="1:14" x14ac:dyDescent="0.25">
      <c r="A154">
        <v>14.676106000000001</v>
      </c>
      <c r="B154" s="1">
        <f>DATE(2010,5,15) + TIME(16,13,35)</f>
        <v>40313.676099537035</v>
      </c>
      <c r="C154">
        <v>80</v>
      </c>
      <c r="D154">
        <v>79.891792296999995</v>
      </c>
      <c r="E154">
        <v>50</v>
      </c>
      <c r="F154">
        <v>14.893156052</v>
      </c>
      <c r="G154">
        <v>1895.5006103999999</v>
      </c>
      <c r="H154">
        <v>1768.5828856999999</v>
      </c>
      <c r="I154">
        <v>605.44213866999996</v>
      </c>
      <c r="J154">
        <v>209.90342712</v>
      </c>
      <c r="K154">
        <v>2400</v>
      </c>
      <c r="L154">
        <v>0</v>
      </c>
      <c r="M154">
        <v>0</v>
      </c>
      <c r="N154">
        <v>2400</v>
      </c>
    </row>
    <row r="155" spans="1:14" x14ac:dyDescent="0.25">
      <c r="A155">
        <v>14.969514999999999</v>
      </c>
      <c r="B155" s="1">
        <f>DATE(2010,5,15) + TIME(23,16,6)</f>
        <v>40313.969513888886</v>
      </c>
      <c r="C155">
        <v>80</v>
      </c>
      <c r="D155">
        <v>79.891899108999993</v>
      </c>
      <c r="E155">
        <v>50</v>
      </c>
      <c r="F155">
        <v>14.89333725</v>
      </c>
      <c r="G155">
        <v>1895.8706055</v>
      </c>
      <c r="H155">
        <v>1768.9600829999999</v>
      </c>
      <c r="I155">
        <v>603.88085937999995</v>
      </c>
      <c r="J155">
        <v>208.34336852999999</v>
      </c>
      <c r="K155">
        <v>2400</v>
      </c>
      <c r="L155">
        <v>0</v>
      </c>
      <c r="M155">
        <v>0</v>
      </c>
      <c r="N155">
        <v>2400</v>
      </c>
    </row>
    <row r="156" spans="1:14" x14ac:dyDescent="0.25">
      <c r="A156">
        <v>15.263083999999999</v>
      </c>
      <c r="B156" s="1">
        <f>DATE(2010,5,16) + TIME(6,18,50)</f>
        <v>40314.263078703705</v>
      </c>
      <c r="C156">
        <v>80</v>
      </c>
      <c r="D156">
        <v>79.891906738000003</v>
      </c>
      <c r="E156">
        <v>50</v>
      </c>
      <c r="F156">
        <v>14.893523216</v>
      </c>
      <c r="G156">
        <v>1896.1947021000001</v>
      </c>
      <c r="H156">
        <v>1769.2944336</v>
      </c>
      <c r="I156">
        <v>602.36322021000001</v>
      </c>
      <c r="J156">
        <v>206.82705687999999</v>
      </c>
      <c r="K156">
        <v>2400</v>
      </c>
      <c r="L156">
        <v>0</v>
      </c>
      <c r="M156">
        <v>0</v>
      </c>
      <c r="N156">
        <v>2400</v>
      </c>
    </row>
    <row r="157" spans="1:14" x14ac:dyDescent="0.25">
      <c r="A157">
        <v>15.557121</v>
      </c>
      <c r="B157" s="1">
        <f>DATE(2010,5,16) + TIME(13,22,15)</f>
        <v>40314.557118055556</v>
      </c>
      <c r="C157">
        <v>80</v>
      </c>
      <c r="D157">
        <v>79.891845703000001</v>
      </c>
      <c r="E157">
        <v>50</v>
      </c>
      <c r="F157">
        <v>14.893712997</v>
      </c>
      <c r="G157">
        <v>1896.4782714999999</v>
      </c>
      <c r="H157">
        <v>1769.5881348</v>
      </c>
      <c r="I157">
        <v>600.88592529000005</v>
      </c>
      <c r="J157">
        <v>205.35108948000001</v>
      </c>
      <c r="K157">
        <v>2400</v>
      </c>
      <c r="L157">
        <v>0</v>
      </c>
      <c r="M157">
        <v>0</v>
      </c>
      <c r="N157">
        <v>2400</v>
      </c>
    </row>
    <row r="158" spans="1:14" x14ac:dyDescent="0.25">
      <c r="A158">
        <v>15.852224</v>
      </c>
      <c r="B158" s="1">
        <f>DATE(2010,5,16) + TIME(20,27,12)</f>
        <v>40314.852222222224</v>
      </c>
      <c r="C158">
        <v>80</v>
      </c>
      <c r="D158">
        <v>79.891754149999997</v>
      </c>
      <c r="E158">
        <v>50</v>
      </c>
      <c r="F158">
        <v>14.893906593000001</v>
      </c>
      <c r="G158">
        <v>1896.7358397999999</v>
      </c>
      <c r="H158">
        <v>1769.8553466999999</v>
      </c>
      <c r="I158">
        <v>599.44451904000005</v>
      </c>
      <c r="J158">
        <v>203.91114807</v>
      </c>
      <c r="K158">
        <v>2400</v>
      </c>
      <c r="L158">
        <v>0</v>
      </c>
      <c r="M158">
        <v>0</v>
      </c>
      <c r="N158">
        <v>2400</v>
      </c>
    </row>
    <row r="159" spans="1:14" x14ac:dyDescent="0.25">
      <c r="A159">
        <v>16.148873999999999</v>
      </c>
      <c r="B159" s="1">
        <f>DATE(2010,5,17) + TIME(3,34,22)</f>
        <v>40315.148865740739</v>
      </c>
      <c r="C159">
        <v>80</v>
      </c>
      <c r="D159">
        <v>79.891662597999996</v>
      </c>
      <c r="E159">
        <v>50</v>
      </c>
      <c r="F159">
        <v>14.894104958</v>
      </c>
      <c r="G159">
        <v>1896.9737548999999</v>
      </c>
      <c r="H159">
        <v>1770.1025391000001</v>
      </c>
      <c r="I159">
        <v>598.03582763999998</v>
      </c>
      <c r="J159">
        <v>202.50386047000001</v>
      </c>
      <c r="K159">
        <v>2400</v>
      </c>
      <c r="L159">
        <v>0</v>
      </c>
      <c r="M159">
        <v>0</v>
      </c>
      <c r="N159">
        <v>2400</v>
      </c>
    </row>
    <row r="160" spans="1:14" x14ac:dyDescent="0.25">
      <c r="A160">
        <v>16.447527000000001</v>
      </c>
      <c r="B160" s="1">
        <f>DATE(2010,5,17) + TIME(10,44,26)</f>
        <v>40315.447523148148</v>
      </c>
      <c r="C160">
        <v>80</v>
      </c>
      <c r="D160">
        <v>79.891571045000006</v>
      </c>
      <c r="E160">
        <v>50</v>
      </c>
      <c r="F160">
        <v>14.894306182999999</v>
      </c>
      <c r="G160">
        <v>1897.1949463000001</v>
      </c>
      <c r="H160">
        <v>1770.3327637</v>
      </c>
      <c r="I160">
        <v>596.65673828000001</v>
      </c>
      <c r="J160">
        <v>201.12626648</v>
      </c>
      <c r="K160">
        <v>2400</v>
      </c>
      <c r="L160">
        <v>0</v>
      </c>
      <c r="M160">
        <v>0</v>
      </c>
      <c r="N160">
        <v>2400</v>
      </c>
    </row>
    <row r="161" spans="1:14" x14ac:dyDescent="0.25">
      <c r="A161">
        <v>16.748633999999999</v>
      </c>
      <c r="B161" s="1">
        <f>DATE(2010,5,17) + TIME(17,58,1)</f>
        <v>40315.748622685183</v>
      </c>
      <c r="C161">
        <v>80</v>
      </c>
      <c r="D161">
        <v>79.891487122000001</v>
      </c>
      <c r="E161">
        <v>50</v>
      </c>
      <c r="F161">
        <v>14.894511223</v>
      </c>
      <c r="G161">
        <v>1897.4012451000001</v>
      </c>
      <c r="H161">
        <v>1770.5478516000001</v>
      </c>
      <c r="I161">
        <v>595.30462646000001</v>
      </c>
      <c r="J161">
        <v>199.77571105999999</v>
      </c>
      <c r="K161">
        <v>2400</v>
      </c>
      <c r="L161">
        <v>0</v>
      </c>
      <c r="M161">
        <v>0</v>
      </c>
      <c r="N161">
        <v>2400</v>
      </c>
    </row>
    <row r="162" spans="1:14" x14ac:dyDescent="0.25">
      <c r="A162">
        <v>17.052651999999998</v>
      </c>
      <c r="B162" s="1">
        <f>DATE(2010,5,18) + TIME(1,15,49)</f>
        <v>40316.05265046296</v>
      </c>
      <c r="C162">
        <v>80</v>
      </c>
      <c r="D162">
        <v>79.891410828000005</v>
      </c>
      <c r="E162">
        <v>50</v>
      </c>
      <c r="F162">
        <v>14.894720078000001</v>
      </c>
      <c r="G162">
        <v>1897.59375</v>
      </c>
      <c r="H162">
        <v>1770.7485352000001</v>
      </c>
      <c r="I162">
        <v>593.97705078000001</v>
      </c>
      <c r="J162">
        <v>198.44972229000001</v>
      </c>
      <c r="K162">
        <v>2400</v>
      </c>
      <c r="L162">
        <v>0</v>
      </c>
      <c r="M162">
        <v>0</v>
      </c>
      <c r="N162">
        <v>2400</v>
      </c>
    </row>
    <row r="163" spans="1:14" x14ac:dyDescent="0.25">
      <c r="A163">
        <v>17.360046000000001</v>
      </c>
      <c r="B163" s="1">
        <f>DATE(2010,5,18) + TIME(8,38,28)</f>
        <v>40316.360046296293</v>
      </c>
      <c r="C163">
        <v>80</v>
      </c>
      <c r="D163">
        <v>79.891334533999995</v>
      </c>
      <c r="E163">
        <v>50</v>
      </c>
      <c r="F163">
        <v>14.894933700999999</v>
      </c>
      <c r="G163">
        <v>1897.7729492000001</v>
      </c>
      <c r="H163">
        <v>1770.9360352000001</v>
      </c>
      <c r="I163">
        <v>592.67175293000003</v>
      </c>
      <c r="J163">
        <v>197.14604187</v>
      </c>
      <c r="K163">
        <v>2400</v>
      </c>
      <c r="L163">
        <v>0</v>
      </c>
      <c r="M163">
        <v>0</v>
      </c>
      <c r="N163">
        <v>2400</v>
      </c>
    </row>
    <row r="164" spans="1:14" x14ac:dyDescent="0.25">
      <c r="A164">
        <v>17.671296999999999</v>
      </c>
      <c r="B164" s="1">
        <f>DATE(2010,5,18) + TIME(16,6,40)</f>
        <v>40316.671296296299</v>
      </c>
      <c r="C164">
        <v>80</v>
      </c>
      <c r="D164">
        <v>79.891265868999994</v>
      </c>
      <c r="E164">
        <v>50</v>
      </c>
      <c r="F164">
        <v>14.895151137999999</v>
      </c>
      <c r="G164">
        <v>1897.9395752</v>
      </c>
      <c r="H164">
        <v>1771.1104736</v>
      </c>
      <c r="I164">
        <v>591.38653564000003</v>
      </c>
      <c r="J164">
        <v>195.86256409000001</v>
      </c>
      <c r="K164">
        <v>2400</v>
      </c>
      <c r="L164">
        <v>0</v>
      </c>
      <c r="M164">
        <v>0</v>
      </c>
      <c r="N164">
        <v>2400</v>
      </c>
    </row>
    <row r="165" spans="1:14" x14ac:dyDescent="0.25">
      <c r="A165">
        <v>17.986896000000002</v>
      </c>
      <c r="B165" s="1">
        <f>DATE(2010,5,18) + TIME(23,41,7)</f>
        <v>40316.986886574072</v>
      </c>
      <c r="C165">
        <v>80</v>
      </c>
      <c r="D165">
        <v>79.891204834000007</v>
      </c>
      <c r="E165">
        <v>50</v>
      </c>
      <c r="F165">
        <v>14.895373343999999</v>
      </c>
      <c r="G165">
        <v>1898.0941161999999</v>
      </c>
      <c r="H165">
        <v>1771.2727050999999</v>
      </c>
      <c r="I165">
        <v>590.11962890999996</v>
      </c>
      <c r="J165">
        <v>194.59735107</v>
      </c>
      <c r="K165">
        <v>2400</v>
      </c>
      <c r="L165">
        <v>0</v>
      </c>
      <c r="M165">
        <v>0</v>
      </c>
      <c r="N165">
        <v>2400</v>
      </c>
    </row>
    <row r="166" spans="1:14" x14ac:dyDescent="0.25">
      <c r="A166">
        <v>18.307496</v>
      </c>
      <c r="B166" s="1">
        <f>DATE(2010,5,19) + TIME(7,22,47)</f>
        <v>40317.307488425926</v>
      </c>
      <c r="C166">
        <v>80</v>
      </c>
      <c r="D166">
        <v>79.891143799000005</v>
      </c>
      <c r="E166">
        <v>50</v>
      </c>
      <c r="F166">
        <v>14.895601273</v>
      </c>
      <c r="G166">
        <v>1898.2369385</v>
      </c>
      <c r="H166">
        <v>1771.4228516000001</v>
      </c>
      <c r="I166">
        <v>588.86853026999995</v>
      </c>
      <c r="J166">
        <v>193.34805298000001</v>
      </c>
      <c r="K166">
        <v>2400</v>
      </c>
      <c r="L166">
        <v>0</v>
      </c>
      <c r="M166">
        <v>0</v>
      </c>
      <c r="N166">
        <v>2400</v>
      </c>
    </row>
    <row r="167" spans="1:14" x14ac:dyDescent="0.25">
      <c r="A167">
        <v>18.633714000000001</v>
      </c>
      <c r="B167" s="1">
        <f>DATE(2010,5,19) + TIME(15,12,32)</f>
        <v>40317.633703703701</v>
      </c>
      <c r="C167">
        <v>80</v>
      </c>
      <c r="D167">
        <v>79.891090392999999</v>
      </c>
      <c r="E167">
        <v>50</v>
      </c>
      <c r="F167">
        <v>14.895833969</v>
      </c>
      <c r="G167">
        <v>1898.3682861</v>
      </c>
      <c r="H167">
        <v>1771.5615233999999</v>
      </c>
      <c r="I167">
        <v>587.63134765999996</v>
      </c>
      <c r="J167">
        <v>192.11271667</v>
      </c>
      <c r="K167">
        <v>2400</v>
      </c>
      <c r="L167">
        <v>0</v>
      </c>
      <c r="M167">
        <v>0</v>
      </c>
      <c r="N167">
        <v>2400</v>
      </c>
    </row>
    <row r="168" spans="1:14" x14ac:dyDescent="0.25">
      <c r="A168">
        <v>18.966062999999998</v>
      </c>
      <c r="B168" s="1">
        <f>DATE(2010,5,19) + TIME(23,11,7)</f>
        <v>40317.966053240743</v>
      </c>
      <c r="C168">
        <v>80</v>
      </c>
      <c r="D168">
        <v>79.891036987000007</v>
      </c>
      <c r="E168">
        <v>50</v>
      </c>
      <c r="F168">
        <v>14.896072388</v>
      </c>
      <c r="G168">
        <v>1898.4880370999999</v>
      </c>
      <c r="H168">
        <v>1771.6884766000001</v>
      </c>
      <c r="I168">
        <v>586.40673828000001</v>
      </c>
      <c r="J168">
        <v>190.88999939000001</v>
      </c>
      <c r="K168">
        <v>2400</v>
      </c>
      <c r="L168">
        <v>0</v>
      </c>
      <c r="M168">
        <v>0</v>
      </c>
      <c r="N168">
        <v>2400</v>
      </c>
    </row>
    <row r="169" spans="1:14" x14ac:dyDescent="0.25">
      <c r="A169">
        <v>19.304617</v>
      </c>
      <c r="B169" s="1">
        <f>DATE(2010,5,20) + TIME(7,18,38)</f>
        <v>40318.304606481484</v>
      </c>
      <c r="C169">
        <v>80</v>
      </c>
      <c r="D169">
        <v>79.890991210999999</v>
      </c>
      <c r="E169">
        <v>50</v>
      </c>
      <c r="F169">
        <v>14.896316528</v>
      </c>
      <c r="G169">
        <v>1898.5957031</v>
      </c>
      <c r="H169">
        <v>1771.8029785000001</v>
      </c>
      <c r="I169">
        <v>585.19506836000005</v>
      </c>
      <c r="J169">
        <v>189.68025208</v>
      </c>
      <c r="K169">
        <v>2400</v>
      </c>
      <c r="L169">
        <v>0</v>
      </c>
      <c r="M169">
        <v>0</v>
      </c>
      <c r="N169">
        <v>2400</v>
      </c>
    </row>
    <row r="170" spans="1:14" x14ac:dyDescent="0.25">
      <c r="A170">
        <v>19.649637999999999</v>
      </c>
      <c r="B170" s="1">
        <f>DATE(2010,5,20) + TIME(15,35,28)</f>
        <v>40318.649629629632</v>
      </c>
      <c r="C170">
        <v>80</v>
      </c>
      <c r="D170">
        <v>79.890945435000006</v>
      </c>
      <c r="E170">
        <v>50</v>
      </c>
      <c r="F170">
        <v>14.896567344999999</v>
      </c>
      <c r="G170">
        <v>1898.6910399999999</v>
      </c>
      <c r="H170">
        <v>1771.9050293</v>
      </c>
      <c r="I170">
        <v>583.99597168000003</v>
      </c>
      <c r="J170">
        <v>188.48318481000001</v>
      </c>
      <c r="K170">
        <v>2400</v>
      </c>
      <c r="L170">
        <v>0</v>
      </c>
      <c r="M170">
        <v>0</v>
      </c>
      <c r="N170">
        <v>2400</v>
      </c>
    </row>
    <row r="171" spans="1:14" x14ac:dyDescent="0.25">
      <c r="A171">
        <v>20.001073000000002</v>
      </c>
      <c r="B171" s="1">
        <f>DATE(2010,5,21) + TIME(0,1,32)</f>
        <v>40319.001064814816</v>
      </c>
      <c r="C171">
        <v>80</v>
      </c>
      <c r="D171">
        <v>79.890899657999995</v>
      </c>
      <c r="E171">
        <v>50</v>
      </c>
      <c r="F171">
        <v>14.896823883</v>
      </c>
      <c r="G171">
        <v>1898.7734375</v>
      </c>
      <c r="H171">
        <v>1771.9940185999999</v>
      </c>
      <c r="I171">
        <v>582.81030272999999</v>
      </c>
      <c r="J171">
        <v>187.29962158000001</v>
      </c>
      <c r="K171">
        <v>2400</v>
      </c>
      <c r="L171">
        <v>0</v>
      </c>
      <c r="M171">
        <v>0</v>
      </c>
      <c r="N171">
        <v>2400</v>
      </c>
    </row>
    <row r="172" spans="1:14" x14ac:dyDescent="0.25">
      <c r="A172">
        <v>20.359347</v>
      </c>
      <c r="B172" s="1">
        <f>DATE(2010,5,21) + TIME(8,37,27)</f>
        <v>40319.359340277777</v>
      </c>
      <c r="C172">
        <v>80</v>
      </c>
      <c r="D172">
        <v>79.890861510999997</v>
      </c>
      <c r="E172">
        <v>50</v>
      </c>
      <c r="F172">
        <v>14.897087097</v>
      </c>
      <c r="G172">
        <v>1898.8431396000001</v>
      </c>
      <c r="H172">
        <v>1772.0701904</v>
      </c>
      <c r="I172">
        <v>581.63732909999999</v>
      </c>
      <c r="J172">
        <v>186.12878418</v>
      </c>
      <c r="K172">
        <v>2400</v>
      </c>
      <c r="L172">
        <v>0</v>
      </c>
      <c r="M172">
        <v>0</v>
      </c>
      <c r="N172">
        <v>2400</v>
      </c>
    </row>
    <row r="173" spans="1:14" x14ac:dyDescent="0.25">
      <c r="A173">
        <v>20.724388000000001</v>
      </c>
      <c r="B173" s="1">
        <f>DATE(2010,5,21) + TIME(17,23,7)</f>
        <v>40319.724386574075</v>
      </c>
      <c r="C173">
        <v>80</v>
      </c>
      <c r="D173">
        <v>79.890823363999999</v>
      </c>
      <c r="E173">
        <v>50</v>
      </c>
      <c r="F173">
        <v>14.897356987</v>
      </c>
      <c r="G173">
        <v>1898.8996582</v>
      </c>
      <c r="H173">
        <v>1772.1329346</v>
      </c>
      <c r="I173">
        <v>580.47790526999995</v>
      </c>
      <c r="J173">
        <v>184.97154236</v>
      </c>
      <c r="K173">
        <v>2400</v>
      </c>
      <c r="L173">
        <v>0</v>
      </c>
      <c r="M173">
        <v>0</v>
      </c>
      <c r="N173">
        <v>2400</v>
      </c>
    </row>
    <row r="174" spans="1:14" x14ac:dyDescent="0.25">
      <c r="A174">
        <v>20.910074000000002</v>
      </c>
      <c r="B174" s="1">
        <f>DATE(2010,5,21) + TIME(21,50,30)</f>
        <v>40319.910069444442</v>
      </c>
      <c r="C174">
        <v>80</v>
      </c>
      <c r="D174">
        <v>79.890525818</v>
      </c>
      <c r="E174">
        <v>50</v>
      </c>
      <c r="F174">
        <v>14.897521973</v>
      </c>
      <c r="G174">
        <v>1898.8111572</v>
      </c>
      <c r="H174">
        <v>1772.0496826000001</v>
      </c>
      <c r="I174">
        <v>579.89770508000004</v>
      </c>
      <c r="J174">
        <v>184.39274596999999</v>
      </c>
      <c r="K174">
        <v>2400</v>
      </c>
      <c r="L174">
        <v>0</v>
      </c>
      <c r="M174">
        <v>0</v>
      </c>
      <c r="N174">
        <v>2400</v>
      </c>
    </row>
    <row r="175" spans="1:14" x14ac:dyDescent="0.25">
      <c r="A175">
        <v>21.095759000000001</v>
      </c>
      <c r="B175" s="1">
        <f>DATE(2010,5,22) + TIME(2,17,53)</f>
        <v>40320.095752314817</v>
      </c>
      <c r="C175">
        <v>80</v>
      </c>
      <c r="D175">
        <v>79.890335082999997</v>
      </c>
      <c r="E175">
        <v>50</v>
      </c>
      <c r="F175">
        <v>14.897681236</v>
      </c>
      <c r="G175">
        <v>1898.7416992000001</v>
      </c>
      <c r="H175">
        <v>1771.9832764</v>
      </c>
      <c r="I175">
        <v>579.32598876999998</v>
      </c>
      <c r="J175">
        <v>183.82235718000001</v>
      </c>
      <c r="K175">
        <v>2400</v>
      </c>
      <c r="L175">
        <v>0</v>
      </c>
      <c r="M175">
        <v>0</v>
      </c>
      <c r="N175">
        <v>2400</v>
      </c>
    </row>
    <row r="176" spans="1:14" x14ac:dyDescent="0.25">
      <c r="A176">
        <v>21.281444</v>
      </c>
      <c r="B176" s="1">
        <f>DATE(2010,5,22) + TIME(6,45,16)</f>
        <v>40320.281435185185</v>
      </c>
      <c r="C176">
        <v>80</v>
      </c>
      <c r="D176">
        <v>79.890243530000006</v>
      </c>
      <c r="E176">
        <v>50</v>
      </c>
      <c r="F176">
        <v>14.897835732000001</v>
      </c>
      <c r="G176">
        <v>1898.6977539</v>
      </c>
      <c r="H176">
        <v>1771.9422606999999</v>
      </c>
      <c r="I176">
        <v>578.76287841999999</v>
      </c>
      <c r="J176">
        <v>183.26055908000001</v>
      </c>
      <c r="K176">
        <v>2400</v>
      </c>
      <c r="L176">
        <v>0</v>
      </c>
      <c r="M176">
        <v>0</v>
      </c>
      <c r="N176">
        <v>2400</v>
      </c>
    </row>
    <row r="177" spans="1:14" x14ac:dyDescent="0.25">
      <c r="A177">
        <v>21.467129</v>
      </c>
      <c r="B177" s="1">
        <f>DATE(2010,5,22) + TIME(11,12,39)</f>
        <v>40320.467118055552</v>
      </c>
      <c r="C177">
        <v>80</v>
      </c>
      <c r="D177">
        <v>79.890213012999993</v>
      </c>
      <c r="E177">
        <v>50</v>
      </c>
      <c r="F177">
        <v>14.897988319</v>
      </c>
      <c r="G177">
        <v>1898.6693115</v>
      </c>
      <c r="H177">
        <v>1771.916626</v>
      </c>
      <c r="I177">
        <v>578.20837401999995</v>
      </c>
      <c r="J177">
        <v>182.70727539000001</v>
      </c>
      <c r="K177">
        <v>2400</v>
      </c>
      <c r="L177">
        <v>0</v>
      </c>
      <c r="M177">
        <v>0</v>
      </c>
      <c r="N177">
        <v>2400</v>
      </c>
    </row>
    <row r="178" spans="1:14" x14ac:dyDescent="0.25">
      <c r="A178">
        <v>21.652813999999999</v>
      </c>
      <c r="B178" s="1">
        <f>DATE(2010,5,22) + TIME(15,40,3)</f>
        <v>40320.652812499997</v>
      </c>
      <c r="C178">
        <v>80</v>
      </c>
      <c r="D178">
        <v>79.890220642000003</v>
      </c>
      <c r="E178">
        <v>50</v>
      </c>
      <c r="F178">
        <v>14.898138046</v>
      </c>
      <c r="G178">
        <v>1898.6491699000001</v>
      </c>
      <c r="H178">
        <v>1771.8992920000001</v>
      </c>
      <c r="I178">
        <v>577.66217041000004</v>
      </c>
      <c r="J178">
        <v>182.16235352000001</v>
      </c>
      <c r="K178">
        <v>2400</v>
      </c>
      <c r="L178">
        <v>0</v>
      </c>
      <c r="M178">
        <v>0</v>
      </c>
      <c r="N178">
        <v>2400</v>
      </c>
    </row>
    <row r="179" spans="1:14" x14ac:dyDescent="0.25">
      <c r="A179">
        <v>21.838498999999999</v>
      </c>
      <c r="B179" s="1">
        <f>DATE(2010,5,22) + TIME(20,7,26)</f>
        <v>40320.838495370372</v>
      </c>
      <c r="C179">
        <v>80</v>
      </c>
      <c r="D179">
        <v>79.890235900999997</v>
      </c>
      <c r="E179">
        <v>50</v>
      </c>
      <c r="F179">
        <v>14.898285866</v>
      </c>
      <c r="G179">
        <v>1898.6329346</v>
      </c>
      <c r="H179">
        <v>1771.8858643000001</v>
      </c>
      <c r="I179">
        <v>577.12420654000005</v>
      </c>
      <c r="J179">
        <v>181.62565613000001</v>
      </c>
      <c r="K179">
        <v>2400</v>
      </c>
      <c r="L179">
        <v>0</v>
      </c>
      <c r="M179">
        <v>0</v>
      </c>
      <c r="N179">
        <v>2400</v>
      </c>
    </row>
    <row r="180" spans="1:14" x14ac:dyDescent="0.25">
      <c r="A180">
        <v>22.024184999999999</v>
      </c>
      <c r="B180" s="1">
        <f>DATE(2010,5,23) + TIME(0,34,49)</f>
        <v>40321.024178240739</v>
      </c>
      <c r="C180">
        <v>80</v>
      </c>
      <c r="D180">
        <v>79.890266417999996</v>
      </c>
      <c r="E180">
        <v>50</v>
      </c>
      <c r="F180">
        <v>14.898431778000001</v>
      </c>
      <c r="G180">
        <v>1898.6182861</v>
      </c>
      <c r="H180">
        <v>1771.8740233999999</v>
      </c>
      <c r="I180">
        <v>576.59436034999999</v>
      </c>
      <c r="J180">
        <v>181.09703064000001</v>
      </c>
      <c r="K180">
        <v>2400</v>
      </c>
      <c r="L180">
        <v>0</v>
      </c>
      <c r="M180">
        <v>0</v>
      </c>
      <c r="N180">
        <v>2400</v>
      </c>
    </row>
    <row r="181" spans="1:14" x14ac:dyDescent="0.25">
      <c r="A181">
        <v>22.209869999999999</v>
      </c>
      <c r="B181" s="1">
        <f>DATE(2010,5,23) + TIME(5,2,12)</f>
        <v>40321.209861111114</v>
      </c>
      <c r="C181">
        <v>80</v>
      </c>
      <c r="D181">
        <v>79.890289307000003</v>
      </c>
      <c r="E181">
        <v>50</v>
      </c>
      <c r="F181">
        <v>14.89857769</v>
      </c>
      <c r="G181">
        <v>1898.6038818</v>
      </c>
      <c r="H181">
        <v>1771.8621826000001</v>
      </c>
      <c r="I181">
        <v>576.07250977000001</v>
      </c>
      <c r="J181">
        <v>180.57635497999999</v>
      </c>
      <c r="K181">
        <v>2400</v>
      </c>
      <c r="L181">
        <v>0</v>
      </c>
      <c r="M181">
        <v>0</v>
      </c>
      <c r="N181">
        <v>2400</v>
      </c>
    </row>
    <row r="182" spans="1:14" x14ac:dyDescent="0.25">
      <c r="A182">
        <v>22.581240000000001</v>
      </c>
      <c r="B182" s="1">
        <f>DATE(2010,5,23) + TIME(13,56,59)</f>
        <v>40321.581238425926</v>
      </c>
      <c r="C182">
        <v>80</v>
      </c>
      <c r="D182">
        <v>79.890686035000002</v>
      </c>
      <c r="E182">
        <v>50</v>
      </c>
      <c r="F182">
        <v>14.898819923</v>
      </c>
      <c r="G182">
        <v>1898.7353516000001</v>
      </c>
      <c r="H182">
        <v>1771.9970702999999</v>
      </c>
      <c r="I182">
        <v>575.05871581999997</v>
      </c>
      <c r="J182">
        <v>179.56455994000001</v>
      </c>
      <c r="K182">
        <v>2400</v>
      </c>
      <c r="L182">
        <v>0</v>
      </c>
      <c r="M182">
        <v>0</v>
      </c>
      <c r="N182">
        <v>2400</v>
      </c>
    </row>
    <row r="183" spans="1:14" x14ac:dyDescent="0.25">
      <c r="A183">
        <v>22.953247999999999</v>
      </c>
      <c r="B183" s="1">
        <f>DATE(2010,5,23) + TIME(22,52,40)</f>
        <v>40321.953240740739</v>
      </c>
      <c r="C183">
        <v>80</v>
      </c>
      <c r="D183">
        <v>79.890823363999999</v>
      </c>
      <c r="E183">
        <v>50</v>
      </c>
      <c r="F183">
        <v>14.899078369</v>
      </c>
      <c r="G183">
        <v>1898.7906493999999</v>
      </c>
      <c r="H183">
        <v>1772.0573730000001</v>
      </c>
      <c r="I183">
        <v>574.07342529000005</v>
      </c>
      <c r="J183">
        <v>178.58149718999999</v>
      </c>
      <c r="K183">
        <v>2400</v>
      </c>
      <c r="L183">
        <v>0</v>
      </c>
      <c r="M183">
        <v>0</v>
      </c>
      <c r="N183">
        <v>2400</v>
      </c>
    </row>
    <row r="184" spans="1:14" x14ac:dyDescent="0.25">
      <c r="A184">
        <v>23.327052999999999</v>
      </c>
      <c r="B184" s="1">
        <f>DATE(2010,5,24) + TIME(7,50,57)</f>
        <v>40322.327048611114</v>
      </c>
      <c r="C184">
        <v>80</v>
      </c>
      <c r="D184">
        <v>79.890838622999993</v>
      </c>
      <c r="E184">
        <v>50</v>
      </c>
      <c r="F184">
        <v>14.899349213000001</v>
      </c>
      <c r="G184">
        <v>1898.7943115</v>
      </c>
      <c r="H184">
        <v>1772.0657959</v>
      </c>
      <c r="I184">
        <v>573.11248779000005</v>
      </c>
      <c r="J184">
        <v>177.62283325000001</v>
      </c>
      <c r="K184">
        <v>2400</v>
      </c>
      <c r="L184">
        <v>0</v>
      </c>
      <c r="M184">
        <v>0</v>
      </c>
      <c r="N184">
        <v>2400</v>
      </c>
    </row>
    <row r="185" spans="1:14" x14ac:dyDescent="0.25">
      <c r="A185">
        <v>23.703443</v>
      </c>
      <c r="B185" s="1">
        <f>DATE(2010,5,24) + TIME(16,52,57)</f>
        <v>40322.7034375</v>
      </c>
      <c r="C185">
        <v>80</v>
      </c>
      <c r="D185">
        <v>79.890808105000005</v>
      </c>
      <c r="E185">
        <v>50</v>
      </c>
      <c r="F185">
        <v>14.899628638999999</v>
      </c>
      <c r="G185">
        <v>1898.7681885</v>
      </c>
      <c r="H185">
        <v>1772.0441894999999</v>
      </c>
      <c r="I185">
        <v>572.17321776999995</v>
      </c>
      <c r="J185">
        <v>176.68595886</v>
      </c>
      <c r="K185">
        <v>2400</v>
      </c>
      <c r="L185">
        <v>0</v>
      </c>
      <c r="M185">
        <v>0</v>
      </c>
      <c r="N185">
        <v>2400</v>
      </c>
    </row>
    <row r="186" spans="1:14" x14ac:dyDescent="0.25">
      <c r="A186">
        <v>24.083064</v>
      </c>
      <c r="B186" s="1">
        <f>DATE(2010,5,25) + TIME(1,59,36)</f>
        <v>40323.083055555559</v>
      </c>
      <c r="C186">
        <v>80</v>
      </c>
      <c r="D186">
        <v>79.890769958000007</v>
      </c>
      <c r="E186">
        <v>50</v>
      </c>
      <c r="F186">
        <v>14.899914742</v>
      </c>
      <c r="G186">
        <v>1898.7224120999999</v>
      </c>
      <c r="H186">
        <v>1772.0028076000001</v>
      </c>
      <c r="I186">
        <v>571.25378418000003</v>
      </c>
      <c r="J186">
        <v>175.76896667</v>
      </c>
      <c r="K186">
        <v>2400</v>
      </c>
      <c r="L186">
        <v>0</v>
      </c>
      <c r="M186">
        <v>0</v>
      </c>
      <c r="N186">
        <v>2400</v>
      </c>
    </row>
    <row r="187" spans="1:14" x14ac:dyDescent="0.25">
      <c r="A187">
        <v>24.466529000000001</v>
      </c>
      <c r="B187" s="1">
        <f>DATE(2010,5,25) + TIME(11,11,48)</f>
        <v>40323.466527777775</v>
      </c>
      <c r="C187">
        <v>80</v>
      </c>
      <c r="D187">
        <v>79.890731811999999</v>
      </c>
      <c r="E187">
        <v>50</v>
      </c>
      <c r="F187">
        <v>14.90020752</v>
      </c>
      <c r="G187">
        <v>1898.661499</v>
      </c>
      <c r="H187">
        <v>1771.9462891000001</v>
      </c>
      <c r="I187">
        <v>570.35247803000004</v>
      </c>
      <c r="J187">
        <v>174.87014771</v>
      </c>
      <c r="K187">
        <v>2400</v>
      </c>
      <c r="L187">
        <v>0</v>
      </c>
      <c r="M187">
        <v>0</v>
      </c>
      <c r="N187">
        <v>2400</v>
      </c>
    </row>
    <row r="188" spans="1:14" x14ac:dyDescent="0.25">
      <c r="A188">
        <v>24.854451999999998</v>
      </c>
      <c r="B188" s="1">
        <f>DATE(2010,5,25) + TIME(20,30,24)</f>
        <v>40323.854444444441</v>
      </c>
      <c r="C188">
        <v>80</v>
      </c>
      <c r="D188">
        <v>79.890708923000005</v>
      </c>
      <c r="E188">
        <v>50</v>
      </c>
      <c r="F188">
        <v>14.900505065999999</v>
      </c>
      <c r="G188">
        <v>1898.5877685999999</v>
      </c>
      <c r="H188">
        <v>1771.8765868999999</v>
      </c>
      <c r="I188">
        <v>569.46777343999997</v>
      </c>
      <c r="J188">
        <v>173.98805236999999</v>
      </c>
      <c r="K188">
        <v>2400</v>
      </c>
      <c r="L188">
        <v>0</v>
      </c>
      <c r="M188">
        <v>0</v>
      </c>
      <c r="N188">
        <v>2400</v>
      </c>
    </row>
    <row r="189" spans="1:14" x14ac:dyDescent="0.25">
      <c r="A189">
        <v>25.247450000000001</v>
      </c>
      <c r="B189" s="1">
        <f>DATE(2010,5,26) + TIME(5,56,19)</f>
        <v>40324.247442129628</v>
      </c>
      <c r="C189">
        <v>80</v>
      </c>
      <c r="D189">
        <v>79.890693665000001</v>
      </c>
      <c r="E189">
        <v>50</v>
      </c>
      <c r="F189">
        <v>14.900808334000001</v>
      </c>
      <c r="G189">
        <v>1898.5020752</v>
      </c>
      <c r="H189">
        <v>1771.7949219</v>
      </c>
      <c r="I189">
        <v>568.59844970999995</v>
      </c>
      <c r="J189">
        <v>173.12132263000001</v>
      </c>
      <c r="K189">
        <v>2400</v>
      </c>
      <c r="L189">
        <v>0</v>
      </c>
      <c r="M189">
        <v>0</v>
      </c>
      <c r="N189">
        <v>2400</v>
      </c>
    </row>
    <row r="190" spans="1:14" x14ac:dyDescent="0.25">
      <c r="A190">
        <v>25.646401000000001</v>
      </c>
      <c r="B190" s="1">
        <f>DATE(2010,5,26) + TIME(15,30,49)</f>
        <v>40324.64640046296</v>
      </c>
      <c r="C190">
        <v>80</v>
      </c>
      <c r="D190">
        <v>79.890686035000002</v>
      </c>
      <c r="E190">
        <v>50</v>
      </c>
      <c r="F190">
        <v>14.901117325</v>
      </c>
      <c r="G190">
        <v>1898.4052733999999</v>
      </c>
      <c r="H190">
        <v>1771.7020264</v>
      </c>
      <c r="I190">
        <v>567.74267578000001</v>
      </c>
      <c r="J190">
        <v>172.26824951</v>
      </c>
      <c r="K190">
        <v>2400</v>
      </c>
      <c r="L190">
        <v>0</v>
      </c>
      <c r="M190">
        <v>0</v>
      </c>
      <c r="N190">
        <v>2400</v>
      </c>
    </row>
    <row r="191" spans="1:14" x14ac:dyDescent="0.25">
      <c r="A191">
        <v>26.052094</v>
      </c>
      <c r="B191" s="1">
        <f>DATE(2010,5,27) + TIME(1,15,0)</f>
        <v>40325.052083333336</v>
      </c>
      <c r="C191">
        <v>80</v>
      </c>
      <c r="D191">
        <v>79.890686035000002</v>
      </c>
      <c r="E191">
        <v>50</v>
      </c>
      <c r="F191">
        <v>14.901432036999999</v>
      </c>
      <c r="G191">
        <v>1898.2974853999999</v>
      </c>
      <c r="H191">
        <v>1771.5980225000001</v>
      </c>
      <c r="I191">
        <v>566.89923095999995</v>
      </c>
      <c r="J191">
        <v>171.42750548999999</v>
      </c>
      <c r="K191">
        <v>2400</v>
      </c>
      <c r="L191">
        <v>0</v>
      </c>
      <c r="M191">
        <v>0</v>
      </c>
      <c r="N191">
        <v>2400</v>
      </c>
    </row>
    <row r="192" spans="1:14" x14ac:dyDescent="0.25">
      <c r="A192">
        <v>26.465156</v>
      </c>
      <c r="B192" s="1">
        <f>DATE(2010,5,27) + TIME(11,9,49)</f>
        <v>40325.465150462966</v>
      </c>
      <c r="C192">
        <v>80</v>
      </c>
      <c r="D192">
        <v>79.890701293999996</v>
      </c>
      <c r="E192">
        <v>50</v>
      </c>
      <c r="F192">
        <v>14.901752472</v>
      </c>
      <c r="G192">
        <v>1898.1785889</v>
      </c>
      <c r="H192">
        <v>1771.4827881000001</v>
      </c>
      <c r="I192">
        <v>566.06719970999995</v>
      </c>
      <c r="J192">
        <v>170.59826659999999</v>
      </c>
      <c r="K192">
        <v>2400</v>
      </c>
      <c r="L192">
        <v>0</v>
      </c>
      <c r="M192">
        <v>0</v>
      </c>
      <c r="N192">
        <v>2400</v>
      </c>
    </row>
    <row r="193" spans="1:14" x14ac:dyDescent="0.25">
      <c r="A193">
        <v>26.886391</v>
      </c>
      <c r="B193" s="1">
        <f>DATE(2010,5,27) + TIME(21,16,24)</f>
        <v>40325.886388888888</v>
      </c>
      <c r="C193">
        <v>80</v>
      </c>
      <c r="D193">
        <v>79.890716553000004</v>
      </c>
      <c r="E193">
        <v>50</v>
      </c>
      <c r="F193">
        <v>14.902079582000001</v>
      </c>
      <c r="G193">
        <v>1898.0483397999999</v>
      </c>
      <c r="H193">
        <v>1771.3562012</v>
      </c>
      <c r="I193">
        <v>565.24554443</v>
      </c>
      <c r="J193">
        <v>169.77951049999999</v>
      </c>
      <c r="K193">
        <v>2400</v>
      </c>
      <c r="L193">
        <v>0</v>
      </c>
      <c r="M193">
        <v>0</v>
      </c>
      <c r="N193">
        <v>2400</v>
      </c>
    </row>
    <row r="194" spans="1:14" x14ac:dyDescent="0.25">
      <c r="A194">
        <v>27.315141000000001</v>
      </c>
      <c r="B194" s="1">
        <f>DATE(2010,5,28) + TIME(7,33,48)</f>
        <v>40326.315138888887</v>
      </c>
      <c r="C194">
        <v>80</v>
      </c>
      <c r="D194">
        <v>79.890731811999999</v>
      </c>
      <c r="E194">
        <v>50</v>
      </c>
      <c r="F194">
        <v>14.902413367999999</v>
      </c>
      <c r="G194">
        <v>1897.9061279</v>
      </c>
      <c r="H194">
        <v>1771.2174072</v>
      </c>
      <c r="I194">
        <v>564.43615723000005</v>
      </c>
      <c r="J194">
        <v>168.97306824</v>
      </c>
      <c r="K194">
        <v>2400</v>
      </c>
      <c r="L194">
        <v>0</v>
      </c>
      <c r="M194">
        <v>0</v>
      </c>
      <c r="N194">
        <v>2400</v>
      </c>
    </row>
    <row r="195" spans="1:14" x14ac:dyDescent="0.25">
      <c r="A195">
        <v>27.751242999999999</v>
      </c>
      <c r="B195" s="1">
        <f>DATE(2010,5,28) + TIME(18,1,47)</f>
        <v>40326.751238425924</v>
      </c>
      <c r="C195">
        <v>80</v>
      </c>
      <c r="D195">
        <v>79.890754700000002</v>
      </c>
      <c r="E195">
        <v>50</v>
      </c>
      <c r="F195">
        <v>14.902752875999999</v>
      </c>
      <c r="G195">
        <v>1897.7515868999999</v>
      </c>
      <c r="H195">
        <v>1771.0664062000001</v>
      </c>
      <c r="I195">
        <v>563.63977050999995</v>
      </c>
      <c r="J195">
        <v>168.17967224</v>
      </c>
      <c r="K195">
        <v>2400</v>
      </c>
      <c r="L195">
        <v>0</v>
      </c>
      <c r="M195">
        <v>0</v>
      </c>
      <c r="N195">
        <v>2400</v>
      </c>
    </row>
    <row r="196" spans="1:14" x14ac:dyDescent="0.25">
      <c r="A196">
        <v>28.194982</v>
      </c>
      <c r="B196" s="1">
        <f>DATE(2010,5,29) + TIME(4,40,46)</f>
        <v>40327.194976851853</v>
      </c>
      <c r="C196">
        <v>80</v>
      </c>
      <c r="D196">
        <v>79.890785217000001</v>
      </c>
      <c r="E196">
        <v>50</v>
      </c>
      <c r="F196">
        <v>14.903100014</v>
      </c>
      <c r="G196">
        <v>1897.5849608999999</v>
      </c>
      <c r="H196">
        <v>1770.9030762</v>
      </c>
      <c r="I196">
        <v>562.85626220999995</v>
      </c>
      <c r="J196">
        <v>167.39924622000001</v>
      </c>
      <c r="K196">
        <v>2400</v>
      </c>
      <c r="L196">
        <v>0</v>
      </c>
      <c r="M196">
        <v>0</v>
      </c>
      <c r="N196">
        <v>2400</v>
      </c>
    </row>
    <row r="197" spans="1:14" x14ac:dyDescent="0.25">
      <c r="A197">
        <v>28.420309</v>
      </c>
      <c r="B197" s="1">
        <f>DATE(2010,5,29) + TIME(10,5,14)</f>
        <v>40327.420300925929</v>
      </c>
      <c r="C197">
        <v>80</v>
      </c>
      <c r="D197">
        <v>79.890571593999994</v>
      </c>
      <c r="E197">
        <v>50</v>
      </c>
      <c r="F197">
        <v>14.903317450999999</v>
      </c>
      <c r="G197">
        <v>1897.4033202999999</v>
      </c>
      <c r="H197">
        <v>1770.7241211</v>
      </c>
      <c r="I197">
        <v>562.46612548999997</v>
      </c>
      <c r="J197">
        <v>167.01101685</v>
      </c>
      <c r="K197">
        <v>2400</v>
      </c>
      <c r="L197">
        <v>0</v>
      </c>
      <c r="M197">
        <v>0</v>
      </c>
      <c r="N197">
        <v>2400</v>
      </c>
    </row>
    <row r="198" spans="1:14" x14ac:dyDescent="0.25">
      <c r="A198">
        <v>28.869385999999999</v>
      </c>
      <c r="B198" s="1">
        <f>DATE(2010,5,29) + TIME(20,51,54)</f>
        <v>40327.869375000002</v>
      </c>
      <c r="C198">
        <v>80</v>
      </c>
      <c r="D198">
        <v>79.890739440999994</v>
      </c>
      <c r="E198">
        <v>50</v>
      </c>
      <c r="F198">
        <v>14.903653145</v>
      </c>
      <c r="G198">
        <v>1897.2493896000001</v>
      </c>
      <c r="H198">
        <v>1770.5723877</v>
      </c>
      <c r="I198">
        <v>561.71209716999999</v>
      </c>
      <c r="J198">
        <v>166.25997924999999</v>
      </c>
      <c r="K198">
        <v>2400</v>
      </c>
      <c r="L198">
        <v>0</v>
      </c>
      <c r="M198">
        <v>0</v>
      </c>
      <c r="N198">
        <v>2400</v>
      </c>
    </row>
    <row r="199" spans="1:14" x14ac:dyDescent="0.25">
      <c r="A199">
        <v>29.094248</v>
      </c>
      <c r="B199" s="1">
        <f>DATE(2010,5,30) + TIME(2,15,42)</f>
        <v>40328.094236111108</v>
      </c>
      <c r="C199">
        <v>80</v>
      </c>
      <c r="D199">
        <v>79.890594481999997</v>
      </c>
      <c r="E199">
        <v>50</v>
      </c>
      <c r="F199">
        <v>14.903866768</v>
      </c>
      <c r="G199">
        <v>1897.0799560999999</v>
      </c>
      <c r="H199">
        <v>1770.4053954999999</v>
      </c>
      <c r="I199">
        <v>561.34216308999999</v>
      </c>
      <c r="J199">
        <v>165.89196777000001</v>
      </c>
      <c r="K199">
        <v>2400</v>
      </c>
      <c r="L199">
        <v>0</v>
      </c>
      <c r="M199">
        <v>0</v>
      </c>
      <c r="N199">
        <v>2400</v>
      </c>
    </row>
    <row r="200" spans="1:14" x14ac:dyDescent="0.25">
      <c r="A200">
        <v>29.543233000000001</v>
      </c>
      <c r="B200" s="1">
        <f>DATE(2010,5,30) + TIME(13,2,15)</f>
        <v>40328.543229166666</v>
      </c>
      <c r="C200">
        <v>80</v>
      </c>
      <c r="D200">
        <v>79.890792847</v>
      </c>
      <c r="E200">
        <v>50</v>
      </c>
      <c r="F200">
        <v>14.904196739</v>
      </c>
      <c r="G200">
        <v>1896.925293</v>
      </c>
      <c r="H200">
        <v>1770.2528076000001</v>
      </c>
      <c r="I200">
        <v>560.62585449000005</v>
      </c>
      <c r="J200">
        <v>165.17860413</v>
      </c>
      <c r="K200">
        <v>2400</v>
      </c>
      <c r="L200">
        <v>0</v>
      </c>
      <c r="M200">
        <v>0</v>
      </c>
      <c r="N200">
        <v>2400</v>
      </c>
    </row>
    <row r="201" spans="1:14" x14ac:dyDescent="0.25">
      <c r="A201">
        <v>29.993127999999999</v>
      </c>
      <c r="B201" s="1">
        <f>DATE(2010,5,30) + TIME(23,50,6)</f>
        <v>40328.993125000001</v>
      </c>
      <c r="C201">
        <v>80</v>
      </c>
      <c r="D201">
        <v>79.890914917000003</v>
      </c>
      <c r="E201">
        <v>50</v>
      </c>
      <c r="F201">
        <v>14.904538154999999</v>
      </c>
      <c r="G201">
        <v>1896.7486572</v>
      </c>
      <c r="H201">
        <v>1770.0791016000001</v>
      </c>
      <c r="I201">
        <v>559.93280029000005</v>
      </c>
      <c r="J201">
        <v>164.48861693999999</v>
      </c>
      <c r="K201">
        <v>2400</v>
      </c>
      <c r="L201">
        <v>0</v>
      </c>
      <c r="M201">
        <v>0</v>
      </c>
      <c r="N201">
        <v>2400</v>
      </c>
    </row>
    <row r="202" spans="1:14" x14ac:dyDescent="0.25">
      <c r="A202">
        <v>30.443836000000001</v>
      </c>
      <c r="B202" s="1">
        <f>DATE(2010,5,31) + TIME(10,39,7)</f>
        <v>40329.443831018521</v>
      </c>
      <c r="C202">
        <v>80</v>
      </c>
      <c r="D202">
        <v>79.890975952000005</v>
      </c>
      <c r="E202">
        <v>50</v>
      </c>
      <c r="F202">
        <v>14.904887198999999</v>
      </c>
      <c r="G202">
        <v>1896.5461425999999</v>
      </c>
      <c r="H202">
        <v>1769.8792725000001</v>
      </c>
      <c r="I202">
        <v>559.26190185999997</v>
      </c>
      <c r="J202">
        <v>163.82086182</v>
      </c>
      <c r="K202">
        <v>2400</v>
      </c>
      <c r="L202">
        <v>0</v>
      </c>
      <c r="M202">
        <v>0</v>
      </c>
      <c r="N202">
        <v>2400</v>
      </c>
    </row>
    <row r="203" spans="1:14" x14ac:dyDescent="0.25">
      <c r="A203">
        <v>30.896263999999999</v>
      </c>
      <c r="B203" s="1">
        <f>DATE(2010,5,31) + TIME(21,30,37)</f>
        <v>40329.896261574075</v>
      </c>
      <c r="C203">
        <v>80</v>
      </c>
      <c r="D203">
        <v>79.891014099000003</v>
      </c>
      <c r="E203">
        <v>50</v>
      </c>
      <c r="F203">
        <v>14.905241012999999</v>
      </c>
      <c r="G203">
        <v>1896.3270264</v>
      </c>
      <c r="H203">
        <v>1769.6627197</v>
      </c>
      <c r="I203">
        <v>558.61120604999996</v>
      </c>
      <c r="J203">
        <v>163.17333984000001</v>
      </c>
      <c r="K203">
        <v>2400</v>
      </c>
      <c r="L203">
        <v>0</v>
      </c>
      <c r="M203">
        <v>0</v>
      </c>
      <c r="N203">
        <v>2400</v>
      </c>
    </row>
    <row r="204" spans="1:14" x14ac:dyDescent="0.25">
      <c r="A204">
        <v>31</v>
      </c>
      <c r="B204" s="1">
        <f>DATE(2010,6,1) + TIME(0,0,0)</f>
        <v>40330</v>
      </c>
      <c r="C204">
        <v>80</v>
      </c>
      <c r="D204">
        <v>79.890884399000001</v>
      </c>
      <c r="E204">
        <v>50</v>
      </c>
      <c r="F204">
        <v>14.905357361</v>
      </c>
      <c r="G204">
        <v>1896.2208252</v>
      </c>
      <c r="H204">
        <v>1769.5582274999999</v>
      </c>
      <c r="I204">
        <v>558.46429443</v>
      </c>
      <c r="J204">
        <v>163.02749634</v>
      </c>
      <c r="K204">
        <v>2400</v>
      </c>
      <c r="L204">
        <v>0</v>
      </c>
      <c r="M204">
        <v>0</v>
      </c>
      <c r="N204">
        <v>2400</v>
      </c>
    </row>
    <row r="205" spans="1:14" x14ac:dyDescent="0.25">
      <c r="A205">
        <v>31.454930000000001</v>
      </c>
      <c r="B205" s="1">
        <f>DATE(2010,6,1) + TIME(10,55,5)</f>
        <v>40330.454918981479</v>
      </c>
      <c r="C205">
        <v>80</v>
      </c>
      <c r="D205">
        <v>79.890983582000004</v>
      </c>
      <c r="E205">
        <v>50</v>
      </c>
      <c r="F205">
        <v>14.905700683999999</v>
      </c>
      <c r="G205">
        <v>1895.9954834</v>
      </c>
      <c r="H205">
        <v>1769.3343506000001</v>
      </c>
      <c r="I205">
        <v>557.83630371000004</v>
      </c>
      <c r="J205">
        <v>162.40258789000001</v>
      </c>
      <c r="K205">
        <v>2400</v>
      </c>
      <c r="L205">
        <v>0</v>
      </c>
      <c r="M205">
        <v>0</v>
      </c>
      <c r="N205">
        <v>2400</v>
      </c>
    </row>
    <row r="206" spans="1:14" x14ac:dyDescent="0.25">
      <c r="A206">
        <v>31.914324000000001</v>
      </c>
      <c r="B206" s="1">
        <f>DATE(2010,6,1) + TIME(21,56,37)</f>
        <v>40330.914317129631</v>
      </c>
      <c r="C206">
        <v>80</v>
      </c>
      <c r="D206">
        <v>79.891090392999999</v>
      </c>
      <c r="E206">
        <v>50</v>
      </c>
      <c r="F206">
        <v>14.906054497</v>
      </c>
      <c r="G206">
        <v>1895.7731934000001</v>
      </c>
      <c r="H206">
        <v>1769.1143798999999</v>
      </c>
      <c r="I206">
        <v>557.22473145000004</v>
      </c>
      <c r="J206">
        <v>161.79417419000001</v>
      </c>
      <c r="K206">
        <v>2400</v>
      </c>
      <c r="L206">
        <v>0</v>
      </c>
      <c r="M206">
        <v>0</v>
      </c>
      <c r="N206">
        <v>2400</v>
      </c>
    </row>
    <row r="207" spans="1:14" x14ac:dyDescent="0.25">
      <c r="A207">
        <v>32.377656000000002</v>
      </c>
      <c r="B207" s="1">
        <f>DATE(2010,6,2) + TIME(9,3,49)</f>
        <v>40331.377650462964</v>
      </c>
      <c r="C207">
        <v>80</v>
      </c>
      <c r="D207">
        <v>79.891166686999995</v>
      </c>
      <c r="E207">
        <v>50</v>
      </c>
      <c r="F207">
        <v>14.906414032000001</v>
      </c>
      <c r="G207">
        <v>1895.5323486</v>
      </c>
      <c r="H207">
        <v>1768.8758545000001</v>
      </c>
      <c r="I207">
        <v>556.62933350000003</v>
      </c>
      <c r="J207">
        <v>161.20208740000001</v>
      </c>
      <c r="K207">
        <v>2400</v>
      </c>
      <c r="L207">
        <v>0</v>
      </c>
      <c r="M207">
        <v>0</v>
      </c>
      <c r="N207">
        <v>2400</v>
      </c>
    </row>
    <row r="208" spans="1:14" x14ac:dyDescent="0.25">
      <c r="A208">
        <v>32.845823000000003</v>
      </c>
      <c r="B208" s="1">
        <f>DATE(2010,6,2) + TIME(20,17,59)</f>
        <v>40331.845821759256</v>
      </c>
      <c r="C208">
        <v>80</v>
      </c>
      <c r="D208">
        <v>79.891220093000001</v>
      </c>
      <c r="E208">
        <v>50</v>
      </c>
      <c r="F208">
        <v>14.906780243</v>
      </c>
      <c r="G208">
        <v>1895.2770995999999</v>
      </c>
      <c r="H208">
        <v>1768.6228027</v>
      </c>
      <c r="I208">
        <v>556.04888916000004</v>
      </c>
      <c r="J208">
        <v>160.62496948</v>
      </c>
      <c r="K208">
        <v>2400</v>
      </c>
      <c r="L208">
        <v>0</v>
      </c>
      <c r="M208">
        <v>0</v>
      </c>
      <c r="N208">
        <v>2400</v>
      </c>
    </row>
    <row r="209" spans="1:14" x14ac:dyDescent="0.25">
      <c r="A209">
        <v>33.319639000000002</v>
      </c>
      <c r="B209" s="1">
        <f>DATE(2010,6,3) + TIME(7,40,16)</f>
        <v>40332.31962962963</v>
      </c>
      <c r="C209">
        <v>80</v>
      </c>
      <c r="D209">
        <v>79.891273498999993</v>
      </c>
      <c r="E209">
        <v>50</v>
      </c>
      <c r="F209">
        <v>14.907151222</v>
      </c>
      <c r="G209">
        <v>1895.0102539</v>
      </c>
      <c r="H209">
        <v>1768.3582764</v>
      </c>
      <c r="I209">
        <v>555.48236083999996</v>
      </c>
      <c r="J209">
        <v>160.06182860999999</v>
      </c>
      <c r="K209">
        <v>2400</v>
      </c>
      <c r="L209">
        <v>0</v>
      </c>
      <c r="M209">
        <v>0</v>
      </c>
      <c r="N209">
        <v>2400</v>
      </c>
    </row>
    <row r="210" spans="1:14" x14ac:dyDescent="0.25">
      <c r="A210">
        <v>33.800201999999999</v>
      </c>
      <c r="B210" s="1">
        <f>DATE(2010,6,3) + TIME(19,12,17)</f>
        <v>40332.800196759257</v>
      </c>
      <c r="C210">
        <v>80</v>
      </c>
      <c r="D210">
        <v>79.891334533999995</v>
      </c>
      <c r="E210">
        <v>50</v>
      </c>
      <c r="F210">
        <v>14.907527924</v>
      </c>
      <c r="G210">
        <v>1894.7330322</v>
      </c>
      <c r="H210">
        <v>1768.0831298999999</v>
      </c>
      <c r="I210">
        <v>554.92858887</v>
      </c>
      <c r="J210">
        <v>159.51145935</v>
      </c>
      <c r="K210">
        <v>2400</v>
      </c>
      <c r="L210">
        <v>0</v>
      </c>
      <c r="M210">
        <v>0</v>
      </c>
      <c r="N210">
        <v>2400</v>
      </c>
    </row>
    <row r="211" spans="1:14" x14ac:dyDescent="0.25">
      <c r="A211">
        <v>34.288578000000001</v>
      </c>
      <c r="B211" s="1">
        <f>DATE(2010,6,4) + TIME(6,55,33)</f>
        <v>40333.288576388892</v>
      </c>
      <c r="C211">
        <v>80</v>
      </c>
      <c r="D211">
        <v>79.891395568999997</v>
      </c>
      <c r="E211">
        <v>50</v>
      </c>
      <c r="F211">
        <v>14.907910347</v>
      </c>
      <c r="G211">
        <v>1894.4454346</v>
      </c>
      <c r="H211">
        <v>1767.7976074000001</v>
      </c>
      <c r="I211">
        <v>554.38653564000003</v>
      </c>
      <c r="J211">
        <v>158.97290039000001</v>
      </c>
      <c r="K211">
        <v>2400</v>
      </c>
      <c r="L211">
        <v>0</v>
      </c>
      <c r="M211">
        <v>0</v>
      </c>
      <c r="N211">
        <v>2400</v>
      </c>
    </row>
    <row r="212" spans="1:14" x14ac:dyDescent="0.25">
      <c r="A212">
        <v>34.785494999999997</v>
      </c>
      <c r="B212" s="1">
        <f>DATE(2010,6,4) + TIME(18,51,6)</f>
        <v>40333.785486111112</v>
      </c>
      <c r="C212">
        <v>80</v>
      </c>
      <c r="D212">
        <v>79.891464232999994</v>
      </c>
      <c r="E212">
        <v>50</v>
      </c>
      <c r="F212">
        <v>14.908299445999999</v>
      </c>
      <c r="G212">
        <v>1894.1473389</v>
      </c>
      <c r="H212">
        <v>1767.5013428</v>
      </c>
      <c r="I212">
        <v>553.85571288999995</v>
      </c>
      <c r="J212">
        <v>158.44566345000001</v>
      </c>
      <c r="K212">
        <v>2400</v>
      </c>
      <c r="L212">
        <v>0</v>
      </c>
      <c r="M212">
        <v>0</v>
      </c>
      <c r="N212">
        <v>2400</v>
      </c>
    </row>
    <row r="213" spans="1:14" x14ac:dyDescent="0.25">
      <c r="A213">
        <v>35.290244999999999</v>
      </c>
      <c r="B213" s="1">
        <f>DATE(2010,6,5) + TIME(6,57,57)</f>
        <v>40334.290243055555</v>
      </c>
      <c r="C213">
        <v>80</v>
      </c>
      <c r="D213">
        <v>79.891532897999994</v>
      </c>
      <c r="E213">
        <v>50</v>
      </c>
      <c r="F213">
        <v>14.908693314000001</v>
      </c>
      <c r="G213">
        <v>1893.8382568</v>
      </c>
      <c r="H213">
        <v>1767.1943358999999</v>
      </c>
      <c r="I213">
        <v>553.33721923999997</v>
      </c>
      <c r="J213">
        <v>157.93083190999999</v>
      </c>
      <c r="K213">
        <v>2400</v>
      </c>
      <c r="L213">
        <v>0</v>
      </c>
      <c r="M213">
        <v>0</v>
      </c>
      <c r="N213">
        <v>2400</v>
      </c>
    </row>
    <row r="214" spans="1:14" x14ac:dyDescent="0.25">
      <c r="A214">
        <v>35.803401000000001</v>
      </c>
      <c r="B214" s="1">
        <f>DATE(2010,6,5) + TIME(19,16,53)</f>
        <v>40334.803391203706</v>
      </c>
      <c r="C214">
        <v>80</v>
      </c>
      <c r="D214">
        <v>79.891601562000005</v>
      </c>
      <c r="E214">
        <v>50</v>
      </c>
      <c r="F214">
        <v>14.909093857</v>
      </c>
      <c r="G214">
        <v>1893.5183105000001</v>
      </c>
      <c r="H214">
        <v>1766.8762207</v>
      </c>
      <c r="I214">
        <v>552.83081055000002</v>
      </c>
      <c r="J214">
        <v>157.42807006999999</v>
      </c>
      <c r="K214">
        <v>2400</v>
      </c>
      <c r="L214">
        <v>0</v>
      </c>
      <c r="M214">
        <v>0</v>
      </c>
      <c r="N214">
        <v>2400</v>
      </c>
    </row>
    <row r="215" spans="1:14" x14ac:dyDescent="0.25">
      <c r="A215">
        <v>36.325223999999999</v>
      </c>
      <c r="B215" s="1">
        <f>DATE(2010,6,6) + TIME(7,48,19)</f>
        <v>40335.325219907405</v>
      </c>
      <c r="C215">
        <v>80</v>
      </c>
      <c r="D215">
        <v>79.891677856000001</v>
      </c>
      <c r="E215">
        <v>50</v>
      </c>
      <c r="F215">
        <v>14.909501076</v>
      </c>
      <c r="G215">
        <v>1893.1872559000001</v>
      </c>
      <c r="H215">
        <v>1766.5469971</v>
      </c>
      <c r="I215">
        <v>552.33636475000003</v>
      </c>
      <c r="J215">
        <v>156.93742370999999</v>
      </c>
      <c r="K215">
        <v>2400</v>
      </c>
      <c r="L215">
        <v>0</v>
      </c>
      <c r="M215">
        <v>0</v>
      </c>
      <c r="N215">
        <v>2400</v>
      </c>
    </row>
    <row r="216" spans="1:14" x14ac:dyDescent="0.25">
      <c r="A216">
        <v>36.586170000000003</v>
      </c>
      <c r="B216" s="1">
        <f>DATE(2010,6,6) + TIME(14,4,5)</f>
        <v>40335.586168981485</v>
      </c>
      <c r="C216">
        <v>80</v>
      </c>
      <c r="D216">
        <v>79.891525268999999</v>
      </c>
      <c r="E216">
        <v>50</v>
      </c>
      <c r="F216">
        <v>14.909760475000001</v>
      </c>
      <c r="G216">
        <v>1892.9392089999999</v>
      </c>
      <c r="H216">
        <v>1766.300293</v>
      </c>
      <c r="I216">
        <v>552.09539795000001</v>
      </c>
      <c r="J216">
        <v>156.69886779999999</v>
      </c>
      <c r="K216">
        <v>2400</v>
      </c>
      <c r="L216">
        <v>0</v>
      </c>
      <c r="M216">
        <v>0</v>
      </c>
      <c r="N216">
        <v>2400</v>
      </c>
    </row>
    <row r="217" spans="1:14" x14ac:dyDescent="0.25">
      <c r="A217">
        <v>36.847116</v>
      </c>
      <c r="B217" s="1">
        <f>DATE(2010,6,6) + TIME(20,19,50)</f>
        <v>40335.84710648148</v>
      </c>
      <c r="C217">
        <v>80</v>
      </c>
      <c r="D217">
        <v>79.891441345000004</v>
      </c>
      <c r="E217">
        <v>50</v>
      </c>
      <c r="F217">
        <v>14.910005569000001</v>
      </c>
      <c r="G217">
        <v>1892.6977539</v>
      </c>
      <c r="H217">
        <v>1766.0595702999999</v>
      </c>
      <c r="I217">
        <v>551.85858154000005</v>
      </c>
      <c r="J217">
        <v>156.46429443</v>
      </c>
      <c r="K217">
        <v>2400</v>
      </c>
      <c r="L217">
        <v>0</v>
      </c>
      <c r="M217">
        <v>0</v>
      </c>
      <c r="N217">
        <v>2400</v>
      </c>
    </row>
    <row r="218" spans="1:14" x14ac:dyDescent="0.25">
      <c r="A218">
        <v>37.108063000000001</v>
      </c>
      <c r="B218" s="1">
        <f>DATE(2010,6,7) + TIME(2,35,36)</f>
        <v>40336.108055555553</v>
      </c>
      <c r="C218">
        <v>80</v>
      </c>
      <c r="D218">
        <v>79.891426085999996</v>
      </c>
      <c r="E218">
        <v>50</v>
      </c>
      <c r="F218">
        <v>14.910238266</v>
      </c>
      <c r="G218">
        <v>1892.4750977000001</v>
      </c>
      <c r="H218">
        <v>1765.8376464999999</v>
      </c>
      <c r="I218">
        <v>551.62646484000004</v>
      </c>
      <c r="J218">
        <v>156.23432922000001</v>
      </c>
      <c r="K218">
        <v>2400</v>
      </c>
      <c r="L218">
        <v>0</v>
      </c>
      <c r="M218">
        <v>0</v>
      </c>
      <c r="N218">
        <v>2400</v>
      </c>
    </row>
    <row r="219" spans="1:14" x14ac:dyDescent="0.25">
      <c r="A219">
        <v>37.369008999999998</v>
      </c>
      <c r="B219" s="1">
        <f>DATE(2010,6,7) + TIME(8,51,22)</f>
        <v>40336.369004629632</v>
      </c>
      <c r="C219">
        <v>80</v>
      </c>
      <c r="D219">
        <v>79.891464232999994</v>
      </c>
      <c r="E219">
        <v>50</v>
      </c>
      <c r="F219">
        <v>14.910464287</v>
      </c>
      <c r="G219">
        <v>1892.2659911999999</v>
      </c>
      <c r="H219">
        <v>1765.6292725000001</v>
      </c>
      <c r="I219">
        <v>551.39910888999998</v>
      </c>
      <c r="J219">
        <v>156.00904846</v>
      </c>
      <c r="K219">
        <v>2400</v>
      </c>
      <c r="L219">
        <v>0</v>
      </c>
      <c r="M219">
        <v>0</v>
      </c>
      <c r="N219">
        <v>2400</v>
      </c>
    </row>
    <row r="220" spans="1:14" x14ac:dyDescent="0.25">
      <c r="A220">
        <v>37.890900999999999</v>
      </c>
      <c r="B220" s="1">
        <f>DATE(2010,6,7) + TIME(21,22,53)</f>
        <v>40336.8908912037</v>
      </c>
      <c r="C220">
        <v>80</v>
      </c>
      <c r="D220">
        <v>79.891830443999993</v>
      </c>
      <c r="E220">
        <v>50</v>
      </c>
      <c r="F220">
        <v>14.910810471</v>
      </c>
      <c r="G220">
        <v>1891.9998779</v>
      </c>
      <c r="H220">
        <v>1765.3645019999999</v>
      </c>
      <c r="I220">
        <v>550.96142578000001</v>
      </c>
      <c r="J220">
        <v>155.574646</v>
      </c>
      <c r="K220">
        <v>2400</v>
      </c>
      <c r="L220">
        <v>0</v>
      </c>
      <c r="M220">
        <v>0</v>
      </c>
      <c r="N220">
        <v>2400</v>
      </c>
    </row>
    <row r="221" spans="1:14" x14ac:dyDescent="0.25">
      <c r="A221">
        <v>38.412951</v>
      </c>
      <c r="B221" s="1">
        <f>DATE(2010,6,8) + TIME(9,54,38)</f>
        <v>40337.412939814814</v>
      </c>
      <c r="C221">
        <v>80</v>
      </c>
      <c r="D221">
        <v>79.892028808999996</v>
      </c>
      <c r="E221">
        <v>50</v>
      </c>
      <c r="F221">
        <v>14.911184311</v>
      </c>
      <c r="G221">
        <v>1891.6973877</v>
      </c>
      <c r="H221">
        <v>1765.0637207</v>
      </c>
      <c r="I221">
        <v>550.54278564000003</v>
      </c>
      <c r="J221">
        <v>155.15948485999999</v>
      </c>
      <c r="K221">
        <v>2400</v>
      </c>
      <c r="L221">
        <v>0</v>
      </c>
      <c r="M221">
        <v>0</v>
      </c>
      <c r="N221">
        <v>2400</v>
      </c>
    </row>
    <row r="222" spans="1:14" x14ac:dyDescent="0.25">
      <c r="A222">
        <v>38.936740999999998</v>
      </c>
      <c r="B222" s="1">
        <f>DATE(2010,6,8) + TIME(22,28,54)</f>
        <v>40337.936736111114</v>
      </c>
      <c r="C222">
        <v>80</v>
      </c>
      <c r="D222">
        <v>79.892135620000005</v>
      </c>
      <c r="E222">
        <v>50</v>
      </c>
      <c r="F222">
        <v>14.911574364</v>
      </c>
      <c r="G222">
        <v>1891.3621826000001</v>
      </c>
      <c r="H222">
        <v>1764.7299805</v>
      </c>
      <c r="I222">
        <v>550.14050293000003</v>
      </c>
      <c r="J222">
        <v>154.76080322000001</v>
      </c>
      <c r="K222">
        <v>2400</v>
      </c>
      <c r="L222">
        <v>0</v>
      </c>
      <c r="M222">
        <v>0</v>
      </c>
      <c r="N222">
        <v>2400</v>
      </c>
    </row>
    <row r="223" spans="1:14" x14ac:dyDescent="0.25">
      <c r="A223">
        <v>39.463419000000002</v>
      </c>
      <c r="B223" s="1">
        <f>DATE(2010,6,9) + TIME(11,7,19)</f>
        <v>40338.463414351849</v>
      </c>
      <c r="C223">
        <v>80</v>
      </c>
      <c r="D223">
        <v>79.892204285000005</v>
      </c>
      <c r="E223">
        <v>50</v>
      </c>
      <c r="F223">
        <v>14.911974906999999</v>
      </c>
      <c r="G223">
        <v>1891.0075684000001</v>
      </c>
      <c r="H223">
        <v>1764.3768310999999</v>
      </c>
      <c r="I223">
        <v>549.75305175999995</v>
      </c>
      <c r="J223">
        <v>154.37713622999999</v>
      </c>
      <c r="K223">
        <v>2400</v>
      </c>
      <c r="L223">
        <v>0</v>
      </c>
      <c r="M223">
        <v>0</v>
      </c>
      <c r="N223">
        <v>2400</v>
      </c>
    </row>
    <row r="224" spans="1:14" x14ac:dyDescent="0.25">
      <c r="A224">
        <v>39.993904999999998</v>
      </c>
      <c r="B224" s="1">
        <f>DATE(2010,6,9) + TIME(23,51,13)</f>
        <v>40338.993900462963</v>
      </c>
      <c r="C224">
        <v>80</v>
      </c>
      <c r="D224">
        <v>79.892272949000002</v>
      </c>
      <c r="E224">
        <v>50</v>
      </c>
      <c r="F224">
        <v>14.912381172</v>
      </c>
      <c r="G224">
        <v>1890.6401367000001</v>
      </c>
      <c r="H224">
        <v>1764.0106201000001</v>
      </c>
      <c r="I224">
        <v>549.37957763999998</v>
      </c>
      <c r="J224">
        <v>154.00746154999999</v>
      </c>
      <c r="K224">
        <v>2400</v>
      </c>
      <c r="L224">
        <v>0</v>
      </c>
      <c r="M224">
        <v>0</v>
      </c>
      <c r="N224">
        <v>2400</v>
      </c>
    </row>
    <row r="225" spans="1:14" x14ac:dyDescent="0.25">
      <c r="A225">
        <v>40.529074999999999</v>
      </c>
      <c r="B225" s="1">
        <f>DATE(2010,6,10) + TIME(12,41,52)</f>
        <v>40339.529074074075</v>
      </c>
      <c r="C225">
        <v>80</v>
      </c>
      <c r="D225">
        <v>79.892341614000003</v>
      </c>
      <c r="E225">
        <v>50</v>
      </c>
      <c r="F225">
        <v>14.912793159</v>
      </c>
      <c r="G225">
        <v>1890.2624512</v>
      </c>
      <c r="H225">
        <v>1763.6342772999999</v>
      </c>
      <c r="I225">
        <v>549.01922606999995</v>
      </c>
      <c r="J225">
        <v>153.65097046</v>
      </c>
      <c r="K225">
        <v>2400</v>
      </c>
      <c r="L225">
        <v>0</v>
      </c>
      <c r="M225">
        <v>0</v>
      </c>
      <c r="N225">
        <v>2400</v>
      </c>
    </row>
    <row r="226" spans="1:14" x14ac:dyDescent="0.25">
      <c r="A226">
        <v>41.069808000000002</v>
      </c>
      <c r="B226" s="1">
        <f>DATE(2010,6,11) + TIME(1,40,31)</f>
        <v>40340.069803240738</v>
      </c>
      <c r="C226">
        <v>80</v>
      </c>
      <c r="D226">
        <v>79.892417907999999</v>
      </c>
      <c r="E226">
        <v>50</v>
      </c>
      <c r="F226">
        <v>14.913209914999999</v>
      </c>
      <c r="G226">
        <v>1889.8757324000001</v>
      </c>
      <c r="H226">
        <v>1763.2489014</v>
      </c>
      <c r="I226">
        <v>548.67132568</v>
      </c>
      <c r="J226">
        <v>153.30694579999999</v>
      </c>
      <c r="K226">
        <v>2400</v>
      </c>
      <c r="L226">
        <v>0</v>
      </c>
      <c r="M226">
        <v>0</v>
      </c>
      <c r="N226">
        <v>2400</v>
      </c>
    </row>
    <row r="227" spans="1:14" x14ac:dyDescent="0.25">
      <c r="A227">
        <v>41.616993000000001</v>
      </c>
      <c r="B227" s="1">
        <f>DATE(2010,6,11) + TIME(14,48,28)</f>
        <v>40340.616990740738</v>
      </c>
      <c r="C227">
        <v>80</v>
      </c>
      <c r="D227">
        <v>79.892501831000004</v>
      </c>
      <c r="E227">
        <v>50</v>
      </c>
      <c r="F227">
        <v>14.913630486000001</v>
      </c>
      <c r="G227">
        <v>1889.4802245999999</v>
      </c>
      <c r="H227">
        <v>1762.8546143000001</v>
      </c>
      <c r="I227">
        <v>548.33520508000004</v>
      </c>
      <c r="J227">
        <v>152.97479247999999</v>
      </c>
      <c r="K227">
        <v>2400</v>
      </c>
      <c r="L227">
        <v>0</v>
      </c>
      <c r="M227">
        <v>0</v>
      </c>
      <c r="N227">
        <v>2400</v>
      </c>
    </row>
    <row r="228" spans="1:14" x14ac:dyDescent="0.25">
      <c r="A228">
        <v>42.171629000000003</v>
      </c>
      <c r="B228" s="1">
        <f>DATE(2010,6,12) + TIME(4,7,8)</f>
        <v>40341.171620370369</v>
      </c>
      <c r="C228">
        <v>80</v>
      </c>
      <c r="D228">
        <v>79.892593383999994</v>
      </c>
      <c r="E228">
        <v>50</v>
      </c>
      <c r="F228">
        <v>14.914055824</v>
      </c>
      <c r="G228">
        <v>1889.0758057</v>
      </c>
      <c r="H228">
        <v>1762.4512939000001</v>
      </c>
      <c r="I228">
        <v>548.01031493999994</v>
      </c>
      <c r="J228">
        <v>152.65394592000001</v>
      </c>
      <c r="K228">
        <v>2400</v>
      </c>
      <c r="L228">
        <v>0</v>
      </c>
      <c r="M228">
        <v>0</v>
      </c>
      <c r="N228">
        <v>2400</v>
      </c>
    </row>
    <row r="229" spans="1:14" x14ac:dyDescent="0.25">
      <c r="A229">
        <v>42.733913999999999</v>
      </c>
      <c r="B229" s="1">
        <f>DATE(2010,6,12) + TIME(17,36,50)</f>
        <v>40341.733912037038</v>
      </c>
      <c r="C229">
        <v>80</v>
      </c>
      <c r="D229">
        <v>79.892684936999999</v>
      </c>
      <c r="E229">
        <v>50</v>
      </c>
      <c r="F229">
        <v>14.914485931</v>
      </c>
      <c r="G229">
        <v>1888.6622314000001</v>
      </c>
      <c r="H229">
        <v>1762.0388184000001</v>
      </c>
      <c r="I229">
        <v>547.69671631000006</v>
      </c>
      <c r="J229">
        <v>152.34437560999999</v>
      </c>
      <c r="K229">
        <v>2400</v>
      </c>
      <c r="L229">
        <v>0</v>
      </c>
      <c r="M229">
        <v>0</v>
      </c>
      <c r="N229">
        <v>2400</v>
      </c>
    </row>
    <row r="230" spans="1:14" x14ac:dyDescent="0.25">
      <c r="A230">
        <v>43.305044000000002</v>
      </c>
      <c r="B230" s="1">
        <f>DATE(2010,6,13) + TIME(7,19,15)</f>
        <v>40342.305034722223</v>
      </c>
      <c r="C230">
        <v>80</v>
      </c>
      <c r="D230">
        <v>79.892776488999999</v>
      </c>
      <c r="E230">
        <v>50</v>
      </c>
      <c r="F230">
        <v>14.914920807</v>
      </c>
      <c r="G230">
        <v>1888.2391356999999</v>
      </c>
      <c r="H230">
        <v>1761.6169434000001</v>
      </c>
      <c r="I230">
        <v>547.39373779000005</v>
      </c>
      <c r="J230">
        <v>152.04556274000001</v>
      </c>
      <c r="K230">
        <v>2400</v>
      </c>
      <c r="L230">
        <v>0</v>
      </c>
      <c r="M230">
        <v>0</v>
      </c>
      <c r="N230">
        <v>2400</v>
      </c>
    </row>
    <row r="231" spans="1:14" x14ac:dyDescent="0.25">
      <c r="A231">
        <v>43.886116999999999</v>
      </c>
      <c r="B231" s="1">
        <f>DATE(2010,6,13) + TIME(21,16,0)</f>
        <v>40342.886111111111</v>
      </c>
      <c r="C231">
        <v>80</v>
      </c>
      <c r="D231">
        <v>79.892875670999999</v>
      </c>
      <c r="E231">
        <v>50</v>
      </c>
      <c r="F231">
        <v>14.915362357999999</v>
      </c>
      <c r="G231">
        <v>1887.8060303</v>
      </c>
      <c r="H231">
        <v>1761.1849365</v>
      </c>
      <c r="I231">
        <v>547.10113524999997</v>
      </c>
      <c r="J231">
        <v>151.75714110999999</v>
      </c>
      <c r="K231">
        <v>2400</v>
      </c>
      <c r="L231">
        <v>0</v>
      </c>
      <c r="M231">
        <v>0</v>
      </c>
      <c r="N231">
        <v>2400</v>
      </c>
    </row>
    <row r="232" spans="1:14" x14ac:dyDescent="0.25">
      <c r="A232">
        <v>44.475746999999998</v>
      </c>
      <c r="B232" s="1">
        <f>DATE(2010,6,14) + TIME(11,25,4)</f>
        <v>40343.475740740738</v>
      </c>
      <c r="C232">
        <v>80</v>
      </c>
      <c r="D232">
        <v>79.892982482999997</v>
      </c>
      <c r="E232">
        <v>50</v>
      </c>
      <c r="F232">
        <v>14.915808677999999</v>
      </c>
      <c r="G232">
        <v>1887.3630370999999</v>
      </c>
      <c r="H232">
        <v>1760.7429199000001</v>
      </c>
      <c r="I232">
        <v>546.81970215000001</v>
      </c>
      <c r="J232">
        <v>151.47996520999999</v>
      </c>
      <c r="K232">
        <v>2400</v>
      </c>
      <c r="L232">
        <v>0</v>
      </c>
      <c r="M232">
        <v>0</v>
      </c>
      <c r="N232">
        <v>2400</v>
      </c>
    </row>
    <row r="233" spans="1:14" x14ac:dyDescent="0.25">
      <c r="A233">
        <v>44.774514000000003</v>
      </c>
      <c r="B233" s="1">
        <f>DATE(2010,6,14) + TIME(18,35,18)</f>
        <v>40343.774513888886</v>
      </c>
      <c r="C233">
        <v>80</v>
      </c>
      <c r="D233">
        <v>79.892875670999999</v>
      </c>
      <c r="E233">
        <v>50</v>
      </c>
      <c r="F233">
        <v>14.916101456</v>
      </c>
      <c r="G233">
        <v>1887.067749</v>
      </c>
      <c r="H233">
        <v>1760.4483643000001</v>
      </c>
      <c r="I233">
        <v>546.68249512</v>
      </c>
      <c r="J233">
        <v>151.34548950000001</v>
      </c>
      <c r="K233">
        <v>2400</v>
      </c>
      <c r="L233">
        <v>0</v>
      </c>
      <c r="M233">
        <v>0</v>
      </c>
      <c r="N233">
        <v>2400</v>
      </c>
    </row>
    <row r="234" spans="1:14" x14ac:dyDescent="0.25">
      <c r="A234">
        <v>45.073281000000001</v>
      </c>
      <c r="B234" s="1">
        <f>DATE(2010,6,15) + TIME(1,45,31)</f>
        <v>40344.073275462964</v>
      </c>
      <c r="C234">
        <v>80</v>
      </c>
      <c r="D234">
        <v>79.892822265999996</v>
      </c>
      <c r="E234">
        <v>50</v>
      </c>
      <c r="F234">
        <v>14.916375159999999</v>
      </c>
      <c r="G234">
        <v>1886.776001</v>
      </c>
      <c r="H234">
        <v>1760.1569824000001</v>
      </c>
      <c r="I234">
        <v>546.54803466999999</v>
      </c>
      <c r="J234">
        <v>151.21365356000001</v>
      </c>
      <c r="K234">
        <v>2400</v>
      </c>
      <c r="L234">
        <v>0</v>
      </c>
      <c r="M234">
        <v>0</v>
      </c>
      <c r="N234">
        <v>2400</v>
      </c>
    </row>
    <row r="235" spans="1:14" x14ac:dyDescent="0.25">
      <c r="A235">
        <v>45.372047000000002</v>
      </c>
      <c r="B235" s="1">
        <f>DATE(2010,6,15) + TIME(8,55,44)</f>
        <v>40344.372037037036</v>
      </c>
      <c r="C235">
        <v>80</v>
      </c>
      <c r="D235">
        <v>79.892837524000001</v>
      </c>
      <c r="E235">
        <v>50</v>
      </c>
      <c r="F235">
        <v>14.916633606</v>
      </c>
      <c r="G235">
        <v>1886.5004882999999</v>
      </c>
      <c r="H235">
        <v>1759.8818358999999</v>
      </c>
      <c r="I235">
        <v>546.41717529000005</v>
      </c>
      <c r="J235">
        <v>151.08525084999999</v>
      </c>
      <c r="K235">
        <v>2400</v>
      </c>
      <c r="L235">
        <v>0</v>
      </c>
      <c r="M235">
        <v>0</v>
      </c>
      <c r="N235">
        <v>2400</v>
      </c>
    </row>
    <row r="236" spans="1:14" x14ac:dyDescent="0.25">
      <c r="A236">
        <v>45.670814</v>
      </c>
      <c r="B236" s="1">
        <f>DATE(2010,6,15) + TIME(16,5,58)</f>
        <v>40344.670810185184</v>
      </c>
      <c r="C236">
        <v>80</v>
      </c>
      <c r="D236">
        <v>79.892883300999998</v>
      </c>
      <c r="E236">
        <v>50</v>
      </c>
      <c r="F236">
        <v>14.916882514999999</v>
      </c>
      <c r="G236">
        <v>1886.2374268000001</v>
      </c>
      <c r="H236">
        <v>1759.6192627</v>
      </c>
      <c r="I236">
        <v>546.28991699000005</v>
      </c>
      <c r="J236">
        <v>150.96040343999999</v>
      </c>
      <c r="K236">
        <v>2400</v>
      </c>
      <c r="L236">
        <v>0</v>
      </c>
      <c r="M236">
        <v>0</v>
      </c>
      <c r="N236">
        <v>2400</v>
      </c>
    </row>
    <row r="237" spans="1:14" x14ac:dyDescent="0.25">
      <c r="A237">
        <v>45.969580999999998</v>
      </c>
      <c r="B237" s="1">
        <f>DATE(2010,6,15) + TIME(23,16,11)</f>
        <v>40344.969571759262</v>
      </c>
      <c r="C237">
        <v>80</v>
      </c>
      <c r="D237">
        <v>79.892959594999994</v>
      </c>
      <c r="E237">
        <v>50</v>
      </c>
      <c r="F237">
        <v>14.917123795</v>
      </c>
      <c r="G237">
        <v>1885.9825439000001</v>
      </c>
      <c r="H237">
        <v>1759.3648682</v>
      </c>
      <c r="I237">
        <v>546.16632079999999</v>
      </c>
      <c r="J237">
        <v>150.83911133000001</v>
      </c>
      <c r="K237">
        <v>2400</v>
      </c>
      <c r="L237">
        <v>0</v>
      </c>
      <c r="M237">
        <v>0</v>
      </c>
      <c r="N237">
        <v>2400</v>
      </c>
    </row>
    <row r="238" spans="1:14" x14ac:dyDescent="0.25">
      <c r="A238">
        <v>46.268346999999999</v>
      </c>
      <c r="B238" s="1">
        <f>DATE(2010,6,16) + TIME(6,26,25)</f>
        <v>40345.26834490741</v>
      </c>
      <c r="C238">
        <v>80</v>
      </c>
      <c r="D238">
        <v>79.893035889000004</v>
      </c>
      <c r="E238">
        <v>50</v>
      </c>
      <c r="F238">
        <v>14.917360306000001</v>
      </c>
      <c r="G238">
        <v>1885.7327881000001</v>
      </c>
      <c r="H238">
        <v>1759.1156006000001</v>
      </c>
      <c r="I238">
        <v>546.04632568</v>
      </c>
      <c r="J238">
        <v>150.72137451</v>
      </c>
      <c r="K238">
        <v>2400</v>
      </c>
      <c r="L238">
        <v>0</v>
      </c>
      <c r="M238">
        <v>0</v>
      </c>
      <c r="N238">
        <v>2400</v>
      </c>
    </row>
    <row r="239" spans="1:14" x14ac:dyDescent="0.25">
      <c r="A239">
        <v>46.567113999999997</v>
      </c>
      <c r="B239" s="1">
        <f>DATE(2010,6,16) + TIME(13,36,38)</f>
        <v>40345.567106481481</v>
      </c>
      <c r="C239">
        <v>80</v>
      </c>
      <c r="D239">
        <v>79.893119811999995</v>
      </c>
      <c r="E239">
        <v>50</v>
      </c>
      <c r="F239">
        <v>14.917593955999999</v>
      </c>
      <c r="G239">
        <v>1885.4863281</v>
      </c>
      <c r="H239">
        <v>1758.8696289</v>
      </c>
      <c r="I239">
        <v>545.92987060999997</v>
      </c>
      <c r="J239">
        <v>150.60716248</v>
      </c>
      <c r="K239">
        <v>2400</v>
      </c>
      <c r="L239">
        <v>0</v>
      </c>
      <c r="M239">
        <v>0</v>
      </c>
      <c r="N239">
        <v>2400</v>
      </c>
    </row>
    <row r="240" spans="1:14" x14ac:dyDescent="0.25">
      <c r="A240">
        <v>46.865881000000002</v>
      </c>
      <c r="B240" s="1">
        <f>DATE(2010,6,16) + TIME(20,46,52)</f>
        <v>40345.865879629629</v>
      </c>
      <c r="C240">
        <v>80</v>
      </c>
      <c r="D240">
        <v>79.893203735</v>
      </c>
      <c r="E240">
        <v>50</v>
      </c>
      <c r="F240">
        <v>14.917824745000001</v>
      </c>
      <c r="G240">
        <v>1885.2420654</v>
      </c>
      <c r="H240">
        <v>1758.6258545000001</v>
      </c>
      <c r="I240">
        <v>545.81689453000001</v>
      </c>
      <c r="J240">
        <v>150.49639893</v>
      </c>
      <c r="K240">
        <v>2400</v>
      </c>
      <c r="L240">
        <v>0</v>
      </c>
      <c r="M240">
        <v>0</v>
      </c>
      <c r="N240">
        <v>2400</v>
      </c>
    </row>
    <row r="241" spans="1:14" x14ac:dyDescent="0.25">
      <c r="A241">
        <v>47.164648</v>
      </c>
      <c r="B241" s="1">
        <f>DATE(2010,6,17) + TIME(3,57,5)</f>
        <v>40346.164641203701</v>
      </c>
      <c r="C241">
        <v>80</v>
      </c>
      <c r="D241">
        <v>79.893280028999996</v>
      </c>
      <c r="E241">
        <v>50</v>
      </c>
      <c r="F241">
        <v>14.918052673</v>
      </c>
      <c r="G241">
        <v>1884.9992675999999</v>
      </c>
      <c r="H241">
        <v>1758.3835449000001</v>
      </c>
      <c r="I241">
        <v>545.70739746000004</v>
      </c>
      <c r="J241">
        <v>150.3890686</v>
      </c>
      <c r="K241">
        <v>2400</v>
      </c>
      <c r="L241">
        <v>0</v>
      </c>
      <c r="M241">
        <v>0</v>
      </c>
      <c r="N241">
        <v>2400</v>
      </c>
    </row>
    <row r="242" spans="1:14" x14ac:dyDescent="0.25">
      <c r="A242">
        <v>47.762180999999998</v>
      </c>
      <c r="B242" s="1">
        <f>DATE(2010,6,17) + TIME(18,17,32)</f>
        <v>40346.762175925927</v>
      </c>
      <c r="C242">
        <v>80</v>
      </c>
      <c r="D242">
        <v>79.893623352000006</v>
      </c>
      <c r="E242">
        <v>50</v>
      </c>
      <c r="F242">
        <v>14.918402671999999</v>
      </c>
      <c r="G242">
        <v>1884.6271973</v>
      </c>
      <c r="H242">
        <v>1758.0123291</v>
      </c>
      <c r="I242">
        <v>545.49981689000003</v>
      </c>
      <c r="J242">
        <v>150.18487549</v>
      </c>
      <c r="K242">
        <v>2400</v>
      </c>
      <c r="L242">
        <v>0</v>
      </c>
      <c r="M242">
        <v>0</v>
      </c>
      <c r="N242">
        <v>2400</v>
      </c>
    </row>
    <row r="243" spans="1:14" x14ac:dyDescent="0.25">
      <c r="A243">
        <v>48.360697000000002</v>
      </c>
      <c r="B243" s="1">
        <f>DATE(2010,6,18) + TIME(8,39,24)</f>
        <v>40347.360694444447</v>
      </c>
      <c r="C243">
        <v>80</v>
      </c>
      <c r="D243">
        <v>79.893806458</v>
      </c>
      <c r="E243">
        <v>50</v>
      </c>
      <c r="F243">
        <v>14.918799399999999</v>
      </c>
      <c r="G243">
        <v>1884.2202147999999</v>
      </c>
      <c r="H243">
        <v>1757.6062012</v>
      </c>
      <c r="I243">
        <v>545.30590819999998</v>
      </c>
      <c r="J243">
        <v>149.99475097999999</v>
      </c>
      <c r="K243">
        <v>2400</v>
      </c>
      <c r="L243">
        <v>0</v>
      </c>
      <c r="M243">
        <v>0</v>
      </c>
      <c r="N243">
        <v>2400</v>
      </c>
    </row>
    <row r="244" spans="1:14" x14ac:dyDescent="0.25">
      <c r="A244">
        <v>48.962997000000001</v>
      </c>
      <c r="B244" s="1">
        <f>DATE(2010,6,18) + TIME(23,6,42)</f>
        <v>40347.96298611111</v>
      </c>
      <c r="C244">
        <v>80</v>
      </c>
      <c r="D244">
        <v>79.893920898000005</v>
      </c>
      <c r="E244">
        <v>50</v>
      </c>
      <c r="F244">
        <v>14.919220923999999</v>
      </c>
      <c r="G244">
        <v>1883.7806396000001</v>
      </c>
      <c r="H244">
        <v>1757.1673584</v>
      </c>
      <c r="I244">
        <v>545.12316895000004</v>
      </c>
      <c r="J244">
        <v>149.81605529999999</v>
      </c>
      <c r="K244">
        <v>2400</v>
      </c>
      <c r="L244">
        <v>0</v>
      </c>
      <c r="M244">
        <v>0</v>
      </c>
      <c r="N244">
        <v>2400</v>
      </c>
    </row>
    <row r="245" spans="1:14" x14ac:dyDescent="0.25">
      <c r="A245">
        <v>49.570385000000002</v>
      </c>
      <c r="B245" s="1">
        <f>DATE(2010,6,19) + TIME(13,41,21)</f>
        <v>40348.570381944446</v>
      </c>
      <c r="C245">
        <v>80</v>
      </c>
      <c r="D245">
        <v>79.894004821999999</v>
      </c>
      <c r="E245">
        <v>50</v>
      </c>
      <c r="F245">
        <v>14.919656754</v>
      </c>
      <c r="G245">
        <v>1883.3206786999999</v>
      </c>
      <c r="H245">
        <v>1756.7082519999999</v>
      </c>
      <c r="I245">
        <v>544.95074463000003</v>
      </c>
      <c r="J245">
        <v>149.64787292</v>
      </c>
      <c r="K245">
        <v>2400</v>
      </c>
      <c r="L245">
        <v>0</v>
      </c>
      <c r="M245">
        <v>0</v>
      </c>
      <c r="N245">
        <v>2400</v>
      </c>
    </row>
    <row r="246" spans="1:14" x14ac:dyDescent="0.25">
      <c r="A246">
        <v>50.183948999999998</v>
      </c>
      <c r="B246" s="1">
        <f>DATE(2010,6,20) + TIME(4,24,53)</f>
        <v>40349.183946759258</v>
      </c>
      <c r="C246">
        <v>80</v>
      </c>
      <c r="D246">
        <v>79.894088745000005</v>
      </c>
      <c r="E246">
        <v>50</v>
      </c>
      <c r="F246">
        <v>14.920102118999999</v>
      </c>
      <c r="G246">
        <v>1882.847168</v>
      </c>
      <c r="H246">
        <v>1756.2352295000001</v>
      </c>
      <c r="I246">
        <v>544.78820800999995</v>
      </c>
      <c r="J246">
        <v>149.48960876000001</v>
      </c>
      <c r="K246">
        <v>2400</v>
      </c>
      <c r="L246">
        <v>0</v>
      </c>
      <c r="M246">
        <v>0</v>
      </c>
      <c r="N246">
        <v>2400</v>
      </c>
    </row>
    <row r="247" spans="1:14" x14ac:dyDescent="0.25">
      <c r="A247">
        <v>50.804715000000002</v>
      </c>
      <c r="B247" s="1">
        <f>DATE(2010,6,20) + TIME(19,18,47)</f>
        <v>40349.804710648146</v>
      </c>
      <c r="C247">
        <v>80</v>
      </c>
      <c r="D247">
        <v>79.894172667999996</v>
      </c>
      <c r="E247">
        <v>50</v>
      </c>
      <c r="F247">
        <v>14.920554161</v>
      </c>
      <c r="G247">
        <v>1882.3625488</v>
      </c>
      <c r="H247">
        <v>1755.7513428</v>
      </c>
      <c r="I247">
        <v>544.63513183999999</v>
      </c>
      <c r="J247">
        <v>149.34089660999999</v>
      </c>
      <c r="K247">
        <v>2400</v>
      </c>
      <c r="L247">
        <v>0</v>
      </c>
      <c r="M247">
        <v>0</v>
      </c>
      <c r="N247">
        <v>2400</v>
      </c>
    </row>
    <row r="248" spans="1:14" x14ac:dyDescent="0.25">
      <c r="A248">
        <v>51.433799999999998</v>
      </c>
      <c r="B248" s="1">
        <f>DATE(2010,6,21) + TIME(10,24,40)</f>
        <v>40350.433796296296</v>
      </c>
      <c r="C248">
        <v>80</v>
      </c>
      <c r="D248">
        <v>79.894279479999994</v>
      </c>
      <c r="E248">
        <v>50</v>
      </c>
      <c r="F248">
        <v>14.921010970999999</v>
      </c>
      <c r="G248">
        <v>1881.8681641000001</v>
      </c>
      <c r="H248">
        <v>1755.2575684000001</v>
      </c>
      <c r="I248">
        <v>544.49121093999997</v>
      </c>
      <c r="J248">
        <v>149.20143127</v>
      </c>
      <c r="K248">
        <v>2400</v>
      </c>
      <c r="L248">
        <v>0</v>
      </c>
      <c r="M248">
        <v>0</v>
      </c>
      <c r="N248">
        <v>2400</v>
      </c>
    </row>
    <row r="249" spans="1:14" x14ac:dyDescent="0.25">
      <c r="A249">
        <v>52.072997999999998</v>
      </c>
      <c r="B249" s="1">
        <f>DATE(2010,6,22) + TIME(1,45,7)</f>
        <v>40351.072997685187</v>
      </c>
      <c r="C249">
        <v>80</v>
      </c>
      <c r="D249">
        <v>79.894386291999993</v>
      </c>
      <c r="E249">
        <v>50</v>
      </c>
      <c r="F249">
        <v>14.921474457</v>
      </c>
      <c r="G249">
        <v>1881.3637695</v>
      </c>
      <c r="H249">
        <v>1754.7537841999999</v>
      </c>
      <c r="I249">
        <v>544.35620116999996</v>
      </c>
      <c r="J249">
        <v>149.07089232999999</v>
      </c>
      <c r="K249">
        <v>2400</v>
      </c>
      <c r="L249">
        <v>0</v>
      </c>
      <c r="M249">
        <v>0</v>
      </c>
      <c r="N249">
        <v>2400</v>
      </c>
    </row>
    <row r="250" spans="1:14" x14ac:dyDescent="0.25">
      <c r="A250">
        <v>52.722638000000003</v>
      </c>
      <c r="B250" s="1">
        <f>DATE(2010,6,22) + TIME(17,20,35)</f>
        <v>40351.722627314812</v>
      </c>
      <c r="C250">
        <v>80</v>
      </c>
      <c r="D250">
        <v>79.894500731999997</v>
      </c>
      <c r="E250">
        <v>50</v>
      </c>
      <c r="F250">
        <v>14.921942711</v>
      </c>
      <c r="G250">
        <v>1880.8494873</v>
      </c>
      <c r="H250">
        <v>1754.2402344</v>
      </c>
      <c r="I250">
        <v>544.23010253999996</v>
      </c>
      <c r="J250">
        <v>148.94934082</v>
      </c>
      <c r="K250">
        <v>2400</v>
      </c>
      <c r="L250">
        <v>0</v>
      </c>
      <c r="M250">
        <v>0</v>
      </c>
      <c r="N250">
        <v>2400</v>
      </c>
    </row>
    <row r="251" spans="1:14" x14ac:dyDescent="0.25">
      <c r="A251">
        <v>53.382190999999999</v>
      </c>
      <c r="B251" s="1">
        <f>DATE(2010,6,23) + TIME(9,10,21)</f>
        <v>40352.382187499999</v>
      </c>
      <c r="C251">
        <v>80</v>
      </c>
      <c r="D251">
        <v>79.894615173000005</v>
      </c>
      <c r="E251">
        <v>50</v>
      </c>
      <c r="F251">
        <v>14.922416687</v>
      </c>
      <c r="G251">
        <v>1880.3256836</v>
      </c>
      <c r="H251">
        <v>1753.7170410000001</v>
      </c>
      <c r="I251">
        <v>544.11315918000003</v>
      </c>
      <c r="J251">
        <v>148.83697509999999</v>
      </c>
      <c r="K251">
        <v>2400</v>
      </c>
      <c r="L251">
        <v>0</v>
      </c>
      <c r="M251">
        <v>0</v>
      </c>
      <c r="N251">
        <v>2400</v>
      </c>
    </row>
    <row r="252" spans="1:14" x14ac:dyDescent="0.25">
      <c r="A252">
        <v>54.049318999999997</v>
      </c>
      <c r="B252" s="1">
        <f>DATE(2010,6,24) + TIME(1,11,1)</f>
        <v>40353.049317129633</v>
      </c>
      <c r="C252">
        <v>80</v>
      </c>
      <c r="D252">
        <v>79.894737243999998</v>
      </c>
      <c r="E252">
        <v>50</v>
      </c>
      <c r="F252">
        <v>14.922894478</v>
      </c>
      <c r="G252">
        <v>1879.7937012</v>
      </c>
      <c r="H252">
        <v>1753.1856689000001</v>
      </c>
      <c r="I252">
        <v>544.00567626999998</v>
      </c>
      <c r="J252">
        <v>148.73419189000001</v>
      </c>
      <c r="K252">
        <v>2400</v>
      </c>
      <c r="L252">
        <v>0</v>
      </c>
      <c r="M252">
        <v>0</v>
      </c>
      <c r="N252">
        <v>2400</v>
      </c>
    </row>
    <row r="253" spans="1:14" x14ac:dyDescent="0.25">
      <c r="A253">
        <v>54.386169000000002</v>
      </c>
      <c r="B253" s="1">
        <f>DATE(2010,6,24) + TIME(9,16,4)</f>
        <v>40353.386157407411</v>
      </c>
      <c r="C253">
        <v>80</v>
      </c>
      <c r="D253">
        <v>79.894668578999998</v>
      </c>
      <c r="E253">
        <v>50</v>
      </c>
      <c r="F253">
        <v>14.923213959</v>
      </c>
      <c r="G253">
        <v>1879.463501</v>
      </c>
      <c r="H253">
        <v>1752.8558350000001</v>
      </c>
      <c r="I253">
        <v>543.95581055000002</v>
      </c>
      <c r="J253">
        <v>148.68742370999999</v>
      </c>
      <c r="K253">
        <v>2400</v>
      </c>
      <c r="L253">
        <v>0</v>
      </c>
      <c r="M253">
        <v>0</v>
      </c>
      <c r="N253">
        <v>2400</v>
      </c>
    </row>
    <row r="254" spans="1:14" x14ac:dyDescent="0.25">
      <c r="A254">
        <v>54.723018000000003</v>
      </c>
      <c r="B254" s="1">
        <f>DATE(2010,6,24) + TIME(17,21,8)</f>
        <v>40353.723009259258</v>
      </c>
      <c r="C254">
        <v>80</v>
      </c>
      <c r="D254">
        <v>79.894638061999999</v>
      </c>
      <c r="E254">
        <v>50</v>
      </c>
      <c r="F254">
        <v>14.923507689999999</v>
      </c>
      <c r="G254">
        <v>1879.1343993999999</v>
      </c>
      <c r="H254">
        <v>1752.5268555</v>
      </c>
      <c r="I254">
        <v>543.90747069999998</v>
      </c>
      <c r="J254">
        <v>148.64195251000001</v>
      </c>
      <c r="K254">
        <v>2400</v>
      </c>
      <c r="L254">
        <v>0</v>
      </c>
      <c r="M254">
        <v>0</v>
      </c>
      <c r="N254">
        <v>2400</v>
      </c>
    </row>
    <row r="255" spans="1:14" x14ac:dyDescent="0.25">
      <c r="A255">
        <v>55.059868000000002</v>
      </c>
      <c r="B255" s="1">
        <f>DATE(2010,6,25) + TIME(1,26,12)</f>
        <v>40354.059861111113</v>
      </c>
      <c r="C255">
        <v>80</v>
      </c>
      <c r="D255">
        <v>79.894660950000002</v>
      </c>
      <c r="E255">
        <v>50</v>
      </c>
      <c r="F255">
        <v>14.923783302</v>
      </c>
      <c r="G255">
        <v>1878.8194579999999</v>
      </c>
      <c r="H255">
        <v>1752.2121582</v>
      </c>
      <c r="I255">
        <v>543.86157227000001</v>
      </c>
      <c r="J255">
        <v>148.59870910999999</v>
      </c>
      <c r="K255">
        <v>2400</v>
      </c>
      <c r="L255">
        <v>0</v>
      </c>
      <c r="M255">
        <v>0</v>
      </c>
      <c r="N255">
        <v>2400</v>
      </c>
    </row>
    <row r="256" spans="1:14" x14ac:dyDescent="0.25">
      <c r="A256">
        <v>55.396718</v>
      </c>
      <c r="B256" s="1">
        <f>DATE(2010,6,25) + TIME(9,31,16)</f>
        <v>40354.39671296296</v>
      </c>
      <c r="C256">
        <v>80</v>
      </c>
      <c r="D256">
        <v>79.894729613999999</v>
      </c>
      <c r="E256">
        <v>50</v>
      </c>
      <c r="F256">
        <v>14.924046516000001</v>
      </c>
      <c r="G256">
        <v>1878.5161132999999</v>
      </c>
      <c r="H256">
        <v>1751.9090576000001</v>
      </c>
      <c r="I256">
        <v>543.81817626999998</v>
      </c>
      <c r="J256">
        <v>148.55793761999999</v>
      </c>
      <c r="K256">
        <v>2400</v>
      </c>
      <c r="L256">
        <v>0</v>
      </c>
      <c r="M256">
        <v>0</v>
      </c>
      <c r="N256">
        <v>2400</v>
      </c>
    </row>
    <row r="257" spans="1:14" x14ac:dyDescent="0.25">
      <c r="A257">
        <v>55.733567000000001</v>
      </c>
      <c r="B257" s="1">
        <f>DATE(2010,6,25) + TIME(17,36,20)</f>
        <v>40354.733564814815</v>
      </c>
      <c r="C257">
        <v>80</v>
      </c>
      <c r="D257">
        <v>79.894805907999995</v>
      </c>
      <c r="E257">
        <v>50</v>
      </c>
      <c r="F257">
        <v>14.924303054999999</v>
      </c>
      <c r="G257">
        <v>1878.2209473</v>
      </c>
      <c r="H257">
        <v>1751.6141356999999</v>
      </c>
      <c r="I257">
        <v>543.77740478999999</v>
      </c>
      <c r="J257">
        <v>148.51965332</v>
      </c>
      <c r="K257">
        <v>2400</v>
      </c>
      <c r="L257">
        <v>0</v>
      </c>
      <c r="M257">
        <v>0</v>
      </c>
      <c r="N257">
        <v>2400</v>
      </c>
    </row>
    <row r="258" spans="1:14" x14ac:dyDescent="0.25">
      <c r="A258">
        <v>56.070416999999999</v>
      </c>
      <c r="B258" s="1">
        <f>DATE(2010,6,26) + TIME(1,41,24)</f>
        <v>40355.070416666669</v>
      </c>
      <c r="C258">
        <v>80</v>
      </c>
      <c r="D258">
        <v>79.894897460999999</v>
      </c>
      <c r="E258">
        <v>50</v>
      </c>
      <c r="F258">
        <v>14.924552917</v>
      </c>
      <c r="G258">
        <v>1877.9310303</v>
      </c>
      <c r="H258">
        <v>1751.3245850000001</v>
      </c>
      <c r="I258">
        <v>543.73919678000004</v>
      </c>
      <c r="J258">
        <v>148.48388671999999</v>
      </c>
      <c r="K258">
        <v>2400</v>
      </c>
      <c r="L258">
        <v>0</v>
      </c>
      <c r="M258">
        <v>0</v>
      </c>
      <c r="N258">
        <v>2400</v>
      </c>
    </row>
    <row r="259" spans="1:14" x14ac:dyDescent="0.25">
      <c r="A259">
        <v>56.407266</v>
      </c>
      <c r="B259" s="1">
        <f>DATE(2010,6,26) + TIME(9,46,27)</f>
        <v>40355.407256944447</v>
      </c>
      <c r="C259">
        <v>80</v>
      </c>
      <c r="D259">
        <v>79.894989014000004</v>
      </c>
      <c r="E259">
        <v>50</v>
      </c>
      <c r="F259">
        <v>14.924798965000001</v>
      </c>
      <c r="G259">
        <v>1877.6448975000001</v>
      </c>
      <c r="H259">
        <v>1751.0386963000001</v>
      </c>
      <c r="I259">
        <v>543.70349121000004</v>
      </c>
      <c r="J259">
        <v>148.4506073</v>
      </c>
      <c r="K259">
        <v>2400</v>
      </c>
      <c r="L259">
        <v>0</v>
      </c>
      <c r="M259">
        <v>0</v>
      </c>
      <c r="N259">
        <v>2400</v>
      </c>
    </row>
    <row r="260" spans="1:14" x14ac:dyDescent="0.25">
      <c r="A260">
        <v>57.080964999999999</v>
      </c>
      <c r="B260" s="1">
        <f>DATE(2010,6,27) + TIME(1,56,35)</f>
        <v>40356.080960648149</v>
      </c>
      <c r="C260">
        <v>80</v>
      </c>
      <c r="D260">
        <v>79.895324707</v>
      </c>
      <c r="E260">
        <v>50</v>
      </c>
      <c r="F260">
        <v>14.925166129999999</v>
      </c>
      <c r="G260">
        <v>1877.1817627</v>
      </c>
      <c r="H260">
        <v>1750.5762939000001</v>
      </c>
      <c r="I260">
        <v>543.63983154000005</v>
      </c>
      <c r="J260">
        <v>148.39054870999999</v>
      </c>
      <c r="K260">
        <v>2400</v>
      </c>
      <c r="L260">
        <v>0</v>
      </c>
      <c r="M260">
        <v>0</v>
      </c>
      <c r="N260">
        <v>2400</v>
      </c>
    </row>
    <row r="261" spans="1:14" x14ac:dyDescent="0.25">
      <c r="A261">
        <v>57.754759</v>
      </c>
      <c r="B261" s="1">
        <f>DATE(2010,6,27) + TIME(18,6,51)</f>
        <v>40356.754756944443</v>
      </c>
      <c r="C261">
        <v>80</v>
      </c>
      <c r="D261">
        <v>79.895530700999998</v>
      </c>
      <c r="E261">
        <v>50</v>
      </c>
      <c r="F261">
        <v>14.9255867</v>
      </c>
      <c r="G261">
        <v>1876.6936035000001</v>
      </c>
      <c r="H261">
        <v>1750.0886230000001</v>
      </c>
      <c r="I261">
        <v>543.58666991999996</v>
      </c>
      <c r="J261">
        <v>148.34152222</v>
      </c>
      <c r="K261">
        <v>2400</v>
      </c>
      <c r="L261">
        <v>0</v>
      </c>
      <c r="M261">
        <v>0</v>
      </c>
      <c r="N261">
        <v>2400</v>
      </c>
    </row>
    <row r="262" spans="1:14" x14ac:dyDescent="0.25">
      <c r="A262">
        <v>58.432295000000003</v>
      </c>
      <c r="B262" s="1">
        <f>DATE(2010,6,28) + TIME(10,22,30)</f>
        <v>40357.432291666664</v>
      </c>
      <c r="C262">
        <v>80</v>
      </c>
      <c r="D262">
        <v>79.895660399999997</v>
      </c>
      <c r="E262">
        <v>50</v>
      </c>
      <c r="F262">
        <v>14.926033973999999</v>
      </c>
      <c r="G262">
        <v>1876.1781006000001</v>
      </c>
      <c r="H262">
        <v>1749.5736084</v>
      </c>
      <c r="I262">
        <v>543.54199218999997</v>
      </c>
      <c r="J262">
        <v>148.30123900999999</v>
      </c>
      <c r="K262">
        <v>2400</v>
      </c>
      <c r="L262">
        <v>0</v>
      </c>
      <c r="M262">
        <v>0</v>
      </c>
      <c r="N262">
        <v>2400</v>
      </c>
    </row>
    <row r="263" spans="1:14" x14ac:dyDescent="0.25">
      <c r="A263">
        <v>59.115094999999997</v>
      </c>
      <c r="B263" s="1">
        <f>DATE(2010,6,29) + TIME(2,45,44)</f>
        <v>40358.11509259259</v>
      </c>
      <c r="C263">
        <v>80</v>
      </c>
      <c r="D263">
        <v>79.895774841000005</v>
      </c>
      <c r="E263">
        <v>50</v>
      </c>
      <c r="F263">
        <v>14.926495552</v>
      </c>
      <c r="G263">
        <v>1875.6456298999999</v>
      </c>
      <c r="H263">
        <v>1749.041626</v>
      </c>
      <c r="I263">
        <v>543.50518798999997</v>
      </c>
      <c r="J263">
        <v>148.26898193</v>
      </c>
      <c r="K263">
        <v>2400</v>
      </c>
      <c r="L263">
        <v>0</v>
      </c>
      <c r="M263">
        <v>0</v>
      </c>
      <c r="N263">
        <v>2400</v>
      </c>
    </row>
    <row r="264" spans="1:14" x14ac:dyDescent="0.25">
      <c r="A264">
        <v>59.804406</v>
      </c>
      <c r="B264" s="1">
        <f>DATE(2010,6,29) + TIME(19,18,20)</f>
        <v>40358.804398148146</v>
      </c>
      <c r="C264">
        <v>80</v>
      </c>
      <c r="D264">
        <v>79.895881653000004</v>
      </c>
      <c r="E264">
        <v>50</v>
      </c>
      <c r="F264">
        <v>14.926965714</v>
      </c>
      <c r="G264">
        <v>1875.1016846</v>
      </c>
      <c r="H264">
        <v>1748.4980469</v>
      </c>
      <c r="I264">
        <v>543.47601318</v>
      </c>
      <c r="J264">
        <v>148.24444579999999</v>
      </c>
      <c r="K264">
        <v>2400</v>
      </c>
      <c r="L264">
        <v>0</v>
      </c>
      <c r="M264">
        <v>0</v>
      </c>
      <c r="N264">
        <v>2400</v>
      </c>
    </row>
    <row r="265" spans="1:14" x14ac:dyDescent="0.25">
      <c r="A265">
        <v>60.501406000000003</v>
      </c>
      <c r="B265" s="1">
        <f>DATE(2010,6,30) + TIME(12,2,1)</f>
        <v>40359.501400462963</v>
      </c>
      <c r="C265">
        <v>80</v>
      </c>
      <c r="D265">
        <v>79.895996093999997</v>
      </c>
      <c r="E265">
        <v>50</v>
      </c>
      <c r="F265">
        <v>14.927441597</v>
      </c>
      <c r="G265">
        <v>1874.5487060999999</v>
      </c>
      <c r="H265">
        <v>1747.9454346</v>
      </c>
      <c r="I265">
        <v>543.45428466999999</v>
      </c>
      <c r="J265">
        <v>148.22743224999999</v>
      </c>
      <c r="K265">
        <v>2400</v>
      </c>
      <c r="L265">
        <v>0</v>
      </c>
      <c r="M265">
        <v>0</v>
      </c>
      <c r="N265">
        <v>2400</v>
      </c>
    </row>
    <row r="266" spans="1:14" x14ac:dyDescent="0.25">
      <c r="A266">
        <v>61</v>
      </c>
      <c r="B266" s="1">
        <f>DATE(2010,7,1) + TIME(0,0,0)</f>
        <v>40360</v>
      </c>
      <c r="C266">
        <v>80</v>
      </c>
      <c r="D266">
        <v>79.895996093999997</v>
      </c>
      <c r="E266">
        <v>50</v>
      </c>
      <c r="F266">
        <v>14.927839279000001</v>
      </c>
      <c r="G266">
        <v>1874.1091309000001</v>
      </c>
      <c r="H266">
        <v>1747.5061035000001</v>
      </c>
      <c r="I266">
        <v>543.44378661999997</v>
      </c>
      <c r="J266">
        <v>148.22084045</v>
      </c>
      <c r="K266">
        <v>2400</v>
      </c>
      <c r="L266">
        <v>0</v>
      </c>
      <c r="M266">
        <v>0</v>
      </c>
      <c r="N266">
        <v>2400</v>
      </c>
    </row>
    <row r="267" spans="1:14" x14ac:dyDescent="0.25">
      <c r="A267">
        <v>61.705891000000001</v>
      </c>
      <c r="B267" s="1">
        <f>DATE(2010,7,1) + TIME(16,56,28)</f>
        <v>40360.705879629626</v>
      </c>
      <c r="C267">
        <v>80</v>
      </c>
      <c r="D267">
        <v>79.896179199000002</v>
      </c>
      <c r="E267">
        <v>50</v>
      </c>
      <c r="F267">
        <v>14.928289413</v>
      </c>
      <c r="G267">
        <v>1873.5559082</v>
      </c>
      <c r="H267">
        <v>1746.9532471</v>
      </c>
      <c r="I267">
        <v>543.43414307</v>
      </c>
      <c r="J267">
        <v>148.21566772</v>
      </c>
      <c r="K267">
        <v>2400</v>
      </c>
      <c r="L267">
        <v>0</v>
      </c>
      <c r="M267">
        <v>0</v>
      </c>
      <c r="N267">
        <v>2400</v>
      </c>
    </row>
    <row r="268" spans="1:14" x14ac:dyDescent="0.25">
      <c r="A268">
        <v>62.428919999999998</v>
      </c>
      <c r="B268" s="1">
        <f>DATE(2010,7,2) + TIME(10,17,38)</f>
        <v>40361.428912037038</v>
      </c>
      <c r="C268">
        <v>80</v>
      </c>
      <c r="D268">
        <v>79.896347046000002</v>
      </c>
      <c r="E268">
        <v>50</v>
      </c>
      <c r="F268">
        <v>14.928760529</v>
      </c>
      <c r="G268">
        <v>1872.9941406</v>
      </c>
      <c r="H268">
        <v>1746.3919678</v>
      </c>
      <c r="I268">
        <v>543.43255614999998</v>
      </c>
      <c r="J268">
        <v>148.21879577999999</v>
      </c>
      <c r="K268">
        <v>2400</v>
      </c>
      <c r="L268">
        <v>0</v>
      </c>
      <c r="M268">
        <v>0</v>
      </c>
      <c r="N268">
        <v>2400</v>
      </c>
    </row>
    <row r="269" spans="1:14" x14ac:dyDescent="0.25">
      <c r="A269">
        <v>63.160398000000001</v>
      </c>
      <c r="B269" s="1">
        <f>DATE(2010,7,3) + TIME(3,50,58)</f>
        <v>40362.160393518519</v>
      </c>
      <c r="C269">
        <v>80</v>
      </c>
      <c r="D269">
        <v>79.896492003999995</v>
      </c>
      <c r="E269">
        <v>50</v>
      </c>
      <c r="F269">
        <v>14.929244041</v>
      </c>
      <c r="G269">
        <v>1872.4202881000001</v>
      </c>
      <c r="H269">
        <v>1745.8184814000001</v>
      </c>
      <c r="I269">
        <v>543.43865966999999</v>
      </c>
      <c r="J269">
        <v>148.22966002999999</v>
      </c>
      <c r="K269">
        <v>2400</v>
      </c>
      <c r="L269">
        <v>0</v>
      </c>
      <c r="M269">
        <v>0</v>
      </c>
      <c r="N269">
        <v>2400</v>
      </c>
    </row>
    <row r="270" spans="1:14" x14ac:dyDescent="0.25">
      <c r="A270">
        <v>63.898736</v>
      </c>
      <c r="B270" s="1">
        <f>DATE(2010,7,3) + TIME(21,34,10)</f>
        <v>40362.898726851854</v>
      </c>
      <c r="C270">
        <v>80</v>
      </c>
      <c r="D270">
        <v>79.896629333000007</v>
      </c>
      <c r="E270">
        <v>50</v>
      </c>
      <c r="F270">
        <v>14.929733276</v>
      </c>
      <c r="G270">
        <v>1871.8372803</v>
      </c>
      <c r="H270">
        <v>1745.2358397999999</v>
      </c>
      <c r="I270">
        <v>543.45208739999998</v>
      </c>
      <c r="J270">
        <v>148.24797057999999</v>
      </c>
      <c r="K270">
        <v>2400</v>
      </c>
      <c r="L270">
        <v>0</v>
      </c>
      <c r="M270">
        <v>0</v>
      </c>
      <c r="N270">
        <v>2400</v>
      </c>
    </row>
    <row r="271" spans="1:14" x14ac:dyDescent="0.25">
      <c r="A271">
        <v>64.645848999999998</v>
      </c>
      <c r="B271" s="1">
        <f>DATE(2010,7,4) + TIME(15,30,1)</f>
        <v>40363.645844907405</v>
      </c>
      <c r="C271">
        <v>80</v>
      </c>
      <c r="D271">
        <v>79.896766662999994</v>
      </c>
      <c r="E271">
        <v>50</v>
      </c>
      <c r="F271">
        <v>14.930228232999999</v>
      </c>
      <c r="G271">
        <v>1871.2462158000001</v>
      </c>
      <c r="H271">
        <v>1744.6451416</v>
      </c>
      <c r="I271">
        <v>543.47283935999997</v>
      </c>
      <c r="J271">
        <v>148.27363586000001</v>
      </c>
      <c r="K271">
        <v>2400</v>
      </c>
      <c r="L271">
        <v>0</v>
      </c>
      <c r="M271">
        <v>0</v>
      </c>
      <c r="N271">
        <v>2400</v>
      </c>
    </row>
    <row r="272" spans="1:14" x14ac:dyDescent="0.25">
      <c r="A272">
        <v>65.019426999999993</v>
      </c>
      <c r="B272" s="1">
        <f>DATE(2010,7,5) + TIME(0,27,58)</f>
        <v>40364.019421296296</v>
      </c>
      <c r="C272">
        <v>80</v>
      </c>
      <c r="D272">
        <v>79.896720885999997</v>
      </c>
      <c r="E272">
        <v>50</v>
      </c>
      <c r="F272">
        <v>14.930562973000001</v>
      </c>
      <c r="G272">
        <v>1870.8968506000001</v>
      </c>
      <c r="H272">
        <v>1744.2958983999999</v>
      </c>
      <c r="I272">
        <v>543.48681640999996</v>
      </c>
      <c r="J272">
        <v>148.29092406999999</v>
      </c>
      <c r="K272">
        <v>2400</v>
      </c>
      <c r="L272">
        <v>0</v>
      </c>
      <c r="M272">
        <v>0</v>
      </c>
      <c r="N272">
        <v>2400</v>
      </c>
    </row>
    <row r="273" spans="1:14" x14ac:dyDescent="0.25">
      <c r="A273">
        <v>65.766583999999995</v>
      </c>
      <c r="B273" s="1">
        <f>DATE(2010,7,5) + TIME(18,23,52)</f>
        <v>40364.766574074078</v>
      </c>
      <c r="C273">
        <v>80</v>
      </c>
      <c r="D273">
        <v>79.896926879999995</v>
      </c>
      <c r="E273">
        <v>50</v>
      </c>
      <c r="F273">
        <v>14.931012153999999</v>
      </c>
      <c r="G273">
        <v>1870.3120117000001</v>
      </c>
      <c r="H273">
        <v>1743.7113036999999</v>
      </c>
      <c r="I273">
        <v>543.51654053000004</v>
      </c>
      <c r="J273">
        <v>148.32521057</v>
      </c>
      <c r="K273">
        <v>2400</v>
      </c>
      <c r="L273">
        <v>0</v>
      </c>
      <c r="M273">
        <v>0</v>
      </c>
      <c r="N273">
        <v>2400</v>
      </c>
    </row>
    <row r="274" spans="1:14" x14ac:dyDescent="0.25">
      <c r="A274">
        <v>66.513775999999993</v>
      </c>
      <c r="B274" s="1">
        <f>DATE(2010,7,6) + TIME(12,19,50)</f>
        <v>40365.513773148145</v>
      </c>
      <c r="C274">
        <v>80</v>
      </c>
      <c r="D274">
        <v>79.897109985</v>
      </c>
      <c r="E274">
        <v>50</v>
      </c>
      <c r="F274">
        <v>14.931484222</v>
      </c>
      <c r="G274">
        <v>1869.7342529</v>
      </c>
      <c r="H274">
        <v>1743.1340332</v>
      </c>
      <c r="I274">
        <v>543.55413818</v>
      </c>
      <c r="J274">
        <v>148.36752318999999</v>
      </c>
      <c r="K274">
        <v>2400</v>
      </c>
      <c r="L274">
        <v>0</v>
      </c>
      <c r="M274">
        <v>0</v>
      </c>
      <c r="N274">
        <v>2400</v>
      </c>
    </row>
    <row r="275" spans="1:14" x14ac:dyDescent="0.25">
      <c r="A275">
        <v>67.262732</v>
      </c>
      <c r="B275" s="1">
        <f>DATE(2010,7,7) + TIME(6,18,20)</f>
        <v>40366.262731481482</v>
      </c>
      <c r="C275">
        <v>80</v>
      </c>
      <c r="D275">
        <v>79.897262573000006</v>
      </c>
      <c r="E275">
        <v>50</v>
      </c>
      <c r="F275">
        <v>14.931965827999999</v>
      </c>
      <c r="G275">
        <v>1869.1495361</v>
      </c>
      <c r="H275">
        <v>1742.5495605000001</v>
      </c>
      <c r="I275">
        <v>543.59826659999999</v>
      </c>
      <c r="J275">
        <v>148.41644287</v>
      </c>
      <c r="K275">
        <v>2400</v>
      </c>
      <c r="L275">
        <v>0</v>
      </c>
      <c r="M275">
        <v>0</v>
      </c>
      <c r="N275">
        <v>2400</v>
      </c>
    </row>
    <row r="276" spans="1:14" x14ac:dyDescent="0.25">
      <c r="A276">
        <v>68.015069999999994</v>
      </c>
      <c r="B276" s="1">
        <f>DATE(2010,7,8) + TIME(0,21,42)</f>
        <v>40367.015069444446</v>
      </c>
      <c r="C276">
        <v>80</v>
      </c>
      <c r="D276">
        <v>79.897407532000003</v>
      </c>
      <c r="E276">
        <v>50</v>
      </c>
      <c r="F276">
        <v>14.932451248</v>
      </c>
      <c r="G276">
        <v>1868.5592041</v>
      </c>
      <c r="H276">
        <v>1741.9595947</v>
      </c>
      <c r="I276">
        <v>543.64855956999997</v>
      </c>
      <c r="J276">
        <v>148.47163391000001</v>
      </c>
      <c r="K276">
        <v>2400</v>
      </c>
      <c r="L276">
        <v>0</v>
      </c>
      <c r="M276">
        <v>0</v>
      </c>
      <c r="N276">
        <v>2400</v>
      </c>
    </row>
    <row r="277" spans="1:14" x14ac:dyDescent="0.25">
      <c r="A277">
        <v>68.772178999999994</v>
      </c>
      <c r="B277" s="1">
        <f>DATE(2010,7,8) + TIME(18,31,56)</f>
        <v>40367.772175925929</v>
      </c>
      <c r="C277">
        <v>80</v>
      </c>
      <c r="D277">
        <v>79.897544861</v>
      </c>
      <c r="E277">
        <v>50</v>
      </c>
      <c r="F277">
        <v>14.932939529</v>
      </c>
      <c r="G277">
        <v>1867.9647216999999</v>
      </c>
      <c r="H277">
        <v>1741.3654785000001</v>
      </c>
      <c r="I277">
        <v>543.70501708999996</v>
      </c>
      <c r="J277">
        <v>148.53295897999999</v>
      </c>
      <c r="K277">
        <v>2400</v>
      </c>
      <c r="L277">
        <v>0</v>
      </c>
      <c r="M277">
        <v>0</v>
      </c>
      <c r="N277">
        <v>2400</v>
      </c>
    </row>
    <row r="278" spans="1:14" x14ac:dyDescent="0.25">
      <c r="A278">
        <v>69.535388999999995</v>
      </c>
      <c r="B278" s="1">
        <f>DATE(2010,7,9) + TIME(12,50,57)</f>
        <v>40368.535381944443</v>
      </c>
      <c r="C278">
        <v>80</v>
      </c>
      <c r="D278">
        <v>79.897689818999993</v>
      </c>
      <c r="E278">
        <v>50</v>
      </c>
      <c r="F278">
        <v>14.933428764</v>
      </c>
      <c r="G278">
        <v>1867.3665771000001</v>
      </c>
      <c r="H278">
        <v>1740.7675781</v>
      </c>
      <c r="I278">
        <v>543.76751708999996</v>
      </c>
      <c r="J278">
        <v>148.60038757000001</v>
      </c>
      <c r="K278">
        <v>2400</v>
      </c>
      <c r="L278">
        <v>0</v>
      </c>
      <c r="M278">
        <v>0</v>
      </c>
      <c r="N278">
        <v>2400</v>
      </c>
    </row>
    <row r="279" spans="1:14" x14ac:dyDescent="0.25">
      <c r="A279">
        <v>70.305931000000001</v>
      </c>
      <c r="B279" s="1">
        <f>DATE(2010,7,10) + TIME(7,20,32)</f>
        <v>40369.305925925924</v>
      </c>
      <c r="C279">
        <v>80</v>
      </c>
      <c r="D279">
        <v>79.897834778000004</v>
      </c>
      <c r="E279">
        <v>50</v>
      </c>
      <c r="F279">
        <v>14.933918952999999</v>
      </c>
      <c r="G279">
        <v>1866.7644043</v>
      </c>
      <c r="H279">
        <v>1740.1657714999999</v>
      </c>
      <c r="I279">
        <v>543.83612060999997</v>
      </c>
      <c r="J279">
        <v>148.67395020000001</v>
      </c>
      <c r="K279">
        <v>2400</v>
      </c>
      <c r="L279">
        <v>0</v>
      </c>
      <c r="M279">
        <v>0</v>
      </c>
      <c r="N279">
        <v>2400</v>
      </c>
    </row>
    <row r="280" spans="1:14" x14ac:dyDescent="0.25">
      <c r="A280">
        <v>71.082870999999997</v>
      </c>
      <c r="B280" s="1">
        <f>DATE(2010,7,11) + TIME(1,59,20)</f>
        <v>40370.082870370374</v>
      </c>
      <c r="C280">
        <v>80</v>
      </c>
      <c r="D280">
        <v>79.897979735999996</v>
      </c>
      <c r="E280">
        <v>50</v>
      </c>
      <c r="F280">
        <v>14.934411048999999</v>
      </c>
      <c r="G280">
        <v>1866.1590576000001</v>
      </c>
      <c r="H280">
        <v>1739.5605469</v>
      </c>
      <c r="I280">
        <v>543.91064453000001</v>
      </c>
      <c r="J280">
        <v>148.75346375000001</v>
      </c>
      <c r="K280">
        <v>2400</v>
      </c>
      <c r="L280">
        <v>0</v>
      </c>
      <c r="M280">
        <v>0</v>
      </c>
      <c r="N280">
        <v>2400</v>
      </c>
    </row>
    <row r="281" spans="1:14" x14ac:dyDescent="0.25">
      <c r="A281">
        <v>71.867530000000002</v>
      </c>
      <c r="B281" s="1">
        <f>DATE(2010,7,11) + TIME(20,49,14)</f>
        <v>40370.867523148147</v>
      </c>
      <c r="C281">
        <v>80</v>
      </c>
      <c r="D281">
        <v>79.898132324000002</v>
      </c>
      <c r="E281">
        <v>50</v>
      </c>
      <c r="F281">
        <v>14.934905052</v>
      </c>
      <c r="G281">
        <v>1865.5496826000001</v>
      </c>
      <c r="H281">
        <v>1738.9515381000001</v>
      </c>
      <c r="I281">
        <v>543.99121093999997</v>
      </c>
      <c r="J281">
        <v>148.83897400000001</v>
      </c>
      <c r="K281">
        <v>2400</v>
      </c>
      <c r="L281">
        <v>0</v>
      </c>
      <c r="M281">
        <v>0</v>
      </c>
      <c r="N281">
        <v>2400</v>
      </c>
    </row>
    <row r="282" spans="1:14" x14ac:dyDescent="0.25">
      <c r="A282">
        <v>72.659886</v>
      </c>
      <c r="B282" s="1">
        <f>DATE(2010,7,12) + TIME(15,50,14)</f>
        <v>40371.659884259258</v>
      </c>
      <c r="C282">
        <v>80</v>
      </c>
      <c r="D282">
        <v>79.898284911999994</v>
      </c>
      <c r="E282">
        <v>50</v>
      </c>
      <c r="F282">
        <v>14.935400009</v>
      </c>
      <c r="G282">
        <v>1864.9366454999999</v>
      </c>
      <c r="H282">
        <v>1738.3387451000001</v>
      </c>
      <c r="I282">
        <v>544.07763671999999</v>
      </c>
      <c r="J282">
        <v>148.93041991999999</v>
      </c>
      <c r="K282">
        <v>2400</v>
      </c>
      <c r="L282">
        <v>0</v>
      </c>
      <c r="M282">
        <v>0</v>
      </c>
      <c r="N282">
        <v>2400</v>
      </c>
    </row>
    <row r="283" spans="1:14" x14ac:dyDescent="0.25">
      <c r="A283">
        <v>73.458040999999994</v>
      </c>
      <c r="B283" s="1">
        <f>DATE(2010,7,13) + TIME(10,59,34)</f>
        <v>40372.458032407405</v>
      </c>
      <c r="C283">
        <v>80</v>
      </c>
      <c r="D283">
        <v>79.8984375</v>
      </c>
      <c r="E283">
        <v>50</v>
      </c>
      <c r="F283">
        <v>14.93589592</v>
      </c>
      <c r="G283">
        <v>1864.3210449000001</v>
      </c>
      <c r="H283">
        <v>1737.7232666</v>
      </c>
      <c r="I283">
        <v>544.16967772999999</v>
      </c>
      <c r="J283">
        <v>149.02748108</v>
      </c>
      <c r="K283">
        <v>2400</v>
      </c>
      <c r="L283">
        <v>0</v>
      </c>
      <c r="M283">
        <v>0</v>
      </c>
      <c r="N283">
        <v>2400</v>
      </c>
    </row>
    <row r="284" spans="1:14" x14ac:dyDescent="0.25">
      <c r="A284">
        <v>74.263356000000002</v>
      </c>
      <c r="B284" s="1">
        <f>DATE(2010,7,14) + TIME(6,19,13)</f>
        <v>40373.263344907406</v>
      </c>
      <c r="C284">
        <v>80</v>
      </c>
      <c r="D284">
        <v>79.898590088000006</v>
      </c>
      <c r="E284">
        <v>50</v>
      </c>
      <c r="F284">
        <v>14.936393738</v>
      </c>
      <c r="G284">
        <v>1863.7021483999999</v>
      </c>
      <c r="H284">
        <v>1737.1047363</v>
      </c>
      <c r="I284">
        <v>544.26733397999999</v>
      </c>
      <c r="J284">
        <v>149.13023376000001</v>
      </c>
      <c r="K284">
        <v>2400</v>
      </c>
      <c r="L284">
        <v>0</v>
      </c>
      <c r="M284">
        <v>0</v>
      </c>
      <c r="N284">
        <v>2400</v>
      </c>
    </row>
    <row r="285" spans="1:14" x14ac:dyDescent="0.25">
      <c r="A285">
        <v>75.077202</v>
      </c>
      <c r="B285" s="1">
        <f>DATE(2010,7,15) + TIME(1,51,10)</f>
        <v>40374.077199074076</v>
      </c>
      <c r="C285">
        <v>80</v>
      </c>
      <c r="D285">
        <v>79.898742675999998</v>
      </c>
      <c r="E285">
        <v>50</v>
      </c>
      <c r="F285">
        <v>14.936892509</v>
      </c>
      <c r="G285">
        <v>1863.0794678</v>
      </c>
      <c r="H285">
        <v>1736.4822998</v>
      </c>
      <c r="I285">
        <v>544.37078856999995</v>
      </c>
      <c r="J285">
        <v>149.23873900999999</v>
      </c>
      <c r="K285">
        <v>2400</v>
      </c>
      <c r="L285">
        <v>0</v>
      </c>
      <c r="M285">
        <v>0</v>
      </c>
      <c r="N285">
        <v>2400</v>
      </c>
    </row>
    <row r="286" spans="1:14" x14ac:dyDescent="0.25">
      <c r="A286">
        <v>75.893862999999996</v>
      </c>
      <c r="B286" s="1">
        <f>DATE(2010,7,15) + TIME(21,27,9)</f>
        <v>40374.893854166665</v>
      </c>
      <c r="C286">
        <v>80</v>
      </c>
      <c r="D286">
        <v>79.898895264000004</v>
      </c>
      <c r="E286">
        <v>50</v>
      </c>
      <c r="F286">
        <v>14.937392235000001</v>
      </c>
      <c r="G286">
        <v>1862.4562988</v>
      </c>
      <c r="H286">
        <v>1735.859375</v>
      </c>
      <c r="I286">
        <v>544.47918701000003</v>
      </c>
      <c r="J286">
        <v>149.35221863000001</v>
      </c>
      <c r="K286">
        <v>2400</v>
      </c>
      <c r="L286">
        <v>0</v>
      </c>
      <c r="M286">
        <v>0</v>
      </c>
      <c r="N286">
        <v>2400</v>
      </c>
    </row>
    <row r="287" spans="1:14" x14ac:dyDescent="0.25">
      <c r="A287">
        <v>76.710908000000003</v>
      </c>
      <c r="B287" s="1">
        <f>DATE(2010,7,16) + TIME(17,3,42)</f>
        <v>40375.710902777777</v>
      </c>
      <c r="C287">
        <v>80</v>
      </c>
      <c r="D287">
        <v>79.899047851999995</v>
      </c>
      <c r="E287">
        <v>50</v>
      </c>
      <c r="F287">
        <v>14.937890053</v>
      </c>
      <c r="G287">
        <v>1861.8341064000001</v>
      </c>
      <c r="H287">
        <v>1735.2373047000001</v>
      </c>
      <c r="I287">
        <v>544.59197998000002</v>
      </c>
      <c r="J287">
        <v>149.47012329</v>
      </c>
      <c r="K287">
        <v>2400</v>
      </c>
      <c r="L287">
        <v>0</v>
      </c>
      <c r="M287">
        <v>0</v>
      </c>
      <c r="N287">
        <v>2400</v>
      </c>
    </row>
    <row r="288" spans="1:14" x14ac:dyDescent="0.25">
      <c r="A288">
        <v>77.529981000000006</v>
      </c>
      <c r="B288" s="1">
        <f>DATE(2010,7,17) + TIME(12,43,10)</f>
        <v>40376.529976851853</v>
      </c>
      <c r="C288">
        <v>80</v>
      </c>
      <c r="D288">
        <v>79.899200438999998</v>
      </c>
      <c r="E288">
        <v>50</v>
      </c>
      <c r="F288">
        <v>14.938385963</v>
      </c>
      <c r="G288">
        <v>1861.2124022999999</v>
      </c>
      <c r="H288">
        <v>1734.6159668</v>
      </c>
      <c r="I288">
        <v>544.70935058999999</v>
      </c>
      <c r="J288">
        <v>149.5925293</v>
      </c>
      <c r="K288">
        <v>2400</v>
      </c>
      <c r="L288">
        <v>0</v>
      </c>
      <c r="M288">
        <v>0</v>
      </c>
      <c r="N288">
        <v>2400</v>
      </c>
    </row>
    <row r="289" spans="1:14" x14ac:dyDescent="0.25">
      <c r="A289">
        <v>78.352598</v>
      </c>
      <c r="B289" s="1">
        <f>DATE(2010,7,18) + TIME(8,27,44)</f>
        <v>40377.352592592593</v>
      </c>
      <c r="C289">
        <v>80</v>
      </c>
      <c r="D289">
        <v>79.899360657000003</v>
      </c>
      <c r="E289">
        <v>50</v>
      </c>
      <c r="F289">
        <v>14.938880920000001</v>
      </c>
      <c r="G289">
        <v>1860.5909423999999</v>
      </c>
      <c r="H289">
        <v>1733.9946289</v>
      </c>
      <c r="I289">
        <v>544.83129883000004</v>
      </c>
      <c r="J289">
        <v>149.71952820000001</v>
      </c>
      <c r="K289">
        <v>2400</v>
      </c>
      <c r="L289">
        <v>0</v>
      </c>
      <c r="M289">
        <v>0</v>
      </c>
      <c r="N289">
        <v>2400</v>
      </c>
    </row>
    <row r="290" spans="1:14" x14ac:dyDescent="0.25">
      <c r="A290">
        <v>79.180231000000006</v>
      </c>
      <c r="B290" s="1">
        <f>DATE(2010,7,19) + TIME(4,19,31)</f>
        <v>40378.180219907408</v>
      </c>
      <c r="C290">
        <v>80</v>
      </c>
      <c r="D290">
        <v>79.899513244999994</v>
      </c>
      <c r="E290">
        <v>50</v>
      </c>
      <c r="F290">
        <v>14.939374923999999</v>
      </c>
      <c r="G290">
        <v>1859.96875</v>
      </c>
      <c r="H290">
        <v>1733.3726807</v>
      </c>
      <c r="I290">
        <v>544.95794678000004</v>
      </c>
      <c r="J290">
        <v>149.85124207000001</v>
      </c>
      <c r="K290">
        <v>2400</v>
      </c>
      <c r="L290">
        <v>0</v>
      </c>
      <c r="M290">
        <v>0</v>
      </c>
      <c r="N290">
        <v>2400</v>
      </c>
    </row>
    <row r="291" spans="1:14" x14ac:dyDescent="0.25">
      <c r="A291">
        <v>80.012710999999996</v>
      </c>
      <c r="B291" s="1">
        <f>DATE(2010,7,20) + TIME(0,18,18)</f>
        <v>40379.012708333335</v>
      </c>
      <c r="C291">
        <v>80</v>
      </c>
      <c r="D291">
        <v>79.899673461999996</v>
      </c>
      <c r="E291">
        <v>50</v>
      </c>
      <c r="F291">
        <v>14.939867973</v>
      </c>
      <c r="G291">
        <v>1859.3459473</v>
      </c>
      <c r="H291">
        <v>1732.7501221</v>
      </c>
      <c r="I291">
        <v>545.08917236000002</v>
      </c>
      <c r="J291">
        <v>149.98754883000001</v>
      </c>
      <c r="K291">
        <v>2400</v>
      </c>
      <c r="L291">
        <v>0</v>
      </c>
      <c r="M291">
        <v>0</v>
      </c>
      <c r="N291">
        <v>2400</v>
      </c>
    </row>
    <row r="292" spans="1:14" x14ac:dyDescent="0.25">
      <c r="A292">
        <v>80.850431999999998</v>
      </c>
      <c r="B292" s="1">
        <f>DATE(2010,7,20) + TIME(20,24,37)</f>
        <v>40379.850428240738</v>
      </c>
      <c r="C292">
        <v>80</v>
      </c>
      <c r="D292">
        <v>79.899826050000001</v>
      </c>
      <c r="E292">
        <v>50</v>
      </c>
      <c r="F292">
        <v>14.940361022999999</v>
      </c>
      <c r="G292">
        <v>1858.7224120999999</v>
      </c>
      <c r="H292">
        <v>1732.1267089999999</v>
      </c>
      <c r="I292">
        <v>545.22497558999999</v>
      </c>
      <c r="J292">
        <v>150.12843323000001</v>
      </c>
      <c r="K292">
        <v>2400</v>
      </c>
      <c r="L292">
        <v>0</v>
      </c>
      <c r="M292">
        <v>0</v>
      </c>
      <c r="N292">
        <v>2400</v>
      </c>
    </row>
    <row r="293" spans="1:14" x14ac:dyDescent="0.25">
      <c r="A293">
        <v>81.694851</v>
      </c>
      <c r="B293" s="1">
        <f>DATE(2010,7,21) + TIME(16,40,35)</f>
        <v>40380.694849537038</v>
      </c>
      <c r="C293">
        <v>80</v>
      </c>
      <c r="D293">
        <v>79.899986267000003</v>
      </c>
      <c r="E293">
        <v>50</v>
      </c>
      <c r="F293">
        <v>14.940855025999999</v>
      </c>
      <c r="G293">
        <v>1858.097168</v>
      </c>
      <c r="H293">
        <v>1731.5018310999999</v>
      </c>
      <c r="I293">
        <v>545.36553954999999</v>
      </c>
      <c r="J293">
        <v>150.27403258999999</v>
      </c>
      <c r="K293">
        <v>2400</v>
      </c>
      <c r="L293">
        <v>0</v>
      </c>
      <c r="M293">
        <v>0</v>
      </c>
      <c r="N293">
        <v>2400</v>
      </c>
    </row>
    <row r="294" spans="1:14" x14ac:dyDescent="0.25">
      <c r="A294">
        <v>82.543598000000003</v>
      </c>
      <c r="B294" s="1">
        <f>DATE(2010,7,22) + TIME(13,2,46)</f>
        <v>40381.543587962966</v>
      </c>
      <c r="C294">
        <v>80</v>
      </c>
      <c r="D294">
        <v>79.900146484000004</v>
      </c>
      <c r="E294">
        <v>50</v>
      </c>
      <c r="F294">
        <v>14.941348076000001</v>
      </c>
      <c r="G294">
        <v>1857.4716797000001</v>
      </c>
      <c r="H294">
        <v>1730.8764647999999</v>
      </c>
      <c r="I294">
        <v>545.51031493999994</v>
      </c>
      <c r="J294">
        <v>150.42388915999999</v>
      </c>
      <c r="K294">
        <v>2400</v>
      </c>
      <c r="L294">
        <v>0</v>
      </c>
      <c r="M294">
        <v>0</v>
      </c>
      <c r="N294">
        <v>2400</v>
      </c>
    </row>
    <row r="295" spans="1:14" x14ac:dyDescent="0.25">
      <c r="A295">
        <v>83.397199999999998</v>
      </c>
      <c r="B295" s="1">
        <f>DATE(2010,7,23) + TIME(9,31,58)</f>
        <v>40382.397199074076</v>
      </c>
      <c r="C295">
        <v>80</v>
      </c>
      <c r="D295">
        <v>79.900306701999995</v>
      </c>
      <c r="E295">
        <v>50</v>
      </c>
      <c r="F295">
        <v>14.941841125</v>
      </c>
      <c r="G295">
        <v>1856.8457031</v>
      </c>
      <c r="H295">
        <v>1730.2506103999999</v>
      </c>
      <c r="I295">
        <v>545.65930175999995</v>
      </c>
      <c r="J295">
        <v>150.57801818999999</v>
      </c>
      <c r="K295">
        <v>2400</v>
      </c>
      <c r="L295">
        <v>0</v>
      </c>
      <c r="M295">
        <v>0</v>
      </c>
      <c r="N295">
        <v>2400</v>
      </c>
    </row>
    <row r="296" spans="1:14" x14ac:dyDescent="0.25">
      <c r="A296">
        <v>84.257153000000002</v>
      </c>
      <c r="B296" s="1">
        <f>DATE(2010,7,24) + TIME(6,10,18)</f>
        <v>40383.257152777776</v>
      </c>
      <c r="C296">
        <v>80</v>
      </c>
      <c r="D296">
        <v>79.900466918999996</v>
      </c>
      <c r="E296">
        <v>50</v>
      </c>
      <c r="F296">
        <v>14.942334174999999</v>
      </c>
      <c r="G296">
        <v>1856.2183838000001</v>
      </c>
      <c r="H296">
        <v>1729.6234131000001</v>
      </c>
      <c r="I296">
        <v>545.81280518000005</v>
      </c>
      <c r="J296">
        <v>150.73657227000001</v>
      </c>
      <c r="K296">
        <v>2400</v>
      </c>
      <c r="L296">
        <v>0</v>
      </c>
      <c r="M296">
        <v>0</v>
      </c>
      <c r="N296">
        <v>2400</v>
      </c>
    </row>
    <row r="297" spans="1:14" x14ac:dyDescent="0.25">
      <c r="A297">
        <v>85.121319</v>
      </c>
      <c r="B297" s="1">
        <f>DATE(2010,7,25) + TIME(2,54,41)</f>
        <v>40384.121307870373</v>
      </c>
      <c r="C297">
        <v>80</v>
      </c>
      <c r="D297">
        <v>79.900627135999997</v>
      </c>
      <c r="E297">
        <v>50</v>
      </c>
      <c r="F297">
        <v>14.942827225</v>
      </c>
      <c r="G297">
        <v>1855.5909423999999</v>
      </c>
      <c r="H297">
        <v>1728.9962158000001</v>
      </c>
      <c r="I297">
        <v>545.97021484000004</v>
      </c>
      <c r="J297">
        <v>150.8991394</v>
      </c>
      <c r="K297">
        <v>2400</v>
      </c>
      <c r="L297">
        <v>0</v>
      </c>
      <c r="M297">
        <v>0</v>
      </c>
      <c r="N297">
        <v>2400</v>
      </c>
    </row>
    <row r="298" spans="1:14" x14ac:dyDescent="0.25">
      <c r="A298">
        <v>85.987993000000003</v>
      </c>
      <c r="B298" s="1">
        <f>DATE(2010,7,25) + TIME(23,42,42)</f>
        <v>40384.987986111111</v>
      </c>
      <c r="C298">
        <v>80</v>
      </c>
      <c r="D298">
        <v>79.900787354000002</v>
      </c>
      <c r="E298">
        <v>50</v>
      </c>
      <c r="F298">
        <v>14.943319321000001</v>
      </c>
      <c r="G298">
        <v>1854.9644774999999</v>
      </c>
      <c r="H298">
        <v>1728.3699951000001</v>
      </c>
      <c r="I298">
        <v>546.13128661999997</v>
      </c>
      <c r="J298">
        <v>151.06532288</v>
      </c>
      <c r="K298">
        <v>2400</v>
      </c>
      <c r="L298">
        <v>0</v>
      </c>
      <c r="M298">
        <v>0</v>
      </c>
      <c r="N298">
        <v>2400</v>
      </c>
    </row>
    <row r="299" spans="1:14" x14ac:dyDescent="0.25">
      <c r="A299">
        <v>86.858797999999993</v>
      </c>
      <c r="B299" s="1">
        <f>DATE(2010,7,26) + TIME(20,36,40)</f>
        <v>40385.858796296299</v>
      </c>
      <c r="C299">
        <v>80</v>
      </c>
      <c r="D299">
        <v>79.900947571000003</v>
      </c>
      <c r="E299">
        <v>50</v>
      </c>
      <c r="F299">
        <v>14.943810463</v>
      </c>
      <c r="G299">
        <v>1854.3382568</v>
      </c>
      <c r="H299">
        <v>1727.7438964999999</v>
      </c>
      <c r="I299">
        <v>546.29620361000002</v>
      </c>
      <c r="J299">
        <v>151.2353363</v>
      </c>
      <c r="K299">
        <v>2400</v>
      </c>
      <c r="L299">
        <v>0</v>
      </c>
      <c r="M299">
        <v>0</v>
      </c>
      <c r="N299">
        <v>2400</v>
      </c>
    </row>
    <row r="300" spans="1:14" x14ac:dyDescent="0.25">
      <c r="A300">
        <v>87.735293999999996</v>
      </c>
      <c r="B300" s="1">
        <f>DATE(2010,7,27) + TIME(17,38,49)</f>
        <v>40386.735289351855</v>
      </c>
      <c r="C300">
        <v>80</v>
      </c>
      <c r="D300">
        <v>79.901107788000004</v>
      </c>
      <c r="E300">
        <v>50</v>
      </c>
      <c r="F300">
        <v>14.944301605</v>
      </c>
      <c r="G300">
        <v>1853.7115478999999</v>
      </c>
      <c r="H300">
        <v>1727.1174315999999</v>
      </c>
      <c r="I300">
        <v>546.46520996000004</v>
      </c>
      <c r="J300">
        <v>151.40942383000001</v>
      </c>
      <c r="K300">
        <v>2400</v>
      </c>
      <c r="L300">
        <v>0</v>
      </c>
      <c r="M300">
        <v>0</v>
      </c>
      <c r="N300">
        <v>2400</v>
      </c>
    </row>
    <row r="301" spans="1:14" x14ac:dyDescent="0.25">
      <c r="A301">
        <v>88.619314000000003</v>
      </c>
      <c r="B301" s="1">
        <f>DATE(2010,7,28) + TIME(14,51,48)</f>
        <v>40387.619305555556</v>
      </c>
      <c r="C301">
        <v>80</v>
      </c>
      <c r="D301">
        <v>79.901268005000006</v>
      </c>
      <c r="E301">
        <v>50</v>
      </c>
      <c r="F301">
        <v>14.944792746999999</v>
      </c>
      <c r="G301">
        <v>1853.0834961</v>
      </c>
      <c r="H301">
        <v>1726.4893798999999</v>
      </c>
      <c r="I301">
        <v>546.63854979999996</v>
      </c>
      <c r="J301">
        <v>151.58790587999999</v>
      </c>
      <c r="K301">
        <v>2400</v>
      </c>
      <c r="L301">
        <v>0</v>
      </c>
      <c r="M301">
        <v>0</v>
      </c>
      <c r="N301">
        <v>2400</v>
      </c>
    </row>
    <row r="302" spans="1:14" x14ac:dyDescent="0.25">
      <c r="A302">
        <v>89.508093000000002</v>
      </c>
      <c r="B302" s="1">
        <f>DATE(2010,7,29) + TIME(12,11,39)</f>
        <v>40388.508090277777</v>
      </c>
      <c r="C302">
        <v>80</v>
      </c>
      <c r="D302">
        <v>79.901435852000006</v>
      </c>
      <c r="E302">
        <v>50</v>
      </c>
      <c r="F302">
        <v>14.945284843</v>
      </c>
      <c r="G302">
        <v>1852.4552002</v>
      </c>
      <c r="H302">
        <v>1725.8613281</v>
      </c>
      <c r="I302">
        <v>546.81573486000002</v>
      </c>
      <c r="J302">
        <v>151.77021790000001</v>
      </c>
      <c r="K302">
        <v>2400</v>
      </c>
      <c r="L302">
        <v>0</v>
      </c>
      <c r="M302">
        <v>0</v>
      </c>
      <c r="N302">
        <v>2400</v>
      </c>
    </row>
    <row r="303" spans="1:14" x14ac:dyDescent="0.25">
      <c r="A303">
        <v>90.399929999999998</v>
      </c>
      <c r="B303" s="1">
        <f>DATE(2010,7,30) + TIME(9,35,53)</f>
        <v>40389.399918981479</v>
      </c>
      <c r="C303">
        <v>80</v>
      </c>
      <c r="D303">
        <v>79.901596068999993</v>
      </c>
      <c r="E303">
        <v>50</v>
      </c>
      <c r="F303">
        <v>14.945775032</v>
      </c>
      <c r="G303">
        <v>1851.8278809000001</v>
      </c>
      <c r="H303">
        <v>1725.2341309000001</v>
      </c>
      <c r="I303">
        <v>546.99633788999995</v>
      </c>
      <c r="J303">
        <v>151.95596312999999</v>
      </c>
      <c r="K303">
        <v>2400</v>
      </c>
      <c r="L303">
        <v>0</v>
      </c>
      <c r="M303">
        <v>0</v>
      </c>
      <c r="N303">
        <v>2400</v>
      </c>
    </row>
    <row r="304" spans="1:14" x14ac:dyDescent="0.25">
      <c r="A304">
        <v>91.295668000000006</v>
      </c>
      <c r="B304" s="1">
        <f>DATE(2010,7,31) + TIME(7,5,45)</f>
        <v>40390.295659722222</v>
      </c>
      <c r="C304">
        <v>80</v>
      </c>
      <c r="D304">
        <v>79.901756286999998</v>
      </c>
      <c r="E304">
        <v>50</v>
      </c>
      <c r="F304">
        <v>14.946265221000001</v>
      </c>
      <c r="G304">
        <v>1851.2010498</v>
      </c>
      <c r="H304">
        <v>1724.6075439000001</v>
      </c>
      <c r="I304">
        <v>547.18054199000005</v>
      </c>
      <c r="J304">
        <v>152.14524840999999</v>
      </c>
      <c r="K304">
        <v>2400</v>
      </c>
      <c r="L304">
        <v>0</v>
      </c>
      <c r="M304">
        <v>0</v>
      </c>
      <c r="N304">
        <v>2400</v>
      </c>
    </row>
    <row r="305" spans="1:14" x14ac:dyDescent="0.25">
      <c r="A305">
        <v>92</v>
      </c>
      <c r="B305" s="1">
        <f>DATE(2010,8,1) + TIME(0,0,0)</f>
        <v>40391</v>
      </c>
      <c r="C305">
        <v>80</v>
      </c>
      <c r="D305">
        <v>79.901840210000003</v>
      </c>
      <c r="E305">
        <v>50</v>
      </c>
      <c r="F305">
        <v>14.946702956999999</v>
      </c>
      <c r="G305">
        <v>1850.6843262</v>
      </c>
      <c r="H305">
        <v>1724.0908202999999</v>
      </c>
      <c r="I305">
        <v>547.32836913999995</v>
      </c>
      <c r="J305">
        <v>152.29763793999999</v>
      </c>
      <c r="K305">
        <v>2400</v>
      </c>
      <c r="L305">
        <v>0</v>
      </c>
      <c r="M305">
        <v>0</v>
      </c>
      <c r="N305">
        <v>2400</v>
      </c>
    </row>
    <row r="306" spans="1:14" x14ac:dyDescent="0.25">
      <c r="A306">
        <v>92.897023000000004</v>
      </c>
      <c r="B306" s="1">
        <f>DATE(2010,8,1) + TIME(21,31,42)</f>
        <v>40391.897013888891</v>
      </c>
      <c r="C306">
        <v>80</v>
      </c>
      <c r="D306">
        <v>79.902030945000007</v>
      </c>
      <c r="E306">
        <v>50</v>
      </c>
      <c r="F306">
        <v>14.947160720999999</v>
      </c>
      <c r="G306">
        <v>1850.065918</v>
      </c>
      <c r="H306">
        <v>1723.4726562000001</v>
      </c>
      <c r="I306">
        <v>547.51751708999996</v>
      </c>
      <c r="J306">
        <v>152.49165343999999</v>
      </c>
      <c r="K306">
        <v>2400</v>
      </c>
      <c r="L306">
        <v>0</v>
      </c>
      <c r="M306">
        <v>0</v>
      </c>
      <c r="N306">
        <v>2400</v>
      </c>
    </row>
    <row r="307" spans="1:14" x14ac:dyDescent="0.25">
      <c r="A307">
        <v>93.801284999999993</v>
      </c>
      <c r="B307" s="1">
        <f>DATE(2010,8,2) + TIME(19,13,51)</f>
        <v>40392.80128472222</v>
      </c>
      <c r="C307">
        <v>80</v>
      </c>
      <c r="D307">
        <v>79.902214049999998</v>
      </c>
      <c r="E307">
        <v>50</v>
      </c>
      <c r="F307">
        <v>14.947634697</v>
      </c>
      <c r="G307">
        <v>1849.4499512</v>
      </c>
      <c r="H307">
        <v>1722.8568115</v>
      </c>
      <c r="I307">
        <v>547.71142578000001</v>
      </c>
      <c r="J307">
        <v>152.69052124000001</v>
      </c>
      <c r="K307">
        <v>2400</v>
      </c>
      <c r="L307">
        <v>0</v>
      </c>
      <c r="M307">
        <v>0</v>
      </c>
      <c r="N307">
        <v>2400</v>
      </c>
    </row>
    <row r="308" spans="1:14" x14ac:dyDescent="0.25">
      <c r="A308">
        <v>94.706451000000001</v>
      </c>
      <c r="B308" s="1">
        <f>DATE(2010,8,3) + TIME(16,57,17)</f>
        <v>40393.706446759257</v>
      </c>
      <c r="C308">
        <v>80</v>
      </c>
      <c r="D308">
        <v>79.902381896999998</v>
      </c>
      <c r="E308">
        <v>50</v>
      </c>
      <c r="F308">
        <v>14.948114394999999</v>
      </c>
      <c r="G308">
        <v>1848.8338623</v>
      </c>
      <c r="H308">
        <v>1722.2408447</v>
      </c>
      <c r="I308">
        <v>547.90795897999999</v>
      </c>
      <c r="J308">
        <v>152.89212036000001</v>
      </c>
      <c r="K308">
        <v>2400</v>
      </c>
      <c r="L308">
        <v>0</v>
      </c>
      <c r="M308">
        <v>0</v>
      </c>
      <c r="N308">
        <v>2400</v>
      </c>
    </row>
    <row r="309" spans="1:14" x14ac:dyDescent="0.25">
      <c r="A309">
        <v>95.612285</v>
      </c>
      <c r="B309" s="1">
        <f>DATE(2010,8,4) + TIME(14,41,41)</f>
        <v>40394.612280092595</v>
      </c>
      <c r="C309">
        <v>80</v>
      </c>
      <c r="D309">
        <v>79.902542113999999</v>
      </c>
      <c r="E309">
        <v>50</v>
      </c>
      <c r="F309">
        <v>14.948596953999999</v>
      </c>
      <c r="G309">
        <v>1848.2185059000001</v>
      </c>
      <c r="H309">
        <v>1721.6257324000001</v>
      </c>
      <c r="I309">
        <v>548.10699463000003</v>
      </c>
      <c r="J309">
        <v>153.09622192</v>
      </c>
      <c r="K309">
        <v>2400</v>
      </c>
      <c r="L309">
        <v>0</v>
      </c>
      <c r="M309">
        <v>0</v>
      </c>
      <c r="N309">
        <v>2400</v>
      </c>
    </row>
    <row r="310" spans="1:14" x14ac:dyDescent="0.25">
      <c r="A310">
        <v>96.52064</v>
      </c>
      <c r="B310" s="1">
        <f>DATE(2010,8,5) + TIME(12,29,43)</f>
        <v>40395.520636574074</v>
      </c>
      <c r="C310">
        <v>80</v>
      </c>
      <c r="D310">
        <v>79.902702332000004</v>
      </c>
      <c r="E310">
        <v>50</v>
      </c>
      <c r="F310">
        <v>14.94907856</v>
      </c>
      <c r="G310">
        <v>1847.6038818</v>
      </c>
      <c r="H310">
        <v>1721.0112305</v>
      </c>
      <c r="I310">
        <v>548.30895996000004</v>
      </c>
      <c r="J310">
        <v>153.30325317</v>
      </c>
      <c r="K310">
        <v>2400</v>
      </c>
      <c r="L310">
        <v>0</v>
      </c>
      <c r="M310">
        <v>0</v>
      </c>
      <c r="N310">
        <v>2400</v>
      </c>
    </row>
    <row r="311" spans="1:14" x14ac:dyDescent="0.25">
      <c r="A311">
        <v>97.433330999999995</v>
      </c>
      <c r="B311" s="1">
        <f>DATE(2010,8,6) + TIME(10,23,59)</f>
        <v>40396.433321759258</v>
      </c>
      <c r="C311">
        <v>80</v>
      </c>
      <c r="D311">
        <v>79.902862549000005</v>
      </c>
      <c r="E311">
        <v>50</v>
      </c>
      <c r="F311">
        <v>14.949561119</v>
      </c>
      <c r="G311">
        <v>1846.989624</v>
      </c>
      <c r="H311">
        <v>1720.3969727000001</v>
      </c>
      <c r="I311">
        <v>548.51422118999994</v>
      </c>
      <c r="J311">
        <v>153.51364136000001</v>
      </c>
      <c r="K311">
        <v>2400</v>
      </c>
      <c r="L311">
        <v>0</v>
      </c>
      <c r="M311">
        <v>0</v>
      </c>
      <c r="N311">
        <v>2400</v>
      </c>
    </row>
    <row r="312" spans="1:14" x14ac:dyDescent="0.25">
      <c r="A312">
        <v>98.352044000000006</v>
      </c>
      <c r="B312" s="1">
        <f>DATE(2010,8,7) + TIME(8,26,56)</f>
        <v>40397.352037037039</v>
      </c>
      <c r="C312">
        <v>80</v>
      </c>
      <c r="D312">
        <v>79.903022766000007</v>
      </c>
      <c r="E312">
        <v>50</v>
      </c>
      <c r="F312">
        <v>14.950042724999999</v>
      </c>
      <c r="G312">
        <v>1846.3748779</v>
      </c>
      <c r="H312">
        <v>1719.7824707</v>
      </c>
      <c r="I312">
        <v>548.72326659999999</v>
      </c>
      <c r="J312">
        <v>153.72779846</v>
      </c>
      <c r="K312">
        <v>2400</v>
      </c>
      <c r="L312">
        <v>0</v>
      </c>
      <c r="M312">
        <v>0</v>
      </c>
      <c r="N312">
        <v>2400</v>
      </c>
    </row>
    <row r="313" spans="1:14" x14ac:dyDescent="0.25">
      <c r="A313">
        <v>99.278430999999998</v>
      </c>
      <c r="B313" s="1">
        <f>DATE(2010,8,8) + TIME(6,40,56)</f>
        <v>40398.278425925928</v>
      </c>
      <c r="C313">
        <v>80</v>
      </c>
      <c r="D313">
        <v>79.903190613000007</v>
      </c>
      <c r="E313">
        <v>50</v>
      </c>
      <c r="F313">
        <v>14.950526237</v>
      </c>
      <c r="G313">
        <v>1845.7590332</v>
      </c>
      <c r="H313">
        <v>1719.1667480000001</v>
      </c>
      <c r="I313">
        <v>548.93646239999998</v>
      </c>
      <c r="J313">
        <v>153.94612122000001</v>
      </c>
      <c r="K313">
        <v>2400</v>
      </c>
      <c r="L313">
        <v>0</v>
      </c>
      <c r="M313">
        <v>0</v>
      </c>
      <c r="N313">
        <v>2400</v>
      </c>
    </row>
    <row r="314" spans="1:14" x14ac:dyDescent="0.25">
      <c r="A314">
        <v>100.214367</v>
      </c>
      <c r="B314" s="1">
        <f>DATE(2010,8,9) + TIME(5,8,41)</f>
        <v>40399.214363425926</v>
      </c>
      <c r="C314">
        <v>80</v>
      </c>
      <c r="D314">
        <v>79.903350829999994</v>
      </c>
      <c r="E314">
        <v>50</v>
      </c>
      <c r="F314">
        <v>14.951012610999999</v>
      </c>
      <c r="G314">
        <v>1845.1409911999999</v>
      </c>
      <c r="H314">
        <v>1718.5488281</v>
      </c>
      <c r="I314">
        <v>549.15429687999995</v>
      </c>
      <c r="J314">
        <v>154.16908264</v>
      </c>
      <c r="K314">
        <v>2400</v>
      </c>
      <c r="L314">
        <v>0</v>
      </c>
      <c r="M314">
        <v>0</v>
      </c>
      <c r="N314">
        <v>2400</v>
      </c>
    </row>
    <row r="315" spans="1:14" x14ac:dyDescent="0.25">
      <c r="A315">
        <v>100.684281</v>
      </c>
      <c r="B315" s="1">
        <f>DATE(2010,8,9) + TIME(16,25,21)</f>
        <v>40399.684270833335</v>
      </c>
      <c r="C315">
        <v>80</v>
      </c>
      <c r="D315">
        <v>79.903366089000002</v>
      </c>
      <c r="E315">
        <v>50</v>
      </c>
      <c r="F315">
        <v>14.95135498</v>
      </c>
      <c r="G315">
        <v>1844.7973632999999</v>
      </c>
      <c r="H315">
        <v>1718.2050781</v>
      </c>
      <c r="I315">
        <v>549.26678466999999</v>
      </c>
      <c r="J315">
        <v>154.28518677</v>
      </c>
      <c r="K315">
        <v>2400</v>
      </c>
      <c r="L315">
        <v>0</v>
      </c>
      <c r="M315">
        <v>0</v>
      </c>
      <c r="N315">
        <v>2400</v>
      </c>
    </row>
    <row r="316" spans="1:14" x14ac:dyDescent="0.25">
      <c r="A316">
        <v>101.154194</v>
      </c>
      <c r="B316" s="1">
        <f>DATE(2010,8,10) + TIME(3,42,2)</f>
        <v>40400.154189814813</v>
      </c>
      <c r="C316">
        <v>80</v>
      </c>
      <c r="D316">
        <v>79.903396606000001</v>
      </c>
      <c r="E316">
        <v>50</v>
      </c>
      <c r="F316">
        <v>14.951657295</v>
      </c>
      <c r="G316">
        <v>1844.4495850000001</v>
      </c>
      <c r="H316">
        <v>1717.8574219</v>
      </c>
      <c r="I316">
        <v>549.37927246000004</v>
      </c>
      <c r="J316">
        <v>154.40086364999999</v>
      </c>
      <c r="K316">
        <v>2400</v>
      </c>
      <c r="L316">
        <v>0</v>
      </c>
      <c r="M316">
        <v>0</v>
      </c>
      <c r="N316">
        <v>2400</v>
      </c>
    </row>
    <row r="317" spans="1:14" x14ac:dyDescent="0.25">
      <c r="A317">
        <v>101.62410800000001</v>
      </c>
      <c r="B317" s="1">
        <f>DATE(2010,8,10) + TIME(14,58,42)</f>
        <v>40400.624097222222</v>
      </c>
      <c r="C317">
        <v>80</v>
      </c>
      <c r="D317">
        <v>79.903457642000006</v>
      </c>
      <c r="E317">
        <v>50</v>
      </c>
      <c r="F317">
        <v>14.951936721999999</v>
      </c>
      <c r="G317">
        <v>1844.1088867000001</v>
      </c>
      <c r="H317">
        <v>1717.5166016000001</v>
      </c>
      <c r="I317">
        <v>549.49304199000005</v>
      </c>
      <c r="J317">
        <v>154.51756287000001</v>
      </c>
      <c r="K317">
        <v>2400</v>
      </c>
      <c r="L317">
        <v>0</v>
      </c>
      <c r="M317">
        <v>0</v>
      </c>
      <c r="N317">
        <v>2400</v>
      </c>
    </row>
    <row r="318" spans="1:14" x14ac:dyDescent="0.25">
      <c r="A318">
        <v>102.094021</v>
      </c>
      <c r="B318" s="1">
        <f>DATE(2010,8,11) + TIME(2,15,23)</f>
        <v>40401.0940162037</v>
      </c>
      <c r="C318">
        <v>80</v>
      </c>
      <c r="D318">
        <v>79.903541564999998</v>
      </c>
      <c r="E318">
        <v>50</v>
      </c>
      <c r="F318">
        <v>14.952201842999999</v>
      </c>
      <c r="G318">
        <v>1843.776001</v>
      </c>
      <c r="H318">
        <v>1717.1838379000001</v>
      </c>
      <c r="I318">
        <v>549.60815430000002</v>
      </c>
      <c r="J318">
        <v>154.63551330999999</v>
      </c>
      <c r="K318">
        <v>2400</v>
      </c>
      <c r="L318">
        <v>0</v>
      </c>
      <c r="M318">
        <v>0</v>
      </c>
      <c r="N318">
        <v>2400</v>
      </c>
    </row>
    <row r="319" spans="1:14" x14ac:dyDescent="0.25">
      <c r="A319">
        <v>102.56386999999999</v>
      </c>
      <c r="B319" s="1">
        <f>DATE(2010,8,11) + TIME(13,31,58)</f>
        <v>40401.56386574074</v>
      </c>
      <c r="C319">
        <v>80</v>
      </c>
      <c r="D319">
        <v>79.903633118000002</v>
      </c>
      <c r="E319">
        <v>50</v>
      </c>
      <c r="F319">
        <v>14.952458382</v>
      </c>
      <c r="G319">
        <v>1843.4495850000001</v>
      </c>
      <c r="H319">
        <v>1716.8575439000001</v>
      </c>
      <c r="I319">
        <v>549.72454833999996</v>
      </c>
      <c r="J319">
        <v>154.75463866999999</v>
      </c>
      <c r="K319">
        <v>2400</v>
      </c>
      <c r="L319">
        <v>0</v>
      </c>
      <c r="M319">
        <v>0</v>
      </c>
      <c r="N319">
        <v>2400</v>
      </c>
    </row>
    <row r="320" spans="1:14" x14ac:dyDescent="0.25">
      <c r="A320">
        <v>103.50237</v>
      </c>
      <c r="B320" s="1">
        <f>DATE(2010,8,12) + TIME(12,3,24)</f>
        <v>40402.50236111111</v>
      </c>
      <c r="C320">
        <v>80</v>
      </c>
      <c r="D320">
        <v>79.903915405000006</v>
      </c>
      <c r="E320">
        <v>50</v>
      </c>
      <c r="F320">
        <v>14.952816963</v>
      </c>
      <c r="G320">
        <v>1842.8782959</v>
      </c>
      <c r="H320">
        <v>1716.286499</v>
      </c>
      <c r="I320">
        <v>549.95556640999996</v>
      </c>
      <c r="J320">
        <v>154.98950195</v>
      </c>
      <c r="K320">
        <v>2400</v>
      </c>
      <c r="L320">
        <v>0</v>
      </c>
      <c r="M320">
        <v>0</v>
      </c>
      <c r="N320">
        <v>2400</v>
      </c>
    </row>
    <row r="321" spans="1:14" x14ac:dyDescent="0.25">
      <c r="A321">
        <v>103.97224199999999</v>
      </c>
      <c r="B321" s="1">
        <f>DATE(2010,8,12) + TIME(23,20,1)</f>
        <v>40402.972233796296</v>
      </c>
      <c r="C321">
        <v>80</v>
      </c>
      <c r="D321">
        <v>79.903976439999994</v>
      </c>
      <c r="E321">
        <v>50</v>
      </c>
      <c r="F321">
        <v>14.953121185000001</v>
      </c>
      <c r="G321">
        <v>1842.5633545000001</v>
      </c>
      <c r="H321">
        <v>1715.9715576000001</v>
      </c>
      <c r="I321">
        <v>550.07464600000003</v>
      </c>
      <c r="J321">
        <v>155.11177063</v>
      </c>
      <c r="K321">
        <v>2400</v>
      </c>
      <c r="L321">
        <v>0</v>
      </c>
      <c r="M321">
        <v>0</v>
      </c>
      <c r="N321">
        <v>2400</v>
      </c>
    </row>
    <row r="322" spans="1:14" x14ac:dyDescent="0.25">
      <c r="A322">
        <v>104.442114</v>
      </c>
      <c r="B322" s="1">
        <f>DATE(2010,8,13) + TIME(10,36,38)</f>
        <v>40403.442106481481</v>
      </c>
      <c r="C322">
        <v>80</v>
      </c>
      <c r="D322">
        <v>79.904029846</v>
      </c>
      <c r="E322">
        <v>50</v>
      </c>
      <c r="F322">
        <v>14.953400611999999</v>
      </c>
      <c r="G322">
        <v>1842.2403564000001</v>
      </c>
      <c r="H322">
        <v>1715.6486815999999</v>
      </c>
      <c r="I322">
        <v>550.19323729999996</v>
      </c>
      <c r="J322">
        <v>155.23330687999999</v>
      </c>
      <c r="K322">
        <v>2400</v>
      </c>
      <c r="L322">
        <v>0</v>
      </c>
      <c r="M322">
        <v>0</v>
      </c>
      <c r="N322">
        <v>2400</v>
      </c>
    </row>
    <row r="323" spans="1:14" x14ac:dyDescent="0.25">
      <c r="A323">
        <v>104.911986</v>
      </c>
      <c r="B323" s="1">
        <f>DATE(2010,8,13) + TIME(21,53,15)</f>
        <v>40403.911979166667</v>
      </c>
      <c r="C323">
        <v>80</v>
      </c>
      <c r="D323">
        <v>79.904098511000001</v>
      </c>
      <c r="E323">
        <v>50</v>
      </c>
      <c r="F323">
        <v>14.953665732999999</v>
      </c>
      <c r="G323">
        <v>1841.9196777</v>
      </c>
      <c r="H323">
        <v>1715.3280029</v>
      </c>
      <c r="I323">
        <v>550.31256103999999</v>
      </c>
      <c r="J323">
        <v>155.35543823</v>
      </c>
      <c r="K323">
        <v>2400</v>
      </c>
      <c r="L323">
        <v>0</v>
      </c>
      <c r="M323">
        <v>0</v>
      </c>
      <c r="N323">
        <v>2400</v>
      </c>
    </row>
    <row r="324" spans="1:14" x14ac:dyDescent="0.25">
      <c r="A324">
        <v>105.38185900000001</v>
      </c>
      <c r="B324" s="1">
        <f>DATE(2010,8,14) + TIME(9,9,52)</f>
        <v>40404.381851851853</v>
      </c>
      <c r="C324">
        <v>80</v>
      </c>
      <c r="D324">
        <v>79.904174804999997</v>
      </c>
      <c r="E324">
        <v>50</v>
      </c>
      <c r="F324">
        <v>14.953922272</v>
      </c>
      <c r="G324">
        <v>1841.6031493999999</v>
      </c>
      <c r="H324">
        <v>1715.0115966999999</v>
      </c>
      <c r="I324">
        <v>550.43273925999995</v>
      </c>
      <c r="J324">
        <v>155.4783783</v>
      </c>
      <c r="K324">
        <v>2400</v>
      </c>
      <c r="L324">
        <v>0</v>
      </c>
      <c r="M324">
        <v>0</v>
      </c>
      <c r="N324">
        <v>2400</v>
      </c>
    </row>
    <row r="325" spans="1:14" x14ac:dyDescent="0.25">
      <c r="A325">
        <v>105.851731</v>
      </c>
      <c r="B325" s="1">
        <f>DATE(2010,8,14) + TIME(20,26,29)</f>
        <v>40404.851724537039</v>
      </c>
      <c r="C325">
        <v>80</v>
      </c>
      <c r="D325">
        <v>79.904258728000002</v>
      </c>
      <c r="E325">
        <v>50</v>
      </c>
      <c r="F325">
        <v>14.954174042</v>
      </c>
      <c r="G325">
        <v>1841.2906493999999</v>
      </c>
      <c r="H325">
        <v>1714.6990966999999</v>
      </c>
      <c r="I325">
        <v>550.55389404000005</v>
      </c>
      <c r="J325">
        <v>155.60215758999999</v>
      </c>
      <c r="K325">
        <v>2400</v>
      </c>
      <c r="L325">
        <v>0</v>
      </c>
      <c r="M325">
        <v>0</v>
      </c>
      <c r="N325">
        <v>2400</v>
      </c>
    </row>
    <row r="326" spans="1:14" x14ac:dyDescent="0.25">
      <c r="A326">
        <v>106.321603</v>
      </c>
      <c r="B326" s="1">
        <f>DATE(2010,8,15) + TIME(7,43,6)</f>
        <v>40405.321597222224</v>
      </c>
      <c r="C326">
        <v>80</v>
      </c>
      <c r="D326">
        <v>79.904342650999993</v>
      </c>
      <c r="E326">
        <v>50</v>
      </c>
      <c r="F326">
        <v>14.954422951</v>
      </c>
      <c r="G326">
        <v>1840.9813231999999</v>
      </c>
      <c r="H326">
        <v>1714.3897704999999</v>
      </c>
      <c r="I326">
        <v>550.67578125</v>
      </c>
      <c r="J326">
        <v>155.72671509</v>
      </c>
      <c r="K326">
        <v>2400</v>
      </c>
      <c r="L326">
        <v>0</v>
      </c>
      <c r="M326">
        <v>0</v>
      </c>
      <c r="N326">
        <v>2400</v>
      </c>
    </row>
    <row r="327" spans="1:14" x14ac:dyDescent="0.25">
      <c r="A327">
        <v>106.79147500000001</v>
      </c>
      <c r="B327" s="1">
        <f>DATE(2010,8,15) + TIME(18,59,43)</f>
        <v>40405.79146990741</v>
      </c>
      <c r="C327">
        <v>80</v>
      </c>
      <c r="D327">
        <v>79.904434203999998</v>
      </c>
      <c r="E327">
        <v>50</v>
      </c>
      <c r="F327">
        <v>14.954670906</v>
      </c>
      <c r="G327">
        <v>1840.6745605000001</v>
      </c>
      <c r="H327">
        <v>1714.0831298999999</v>
      </c>
      <c r="I327">
        <v>550.79846191000001</v>
      </c>
      <c r="J327">
        <v>155.85198975</v>
      </c>
      <c r="K327">
        <v>2400</v>
      </c>
      <c r="L327">
        <v>0</v>
      </c>
      <c r="M327">
        <v>0</v>
      </c>
      <c r="N327">
        <v>2400</v>
      </c>
    </row>
    <row r="328" spans="1:14" x14ac:dyDescent="0.25">
      <c r="A328">
        <v>107.731219</v>
      </c>
      <c r="B328" s="1">
        <f>DATE(2010,8,16) + TIME(17,32,57)</f>
        <v>40406.731215277781</v>
      </c>
      <c r="C328">
        <v>80</v>
      </c>
      <c r="D328">
        <v>79.904693604000002</v>
      </c>
      <c r="E328">
        <v>50</v>
      </c>
      <c r="F328">
        <v>14.955021858</v>
      </c>
      <c r="G328">
        <v>1840.1285399999999</v>
      </c>
      <c r="H328">
        <v>1713.5373535000001</v>
      </c>
      <c r="I328">
        <v>551.04028319999998</v>
      </c>
      <c r="J328">
        <v>156.09756469999999</v>
      </c>
      <c r="K328">
        <v>2400</v>
      </c>
      <c r="L328">
        <v>0</v>
      </c>
      <c r="M328">
        <v>0</v>
      </c>
      <c r="N328">
        <v>2400</v>
      </c>
    </row>
    <row r="329" spans="1:14" x14ac:dyDescent="0.25">
      <c r="A329">
        <v>108.67170400000001</v>
      </c>
      <c r="B329" s="1">
        <f>DATE(2010,8,17) + TIME(16,7,15)</f>
        <v>40407.671701388892</v>
      </c>
      <c r="C329">
        <v>80</v>
      </c>
      <c r="D329">
        <v>79.904891968000001</v>
      </c>
      <c r="E329">
        <v>50</v>
      </c>
      <c r="F329">
        <v>14.955452919000001</v>
      </c>
      <c r="G329">
        <v>1839.5791016000001</v>
      </c>
      <c r="H329">
        <v>1712.9880370999999</v>
      </c>
      <c r="I329">
        <v>551.28289795000001</v>
      </c>
      <c r="J329">
        <v>156.34472656</v>
      </c>
      <c r="K329">
        <v>2400</v>
      </c>
      <c r="L329">
        <v>0</v>
      </c>
      <c r="M329">
        <v>0</v>
      </c>
      <c r="N329">
        <v>2400</v>
      </c>
    </row>
    <row r="330" spans="1:14" x14ac:dyDescent="0.25">
      <c r="A330">
        <v>109.620141</v>
      </c>
      <c r="B330" s="1">
        <f>DATE(2010,8,18) + TIME(14,53,0)</f>
        <v>40408.620138888888</v>
      </c>
      <c r="C330">
        <v>80</v>
      </c>
      <c r="D330">
        <v>79.905044556000007</v>
      </c>
      <c r="E330">
        <v>50</v>
      </c>
      <c r="F330">
        <v>14.955920218999999</v>
      </c>
      <c r="G330">
        <v>1839.0148925999999</v>
      </c>
      <c r="H330">
        <v>1712.4239502</v>
      </c>
      <c r="I330">
        <v>551.52764893000005</v>
      </c>
      <c r="J330">
        <v>156.59442139000001</v>
      </c>
      <c r="K330">
        <v>2400</v>
      </c>
      <c r="L330">
        <v>0</v>
      </c>
      <c r="M330">
        <v>0</v>
      </c>
      <c r="N330">
        <v>2400</v>
      </c>
    </row>
    <row r="331" spans="1:14" x14ac:dyDescent="0.25">
      <c r="A331">
        <v>110.578563</v>
      </c>
      <c r="B331" s="1">
        <f>DATE(2010,8,19) + TIME(13,53,7)</f>
        <v>40409.578553240739</v>
      </c>
      <c r="C331">
        <v>80</v>
      </c>
      <c r="D331">
        <v>79.905197143999999</v>
      </c>
      <c r="E331">
        <v>50</v>
      </c>
      <c r="F331">
        <v>14.956406593000001</v>
      </c>
      <c r="G331">
        <v>1838.4390868999999</v>
      </c>
      <c r="H331">
        <v>1711.8483887</v>
      </c>
      <c r="I331">
        <v>551.77618408000001</v>
      </c>
      <c r="J331">
        <v>156.84800720000001</v>
      </c>
      <c r="K331">
        <v>2400</v>
      </c>
      <c r="L331">
        <v>0</v>
      </c>
      <c r="M331">
        <v>0</v>
      </c>
      <c r="N331">
        <v>2400</v>
      </c>
    </row>
    <row r="332" spans="1:14" x14ac:dyDescent="0.25">
      <c r="A332">
        <v>111.54875699999999</v>
      </c>
      <c r="B332" s="1">
        <f>DATE(2010,8,20) + TIME(13,10,12)</f>
        <v>40410.548750000002</v>
      </c>
      <c r="C332">
        <v>80</v>
      </c>
      <c r="D332">
        <v>79.905342102000006</v>
      </c>
      <c r="E332">
        <v>50</v>
      </c>
      <c r="F332">
        <v>14.956907272</v>
      </c>
      <c r="G332">
        <v>1837.8546143000001</v>
      </c>
      <c r="H332">
        <v>1711.2639160000001</v>
      </c>
      <c r="I332">
        <v>552.02972411999997</v>
      </c>
      <c r="J332">
        <v>157.10676574999999</v>
      </c>
      <c r="K332">
        <v>2400</v>
      </c>
      <c r="L332">
        <v>0</v>
      </c>
      <c r="M332">
        <v>0</v>
      </c>
      <c r="N332">
        <v>2400</v>
      </c>
    </row>
    <row r="333" spans="1:14" x14ac:dyDescent="0.25">
      <c r="A333">
        <v>112.03965700000001</v>
      </c>
      <c r="B333" s="1">
        <f>DATE(2010,8,21) + TIME(0,57,6)</f>
        <v>40411.039652777778</v>
      </c>
      <c r="C333">
        <v>80</v>
      </c>
      <c r="D333">
        <v>79.905364989999995</v>
      </c>
      <c r="E333">
        <v>50</v>
      </c>
      <c r="F333">
        <v>14.957269669</v>
      </c>
      <c r="G333">
        <v>1837.5292969</v>
      </c>
      <c r="H333">
        <v>1710.9385986</v>
      </c>
      <c r="I333">
        <v>552.16186522999999</v>
      </c>
      <c r="J333">
        <v>157.24266051999999</v>
      </c>
      <c r="K333">
        <v>2400</v>
      </c>
      <c r="L333">
        <v>0</v>
      </c>
      <c r="M333">
        <v>0</v>
      </c>
      <c r="N333">
        <v>2400</v>
      </c>
    </row>
    <row r="334" spans="1:14" x14ac:dyDescent="0.25">
      <c r="A334">
        <v>112.528988</v>
      </c>
      <c r="B334" s="1">
        <f>DATE(2010,8,21) + TIME(12,41,44)</f>
        <v>40411.528981481482</v>
      </c>
      <c r="C334">
        <v>80</v>
      </c>
      <c r="D334">
        <v>79.905395507999998</v>
      </c>
      <c r="E334">
        <v>50</v>
      </c>
      <c r="F334">
        <v>14.957591057</v>
      </c>
      <c r="G334">
        <v>1837.1994629000001</v>
      </c>
      <c r="H334">
        <v>1710.6087646000001</v>
      </c>
      <c r="I334">
        <v>552.29425048999997</v>
      </c>
      <c r="J334">
        <v>157.37834167</v>
      </c>
      <c r="K334">
        <v>2400</v>
      </c>
      <c r="L334">
        <v>0</v>
      </c>
      <c r="M334">
        <v>0</v>
      </c>
      <c r="N334">
        <v>2400</v>
      </c>
    </row>
    <row r="335" spans="1:14" x14ac:dyDescent="0.25">
      <c r="A335">
        <v>113.01831900000001</v>
      </c>
      <c r="B335" s="1">
        <f>DATE(2010,8,22) + TIME(0,26,22)</f>
        <v>40412.018310185187</v>
      </c>
      <c r="C335">
        <v>80</v>
      </c>
      <c r="D335">
        <v>79.905448914000004</v>
      </c>
      <c r="E335">
        <v>50</v>
      </c>
      <c r="F335">
        <v>14.957889557</v>
      </c>
      <c r="G335">
        <v>1836.8743896000001</v>
      </c>
      <c r="H335">
        <v>1710.2835693</v>
      </c>
      <c r="I335">
        <v>552.42846680000002</v>
      </c>
      <c r="J335">
        <v>157.515625</v>
      </c>
      <c r="K335">
        <v>2400</v>
      </c>
      <c r="L335">
        <v>0</v>
      </c>
      <c r="M335">
        <v>0</v>
      </c>
      <c r="N335">
        <v>2400</v>
      </c>
    </row>
    <row r="336" spans="1:14" x14ac:dyDescent="0.25">
      <c r="A336">
        <v>113.507651</v>
      </c>
      <c r="B336" s="1">
        <f>DATE(2010,8,22) + TIME(12,11,1)</f>
        <v>40412.507650462961</v>
      </c>
      <c r="C336">
        <v>80</v>
      </c>
      <c r="D336">
        <v>79.905525208</v>
      </c>
      <c r="E336">
        <v>50</v>
      </c>
      <c r="F336">
        <v>14.958175659</v>
      </c>
      <c r="G336">
        <v>1836.5554199000001</v>
      </c>
      <c r="H336">
        <v>1709.9647216999999</v>
      </c>
      <c r="I336">
        <v>552.56445312000005</v>
      </c>
      <c r="J336">
        <v>157.65457153</v>
      </c>
      <c r="K336">
        <v>2400</v>
      </c>
      <c r="L336">
        <v>0</v>
      </c>
      <c r="M336">
        <v>0</v>
      </c>
      <c r="N336">
        <v>2400</v>
      </c>
    </row>
    <row r="337" spans="1:14" x14ac:dyDescent="0.25">
      <c r="A337">
        <v>113.996982</v>
      </c>
      <c r="B337" s="1">
        <f>DATE(2010,8,22) + TIME(23,55,39)</f>
        <v>40412.996979166666</v>
      </c>
      <c r="C337">
        <v>80</v>
      </c>
      <c r="D337">
        <v>79.905616760000001</v>
      </c>
      <c r="E337">
        <v>50</v>
      </c>
      <c r="F337">
        <v>14.958456039</v>
      </c>
      <c r="G337">
        <v>1836.2418213000001</v>
      </c>
      <c r="H337">
        <v>1709.6511230000001</v>
      </c>
      <c r="I337">
        <v>552.70190430000002</v>
      </c>
      <c r="J337">
        <v>157.79493712999999</v>
      </c>
      <c r="K337">
        <v>2400</v>
      </c>
      <c r="L337">
        <v>0</v>
      </c>
      <c r="M337">
        <v>0</v>
      </c>
      <c r="N337">
        <v>2400</v>
      </c>
    </row>
    <row r="338" spans="1:14" x14ac:dyDescent="0.25">
      <c r="A338">
        <v>114.486313</v>
      </c>
      <c r="B338" s="1">
        <f>DATE(2010,8,23) + TIME(11,40,17)</f>
        <v>40413.486307870371</v>
      </c>
      <c r="C338">
        <v>80</v>
      </c>
      <c r="D338">
        <v>79.905700683999996</v>
      </c>
      <c r="E338">
        <v>50</v>
      </c>
      <c r="F338">
        <v>14.958733559000001</v>
      </c>
      <c r="G338">
        <v>1835.9323730000001</v>
      </c>
      <c r="H338">
        <v>1709.3417969</v>
      </c>
      <c r="I338">
        <v>552.84069824000005</v>
      </c>
      <c r="J338">
        <v>157.93652344</v>
      </c>
      <c r="K338">
        <v>2400</v>
      </c>
      <c r="L338">
        <v>0</v>
      </c>
      <c r="M338">
        <v>0</v>
      </c>
      <c r="N338">
        <v>2400</v>
      </c>
    </row>
    <row r="339" spans="1:14" x14ac:dyDescent="0.25">
      <c r="A339">
        <v>114.975644</v>
      </c>
      <c r="B339" s="1">
        <f>DATE(2010,8,23) + TIME(23,24,55)</f>
        <v>40413.975636574076</v>
      </c>
      <c r="C339">
        <v>80</v>
      </c>
      <c r="D339">
        <v>79.905792235999996</v>
      </c>
      <c r="E339">
        <v>50</v>
      </c>
      <c r="F339">
        <v>14.959011078</v>
      </c>
      <c r="G339">
        <v>1835.6262207</v>
      </c>
      <c r="H339">
        <v>1709.0356445</v>
      </c>
      <c r="I339">
        <v>552.98046875</v>
      </c>
      <c r="J339">
        <v>158.07913207999999</v>
      </c>
      <c r="K339">
        <v>2400</v>
      </c>
      <c r="L339">
        <v>0</v>
      </c>
      <c r="M339">
        <v>0</v>
      </c>
      <c r="N339">
        <v>2400</v>
      </c>
    </row>
    <row r="340" spans="1:14" x14ac:dyDescent="0.25">
      <c r="A340">
        <v>115.46497599999999</v>
      </c>
      <c r="B340" s="1">
        <f>DATE(2010,8,24) + TIME(11,9,33)</f>
        <v>40414.464965277781</v>
      </c>
      <c r="C340">
        <v>80</v>
      </c>
      <c r="D340">
        <v>79.905883789000001</v>
      </c>
      <c r="E340">
        <v>50</v>
      </c>
      <c r="F340">
        <v>14.959289550999999</v>
      </c>
      <c r="G340">
        <v>1835.3227539</v>
      </c>
      <c r="H340">
        <v>1708.7322998</v>
      </c>
      <c r="I340">
        <v>553.12115478999999</v>
      </c>
      <c r="J340">
        <v>158.22262573</v>
      </c>
      <c r="K340">
        <v>2400</v>
      </c>
      <c r="L340">
        <v>0</v>
      </c>
      <c r="M340">
        <v>0</v>
      </c>
      <c r="N340">
        <v>2400</v>
      </c>
    </row>
    <row r="341" spans="1:14" x14ac:dyDescent="0.25">
      <c r="A341">
        <v>115.954307</v>
      </c>
      <c r="B341" s="1">
        <f>DATE(2010,8,24) + TIME(22,54,12)</f>
        <v>40414.954305555555</v>
      </c>
      <c r="C341">
        <v>80</v>
      </c>
      <c r="D341">
        <v>79.905975342000005</v>
      </c>
      <c r="E341">
        <v>50</v>
      </c>
      <c r="F341">
        <v>14.959569931000001</v>
      </c>
      <c r="G341">
        <v>1835.0214844</v>
      </c>
      <c r="H341">
        <v>1708.4310303</v>
      </c>
      <c r="I341">
        <v>553.26263428000004</v>
      </c>
      <c r="J341">
        <v>158.36691284</v>
      </c>
      <c r="K341">
        <v>2400</v>
      </c>
      <c r="L341">
        <v>0</v>
      </c>
      <c r="M341">
        <v>0</v>
      </c>
      <c r="N341">
        <v>2400</v>
      </c>
    </row>
    <row r="342" spans="1:14" x14ac:dyDescent="0.25">
      <c r="A342">
        <v>116.44363800000001</v>
      </c>
      <c r="B342" s="1">
        <f>DATE(2010,8,25) + TIME(10,38,50)</f>
        <v>40415.44363425926</v>
      </c>
      <c r="C342">
        <v>80</v>
      </c>
      <c r="D342">
        <v>79.906066894999995</v>
      </c>
      <c r="E342">
        <v>50</v>
      </c>
      <c r="F342">
        <v>14.959852219</v>
      </c>
      <c r="G342">
        <v>1834.722168</v>
      </c>
      <c r="H342">
        <v>1708.1318358999999</v>
      </c>
      <c r="I342">
        <v>553.40484618999994</v>
      </c>
      <c r="J342">
        <v>158.51193237000001</v>
      </c>
      <c r="K342">
        <v>2400</v>
      </c>
      <c r="L342">
        <v>0</v>
      </c>
      <c r="M342">
        <v>0</v>
      </c>
      <c r="N342">
        <v>2400</v>
      </c>
    </row>
    <row r="343" spans="1:14" x14ac:dyDescent="0.25">
      <c r="A343">
        <v>116.932969</v>
      </c>
      <c r="B343" s="1">
        <f>DATE(2010,8,25) + TIME(22,23,28)</f>
        <v>40415.932962962965</v>
      </c>
      <c r="C343">
        <v>80</v>
      </c>
      <c r="D343">
        <v>79.906150818</v>
      </c>
      <c r="E343">
        <v>50</v>
      </c>
      <c r="F343">
        <v>14.960137367</v>
      </c>
      <c r="G343">
        <v>1834.4244385</v>
      </c>
      <c r="H343">
        <v>1707.8341064000001</v>
      </c>
      <c r="I343">
        <v>553.54772949000005</v>
      </c>
      <c r="J343">
        <v>158.65765381</v>
      </c>
      <c r="K343">
        <v>2400</v>
      </c>
      <c r="L343">
        <v>0</v>
      </c>
      <c r="M343">
        <v>0</v>
      </c>
      <c r="N343">
        <v>2400</v>
      </c>
    </row>
    <row r="344" spans="1:14" x14ac:dyDescent="0.25">
      <c r="A344">
        <v>117.42230000000001</v>
      </c>
      <c r="B344" s="1">
        <f>DATE(2010,8,26) + TIME(10,8,6)</f>
        <v>40416.422291666669</v>
      </c>
      <c r="C344">
        <v>80</v>
      </c>
      <c r="D344">
        <v>79.906234741000006</v>
      </c>
      <c r="E344">
        <v>50</v>
      </c>
      <c r="F344">
        <v>14.960426331000001</v>
      </c>
      <c r="G344">
        <v>1834.1282959</v>
      </c>
      <c r="H344">
        <v>1707.5380858999999</v>
      </c>
      <c r="I344">
        <v>553.69134521000001</v>
      </c>
      <c r="J344">
        <v>158.80409241000001</v>
      </c>
      <c r="K344">
        <v>2400</v>
      </c>
      <c r="L344">
        <v>0</v>
      </c>
      <c r="M344">
        <v>0</v>
      </c>
      <c r="N344">
        <v>2400</v>
      </c>
    </row>
    <row r="345" spans="1:14" x14ac:dyDescent="0.25">
      <c r="A345">
        <v>117.911632</v>
      </c>
      <c r="B345" s="1">
        <f>DATE(2010,8,26) + TIME(21,52,44)</f>
        <v>40416.911620370367</v>
      </c>
      <c r="C345">
        <v>80</v>
      </c>
      <c r="D345">
        <v>79.906318665000001</v>
      </c>
      <c r="E345">
        <v>50</v>
      </c>
      <c r="F345">
        <v>14.960718155</v>
      </c>
      <c r="G345">
        <v>1833.833374</v>
      </c>
      <c r="H345">
        <v>1707.2432861</v>
      </c>
      <c r="I345">
        <v>553.83557128999996</v>
      </c>
      <c r="J345">
        <v>158.95121764999999</v>
      </c>
      <c r="K345">
        <v>2400</v>
      </c>
      <c r="L345">
        <v>0</v>
      </c>
      <c r="M345">
        <v>0</v>
      </c>
      <c r="N345">
        <v>2400</v>
      </c>
    </row>
    <row r="346" spans="1:14" x14ac:dyDescent="0.25">
      <c r="A346">
        <v>118.400963</v>
      </c>
      <c r="B346" s="1">
        <f>DATE(2010,8,27) + TIME(9,37,23)</f>
        <v>40417.400960648149</v>
      </c>
      <c r="C346">
        <v>80</v>
      </c>
      <c r="D346">
        <v>79.906402588000006</v>
      </c>
      <c r="E346">
        <v>50</v>
      </c>
      <c r="F346">
        <v>14.961014748</v>
      </c>
      <c r="G346">
        <v>1833.5399170000001</v>
      </c>
      <c r="H346">
        <v>1706.949707</v>
      </c>
      <c r="I346">
        <v>553.98052978999999</v>
      </c>
      <c r="J346">
        <v>159.0990448</v>
      </c>
      <c r="K346">
        <v>2400</v>
      </c>
      <c r="L346">
        <v>0</v>
      </c>
      <c r="M346">
        <v>0</v>
      </c>
      <c r="N346">
        <v>2400</v>
      </c>
    </row>
    <row r="347" spans="1:14" x14ac:dyDescent="0.25">
      <c r="A347">
        <v>118.890294</v>
      </c>
      <c r="B347" s="1">
        <f>DATE(2010,8,27) + TIME(21,22,1)</f>
        <v>40417.890289351853</v>
      </c>
      <c r="C347">
        <v>80</v>
      </c>
      <c r="D347">
        <v>79.906486510999997</v>
      </c>
      <c r="E347">
        <v>50</v>
      </c>
      <c r="F347">
        <v>14.961315154999999</v>
      </c>
      <c r="G347">
        <v>1833.2475586</v>
      </c>
      <c r="H347">
        <v>1706.6574707</v>
      </c>
      <c r="I347">
        <v>554.12622069999998</v>
      </c>
      <c r="J347">
        <v>159.24760437</v>
      </c>
      <c r="K347">
        <v>2400</v>
      </c>
      <c r="L347">
        <v>0</v>
      </c>
      <c r="M347">
        <v>0</v>
      </c>
      <c r="N347">
        <v>2400</v>
      </c>
    </row>
    <row r="348" spans="1:14" x14ac:dyDescent="0.25">
      <c r="A348">
        <v>119.379625</v>
      </c>
      <c r="B348" s="1">
        <f>DATE(2010,8,28) + TIME(9,6,39)</f>
        <v>40418.379618055558</v>
      </c>
      <c r="C348">
        <v>80</v>
      </c>
      <c r="D348">
        <v>79.906570435000006</v>
      </c>
      <c r="E348">
        <v>50</v>
      </c>
      <c r="F348">
        <v>14.961620331000001</v>
      </c>
      <c r="G348">
        <v>1832.9562988</v>
      </c>
      <c r="H348">
        <v>1706.3662108999999</v>
      </c>
      <c r="I348">
        <v>554.27258300999995</v>
      </c>
      <c r="J348">
        <v>159.39689636</v>
      </c>
      <c r="K348">
        <v>2400</v>
      </c>
      <c r="L348">
        <v>0</v>
      </c>
      <c r="M348">
        <v>0</v>
      </c>
      <c r="N348">
        <v>2400</v>
      </c>
    </row>
    <row r="349" spans="1:14" x14ac:dyDescent="0.25">
      <c r="A349">
        <v>119.86895699999999</v>
      </c>
      <c r="B349" s="1">
        <f>DATE(2010,8,28) + TIME(20,51,17)</f>
        <v>40418.868946759256</v>
      </c>
      <c r="C349">
        <v>80</v>
      </c>
      <c r="D349">
        <v>79.906654357999997</v>
      </c>
      <c r="E349">
        <v>50</v>
      </c>
      <c r="F349">
        <v>14.961931228999999</v>
      </c>
      <c r="G349">
        <v>1832.6661377</v>
      </c>
      <c r="H349">
        <v>1706.0761719</v>
      </c>
      <c r="I349">
        <v>554.41967772999999</v>
      </c>
      <c r="J349">
        <v>159.54696655000001</v>
      </c>
      <c r="K349">
        <v>2400</v>
      </c>
      <c r="L349">
        <v>0</v>
      </c>
      <c r="M349">
        <v>0</v>
      </c>
      <c r="N349">
        <v>2400</v>
      </c>
    </row>
    <row r="350" spans="1:14" x14ac:dyDescent="0.25">
      <c r="A350">
        <v>120.358288</v>
      </c>
      <c r="B350" s="1">
        <f>DATE(2010,8,29) + TIME(8,35,56)</f>
        <v>40419.358287037037</v>
      </c>
      <c r="C350">
        <v>80</v>
      </c>
      <c r="D350">
        <v>79.906730651999993</v>
      </c>
      <c r="E350">
        <v>50</v>
      </c>
      <c r="F350">
        <v>14.962246895</v>
      </c>
      <c r="G350">
        <v>1832.3769531</v>
      </c>
      <c r="H350">
        <v>1705.7869873</v>
      </c>
      <c r="I350">
        <v>554.56756591999999</v>
      </c>
      <c r="J350">
        <v>159.69781494</v>
      </c>
      <c r="K350">
        <v>2400</v>
      </c>
      <c r="L350">
        <v>0</v>
      </c>
      <c r="M350">
        <v>0</v>
      </c>
      <c r="N350">
        <v>2400</v>
      </c>
    </row>
    <row r="351" spans="1:14" x14ac:dyDescent="0.25">
      <c r="A351">
        <v>121.33695</v>
      </c>
      <c r="B351" s="1">
        <f>DATE(2010,8,30) + TIME(8,5,12)</f>
        <v>40420.336944444447</v>
      </c>
      <c r="C351">
        <v>80</v>
      </c>
      <c r="D351">
        <v>79.906967163000004</v>
      </c>
      <c r="E351">
        <v>50</v>
      </c>
      <c r="F351">
        <v>14.962701796999999</v>
      </c>
      <c r="G351">
        <v>1831.8540039</v>
      </c>
      <c r="H351">
        <v>1705.2642822</v>
      </c>
      <c r="I351">
        <v>554.85620116999996</v>
      </c>
      <c r="J351">
        <v>159.99081421</v>
      </c>
      <c r="K351">
        <v>2400</v>
      </c>
      <c r="L351">
        <v>0</v>
      </c>
      <c r="M351">
        <v>0</v>
      </c>
      <c r="N351">
        <v>2400</v>
      </c>
    </row>
    <row r="352" spans="1:14" x14ac:dyDescent="0.25">
      <c r="A352">
        <v>122.31989799999999</v>
      </c>
      <c r="B352" s="1">
        <f>DATE(2010,8,31) + TIME(7,40,39)</f>
        <v>40421.319895833331</v>
      </c>
      <c r="C352">
        <v>80</v>
      </c>
      <c r="D352">
        <v>79.907150268999999</v>
      </c>
      <c r="E352">
        <v>50</v>
      </c>
      <c r="F352">
        <v>14.963283539000001</v>
      </c>
      <c r="G352">
        <v>1831.3270264</v>
      </c>
      <c r="H352">
        <v>1704.7375488</v>
      </c>
      <c r="I352">
        <v>555.14666748000002</v>
      </c>
      <c r="J352">
        <v>160.28657532</v>
      </c>
      <c r="K352">
        <v>2400</v>
      </c>
      <c r="L352">
        <v>0</v>
      </c>
      <c r="M352">
        <v>0</v>
      </c>
      <c r="N352">
        <v>2400</v>
      </c>
    </row>
    <row r="353" spans="1:14" x14ac:dyDescent="0.25">
      <c r="A353">
        <v>123</v>
      </c>
      <c r="B353" s="1">
        <f>DATE(2010,9,1) + TIME(0,0,0)</f>
        <v>40422</v>
      </c>
      <c r="C353">
        <v>80</v>
      </c>
      <c r="D353">
        <v>79.907226562000005</v>
      </c>
      <c r="E353">
        <v>50</v>
      </c>
      <c r="F353">
        <v>14.963835716</v>
      </c>
      <c r="G353">
        <v>1830.9355469</v>
      </c>
      <c r="H353">
        <v>1704.3459473</v>
      </c>
      <c r="I353">
        <v>555.35241699000005</v>
      </c>
      <c r="J353">
        <v>160.49720764</v>
      </c>
      <c r="K353">
        <v>2400</v>
      </c>
      <c r="L353">
        <v>0</v>
      </c>
      <c r="M353">
        <v>0</v>
      </c>
      <c r="N353">
        <v>2400</v>
      </c>
    </row>
    <row r="354" spans="1:14" x14ac:dyDescent="0.25">
      <c r="A354">
        <v>123.99839</v>
      </c>
      <c r="B354" s="1">
        <f>DATE(2010,9,1) + TIME(23,57,40)</f>
        <v>40422.998379629629</v>
      </c>
      <c r="C354">
        <v>80</v>
      </c>
      <c r="D354">
        <v>79.907386779999996</v>
      </c>
      <c r="E354">
        <v>50</v>
      </c>
      <c r="F354">
        <v>14.964468002</v>
      </c>
      <c r="G354">
        <v>1830.3865966999999</v>
      </c>
      <c r="H354">
        <v>1703.7971190999999</v>
      </c>
      <c r="I354">
        <v>555.65185546999999</v>
      </c>
      <c r="J354">
        <v>160.80233765</v>
      </c>
      <c r="K354">
        <v>2400</v>
      </c>
      <c r="L354">
        <v>0</v>
      </c>
      <c r="M354">
        <v>0</v>
      </c>
      <c r="N354">
        <v>2400</v>
      </c>
    </row>
    <row r="355" spans="1:14" x14ac:dyDescent="0.25">
      <c r="A355">
        <v>124.504834</v>
      </c>
      <c r="B355" s="1">
        <f>DATE(2010,9,2) + TIME(12,6,57)</f>
        <v>40423.504826388889</v>
      </c>
      <c r="C355">
        <v>80</v>
      </c>
      <c r="D355">
        <v>79.907424926999994</v>
      </c>
      <c r="E355">
        <v>50</v>
      </c>
      <c r="F355">
        <v>14.964982033</v>
      </c>
      <c r="G355">
        <v>1830.0853271000001</v>
      </c>
      <c r="H355">
        <v>1703.4958495999999</v>
      </c>
      <c r="I355">
        <v>555.81042479999996</v>
      </c>
      <c r="J355">
        <v>160.96522522000001</v>
      </c>
      <c r="K355">
        <v>2400</v>
      </c>
      <c r="L355">
        <v>0</v>
      </c>
      <c r="M355">
        <v>0</v>
      </c>
      <c r="N355">
        <v>2400</v>
      </c>
    </row>
    <row r="356" spans="1:14" x14ac:dyDescent="0.25">
      <c r="A356">
        <v>125.01127700000001</v>
      </c>
      <c r="B356" s="1">
        <f>DATE(2010,9,3) + TIME(0,16,14)</f>
        <v>40424.011273148149</v>
      </c>
      <c r="C356">
        <v>80</v>
      </c>
      <c r="D356">
        <v>79.907470703000001</v>
      </c>
      <c r="E356">
        <v>50</v>
      </c>
      <c r="F356">
        <v>14.965455055</v>
      </c>
      <c r="G356">
        <v>1829.7777100000001</v>
      </c>
      <c r="H356">
        <v>1703.1882324000001</v>
      </c>
      <c r="I356">
        <v>555.97027588000003</v>
      </c>
      <c r="J356">
        <v>161.12913513000001</v>
      </c>
      <c r="K356">
        <v>2400</v>
      </c>
      <c r="L356">
        <v>0</v>
      </c>
      <c r="M356">
        <v>0</v>
      </c>
      <c r="N356">
        <v>2400</v>
      </c>
    </row>
    <row r="357" spans="1:14" x14ac:dyDescent="0.25">
      <c r="A357">
        <v>125.51772</v>
      </c>
      <c r="B357" s="1">
        <f>DATE(2010,9,3) + TIME(12,25,31)</f>
        <v>40424.51771990741</v>
      </c>
      <c r="C357">
        <v>80</v>
      </c>
      <c r="D357">
        <v>79.907524108999993</v>
      </c>
      <c r="E357">
        <v>50</v>
      </c>
      <c r="F357">
        <v>14.965910912</v>
      </c>
      <c r="G357">
        <v>1829.472168</v>
      </c>
      <c r="H357">
        <v>1702.8826904</v>
      </c>
      <c r="I357">
        <v>556.13256836000005</v>
      </c>
      <c r="J357">
        <v>161.29533386</v>
      </c>
      <c r="K357">
        <v>2400</v>
      </c>
      <c r="L357">
        <v>0</v>
      </c>
      <c r="M357">
        <v>0</v>
      </c>
      <c r="N357">
        <v>2400</v>
      </c>
    </row>
    <row r="358" spans="1:14" x14ac:dyDescent="0.25">
      <c r="A358">
        <v>126.024163</v>
      </c>
      <c r="B358" s="1">
        <f>DATE(2010,9,4) + TIME(0,34,47)</f>
        <v>40425.024155092593</v>
      </c>
      <c r="C358">
        <v>80</v>
      </c>
      <c r="D358">
        <v>79.907600403000004</v>
      </c>
      <c r="E358">
        <v>50</v>
      </c>
      <c r="F358">
        <v>14.966362953000001</v>
      </c>
      <c r="G358">
        <v>1829.1705322</v>
      </c>
      <c r="H358">
        <v>1702.5811768000001</v>
      </c>
      <c r="I358">
        <v>556.29705810999997</v>
      </c>
      <c r="J358">
        <v>161.46362305</v>
      </c>
      <c r="K358">
        <v>2400</v>
      </c>
      <c r="L358">
        <v>0</v>
      </c>
      <c r="M358">
        <v>0</v>
      </c>
      <c r="N358">
        <v>2400</v>
      </c>
    </row>
    <row r="359" spans="1:14" x14ac:dyDescent="0.25">
      <c r="A359">
        <v>126.53060600000001</v>
      </c>
      <c r="B359" s="1">
        <f>DATE(2010,9,4) + TIME(12,44,4)</f>
        <v>40425.530601851853</v>
      </c>
      <c r="C359">
        <v>80</v>
      </c>
      <c r="D359">
        <v>79.907676696999999</v>
      </c>
      <c r="E359">
        <v>50</v>
      </c>
      <c r="F359">
        <v>14.966819763</v>
      </c>
      <c r="G359">
        <v>1828.8726807</v>
      </c>
      <c r="H359">
        <v>1702.2833252</v>
      </c>
      <c r="I359">
        <v>556.46337890999996</v>
      </c>
      <c r="J359">
        <v>161.63368224999999</v>
      </c>
      <c r="K359">
        <v>2400</v>
      </c>
      <c r="L359">
        <v>0</v>
      </c>
      <c r="M359">
        <v>0</v>
      </c>
      <c r="N359">
        <v>2400</v>
      </c>
    </row>
    <row r="360" spans="1:14" x14ac:dyDescent="0.25">
      <c r="A360">
        <v>127.03704999999999</v>
      </c>
      <c r="B360" s="1">
        <f>DATE(2010,9,5) + TIME(0,53,21)</f>
        <v>40426.037048611113</v>
      </c>
      <c r="C360">
        <v>80</v>
      </c>
      <c r="D360">
        <v>79.907760620000005</v>
      </c>
      <c r="E360">
        <v>50</v>
      </c>
      <c r="F360">
        <v>14.967285156000001</v>
      </c>
      <c r="G360">
        <v>1828.5778809000001</v>
      </c>
      <c r="H360">
        <v>1701.9885254000001</v>
      </c>
      <c r="I360">
        <v>556.63116454999999</v>
      </c>
      <c r="J360">
        <v>161.80526732999999</v>
      </c>
      <c r="K360">
        <v>2400</v>
      </c>
      <c r="L360">
        <v>0</v>
      </c>
      <c r="M360">
        <v>0</v>
      </c>
      <c r="N360">
        <v>2400</v>
      </c>
    </row>
    <row r="361" spans="1:14" x14ac:dyDescent="0.25">
      <c r="A361">
        <v>127.543493</v>
      </c>
      <c r="B361" s="1">
        <f>DATE(2010,9,5) + TIME(13,2,37)</f>
        <v>40426.543483796297</v>
      </c>
      <c r="C361">
        <v>80</v>
      </c>
      <c r="D361">
        <v>79.907852172999995</v>
      </c>
      <c r="E361">
        <v>50</v>
      </c>
      <c r="F361">
        <v>14.967762947000001</v>
      </c>
      <c r="G361">
        <v>1828.2855225000001</v>
      </c>
      <c r="H361">
        <v>1701.6961670000001</v>
      </c>
      <c r="I361">
        <v>556.80029296999999</v>
      </c>
      <c r="J361">
        <v>161.97822571</v>
      </c>
      <c r="K361">
        <v>2400</v>
      </c>
      <c r="L361">
        <v>0</v>
      </c>
      <c r="M361">
        <v>0</v>
      </c>
      <c r="N361">
        <v>2400</v>
      </c>
    </row>
    <row r="362" spans="1:14" x14ac:dyDescent="0.25">
      <c r="A362">
        <v>128.049936</v>
      </c>
      <c r="B362" s="1">
        <f>DATE(2010,9,6) + TIME(1,11,54)</f>
        <v>40427.049930555557</v>
      </c>
      <c r="C362">
        <v>80</v>
      </c>
      <c r="D362">
        <v>79.907936096</v>
      </c>
      <c r="E362">
        <v>50</v>
      </c>
      <c r="F362">
        <v>14.968255997</v>
      </c>
      <c r="G362">
        <v>1827.9952393000001</v>
      </c>
      <c r="H362">
        <v>1701.4058838000001</v>
      </c>
      <c r="I362">
        <v>556.97058104999996</v>
      </c>
      <c r="J362">
        <v>162.15245056000001</v>
      </c>
      <c r="K362">
        <v>2400</v>
      </c>
      <c r="L362">
        <v>0</v>
      </c>
      <c r="M362">
        <v>0</v>
      </c>
      <c r="N362">
        <v>2400</v>
      </c>
    </row>
    <row r="363" spans="1:14" x14ac:dyDescent="0.25">
      <c r="A363">
        <v>128.55637899999999</v>
      </c>
      <c r="B363" s="1">
        <f>DATE(2010,9,6) + TIME(13,21,11)</f>
        <v>40427.556377314817</v>
      </c>
      <c r="C363">
        <v>80</v>
      </c>
      <c r="D363">
        <v>79.908020019999995</v>
      </c>
      <c r="E363">
        <v>50</v>
      </c>
      <c r="F363">
        <v>14.968766212</v>
      </c>
      <c r="G363">
        <v>1827.706543</v>
      </c>
      <c r="H363">
        <v>1701.1174315999999</v>
      </c>
      <c r="I363">
        <v>557.14208984000004</v>
      </c>
      <c r="J363">
        <v>162.32792663999999</v>
      </c>
      <c r="K363">
        <v>2400</v>
      </c>
      <c r="L363">
        <v>0</v>
      </c>
      <c r="M363">
        <v>0</v>
      </c>
      <c r="N363">
        <v>2400</v>
      </c>
    </row>
    <row r="364" spans="1:14" x14ac:dyDescent="0.25">
      <c r="A364">
        <v>129.06196399999999</v>
      </c>
      <c r="B364" s="1">
        <f>DATE(2010,9,7) + TIME(1,29,13)</f>
        <v>40428.061956018515</v>
      </c>
      <c r="C364">
        <v>80</v>
      </c>
      <c r="D364">
        <v>79.908103943</v>
      </c>
      <c r="E364">
        <v>50</v>
      </c>
      <c r="F364">
        <v>14.969294548000001</v>
      </c>
      <c r="G364">
        <v>1827.4199219</v>
      </c>
      <c r="H364">
        <v>1700.8308105000001</v>
      </c>
      <c r="I364">
        <v>557.31445312000005</v>
      </c>
      <c r="J364">
        <v>162.50434874999999</v>
      </c>
      <c r="K364">
        <v>2400</v>
      </c>
      <c r="L364">
        <v>0</v>
      </c>
      <c r="M364">
        <v>0</v>
      </c>
      <c r="N364">
        <v>2400</v>
      </c>
    </row>
    <row r="365" spans="1:14" x14ac:dyDescent="0.25">
      <c r="A365">
        <v>129.566058</v>
      </c>
      <c r="B365" s="1">
        <f>DATE(2010,9,7) + TIME(13,35,7)</f>
        <v>40428.566053240742</v>
      </c>
      <c r="C365">
        <v>80</v>
      </c>
      <c r="D365">
        <v>79.908187866000006</v>
      </c>
      <c r="E365">
        <v>50</v>
      </c>
      <c r="F365">
        <v>14.969841003000001</v>
      </c>
      <c r="G365">
        <v>1827.135376</v>
      </c>
      <c r="H365">
        <v>1700.5462646000001</v>
      </c>
      <c r="I365">
        <v>557.48748779000005</v>
      </c>
      <c r="J365">
        <v>162.68151854999999</v>
      </c>
      <c r="K365">
        <v>2400</v>
      </c>
      <c r="L365">
        <v>0</v>
      </c>
      <c r="M365">
        <v>0</v>
      </c>
      <c r="N365">
        <v>2400</v>
      </c>
    </row>
    <row r="366" spans="1:14" x14ac:dyDescent="0.25">
      <c r="A366">
        <v>130.068861</v>
      </c>
      <c r="B366" s="1">
        <f>DATE(2010,9,8) + TIME(1,39,9)</f>
        <v>40429.068854166668</v>
      </c>
      <c r="C366">
        <v>80</v>
      </c>
      <c r="D366">
        <v>79.908264160000002</v>
      </c>
      <c r="E366">
        <v>50</v>
      </c>
      <c r="F366">
        <v>14.97040844</v>
      </c>
      <c r="G366">
        <v>1826.8526611</v>
      </c>
      <c r="H366">
        <v>1700.2636719</v>
      </c>
      <c r="I366">
        <v>557.66125488</v>
      </c>
      <c r="J366">
        <v>162.85954285</v>
      </c>
      <c r="K366">
        <v>2400</v>
      </c>
      <c r="L366">
        <v>0</v>
      </c>
      <c r="M366">
        <v>0</v>
      </c>
      <c r="N366">
        <v>2400</v>
      </c>
    </row>
    <row r="367" spans="1:14" x14ac:dyDescent="0.25">
      <c r="A367">
        <v>131.07220100000001</v>
      </c>
      <c r="B367" s="1">
        <f>DATE(2010,9,9) + TIME(1,43,58)</f>
        <v>40430.072199074071</v>
      </c>
      <c r="C367">
        <v>80</v>
      </c>
      <c r="D367">
        <v>79.908493042000003</v>
      </c>
      <c r="E367">
        <v>50</v>
      </c>
      <c r="F367">
        <v>14.971236229000001</v>
      </c>
      <c r="G367">
        <v>1826.3391113</v>
      </c>
      <c r="H367">
        <v>1699.7502440999999</v>
      </c>
      <c r="I367">
        <v>557.99560546999999</v>
      </c>
      <c r="J367">
        <v>163.20025634999999</v>
      </c>
      <c r="K367">
        <v>2400</v>
      </c>
      <c r="L367">
        <v>0</v>
      </c>
      <c r="M367">
        <v>0</v>
      </c>
      <c r="N367">
        <v>2400</v>
      </c>
    </row>
    <row r="368" spans="1:14" x14ac:dyDescent="0.25">
      <c r="A368">
        <v>132.075705</v>
      </c>
      <c r="B368" s="1">
        <f>DATE(2010,9,10) + TIME(1,49,0)</f>
        <v>40431.075694444444</v>
      </c>
      <c r="C368">
        <v>80</v>
      </c>
      <c r="D368">
        <v>79.908676146999994</v>
      </c>
      <c r="E368">
        <v>50</v>
      </c>
      <c r="F368">
        <v>14.972333908</v>
      </c>
      <c r="G368">
        <v>1825.8254394999999</v>
      </c>
      <c r="H368">
        <v>1699.2366943</v>
      </c>
      <c r="I368">
        <v>558.33276366999996</v>
      </c>
      <c r="J368">
        <v>163.54525756999999</v>
      </c>
      <c r="K368">
        <v>2400</v>
      </c>
      <c r="L368">
        <v>0</v>
      </c>
      <c r="M368">
        <v>0</v>
      </c>
      <c r="N368">
        <v>2400</v>
      </c>
    </row>
    <row r="369" spans="1:14" x14ac:dyDescent="0.25">
      <c r="A369">
        <v>133.09314900000001</v>
      </c>
      <c r="B369" s="1">
        <f>DATE(2010,9,11) + TIME(2,14,8)</f>
        <v>40432.093148148146</v>
      </c>
      <c r="C369">
        <v>80</v>
      </c>
      <c r="D369">
        <v>79.908828735</v>
      </c>
      <c r="E369">
        <v>50</v>
      </c>
      <c r="F369">
        <v>14.973613738999999</v>
      </c>
      <c r="G369">
        <v>1825.2974853999999</v>
      </c>
      <c r="H369">
        <v>1698.7088623</v>
      </c>
      <c r="I369">
        <v>558.67840576000003</v>
      </c>
      <c r="J369">
        <v>163.89988708000001</v>
      </c>
      <c r="K369">
        <v>2400</v>
      </c>
      <c r="L369">
        <v>0</v>
      </c>
      <c r="M369">
        <v>0</v>
      </c>
      <c r="N369">
        <v>2400</v>
      </c>
    </row>
    <row r="370" spans="1:14" x14ac:dyDescent="0.25">
      <c r="A370">
        <v>133.60797700000001</v>
      </c>
      <c r="B370" s="1">
        <f>DATE(2010,9,11) + TIME(14,35,29)</f>
        <v>40432.607974537037</v>
      </c>
      <c r="C370">
        <v>80</v>
      </c>
      <c r="D370">
        <v>79.908859253000003</v>
      </c>
      <c r="E370">
        <v>50</v>
      </c>
      <c r="F370">
        <v>14.974642754</v>
      </c>
      <c r="G370">
        <v>1825.0069579999999</v>
      </c>
      <c r="H370">
        <v>1698.4182129000001</v>
      </c>
      <c r="I370">
        <v>558.86492920000001</v>
      </c>
      <c r="J370">
        <v>164.09306334999999</v>
      </c>
      <c r="K370">
        <v>2400</v>
      </c>
      <c r="L370">
        <v>0</v>
      </c>
      <c r="M370">
        <v>0</v>
      </c>
      <c r="N370">
        <v>2400</v>
      </c>
    </row>
    <row r="371" spans="1:14" x14ac:dyDescent="0.25">
      <c r="A371">
        <v>134.122162</v>
      </c>
      <c r="B371" s="1">
        <f>DATE(2010,9,12) + TIME(2,55,54)</f>
        <v>40433.122152777774</v>
      </c>
      <c r="C371">
        <v>80</v>
      </c>
      <c r="D371">
        <v>79.908897400000001</v>
      </c>
      <c r="E371">
        <v>50</v>
      </c>
      <c r="F371">
        <v>14.975596427999999</v>
      </c>
      <c r="G371">
        <v>1824.7095947</v>
      </c>
      <c r="H371">
        <v>1698.1209716999999</v>
      </c>
      <c r="I371">
        <v>559.05285645000004</v>
      </c>
      <c r="J371">
        <v>164.28755188</v>
      </c>
      <c r="K371">
        <v>2400</v>
      </c>
      <c r="L371">
        <v>0</v>
      </c>
      <c r="M371">
        <v>0</v>
      </c>
      <c r="N371">
        <v>2400</v>
      </c>
    </row>
    <row r="372" spans="1:14" x14ac:dyDescent="0.25">
      <c r="A372">
        <v>134.636348</v>
      </c>
      <c r="B372" s="1">
        <f>DATE(2010,9,12) + TIME(15,16,20)</f>
        <v>40433.636342592596</v>
      </c>
      <c r="C372">
        <v>80</v>
      </c>
      <c r="D372">
        <v>79.908950806000007</v>
      </c>
      <c r="E372">
        <v>50</v>
      </c>
      <c r="F372">
        <v>14.976527214000001</v>
      </c>
      <c r="G372">
        <v>1824.4136963000001</v>
      </c>
      <c r="H372">
        <v>1697.8250731999999</v>
      </c>
      <c r="I372">
        <v>559.24407958999996</v>
      </c>
      <c r="J372">
        <v>164.48513793999999</v>
      </c>
      <c r="K372">
        <v>2400</v>
      </c>
      <c r="L372">
        <v>0</v>
      </c>
      <c r="M372">
        <v>0</v>
      </c>
      <c r="N372">
        <v>2400</v>
      </c>
    </row>
    <row r="373" spans="1:14" x14ac:dyDescent="0.25">
      <c r="A373">
        <v>135.150533</v>
      </c>
      <c r="B373" s="1">
        <f>DATE(2010,9,13) + TIME(3,36,46)</f>
        <v>40434.15053240741</v>
      </c>
      <c r="C373">
        <v>80</v>
      </c>
      <c r="D373">
        <v>79.909019470000004</v>
      </c>
      <c r="E373">
        <v>50</v>
      </c>
      <c r="F373">
        <v>14.977462769000001</v>
      </c>
      <c r="G373">
        <v>1824.1214600000001</v>
      </c>
      <c r="H373">
        <v>1697.5327147999999</v>
      </c>
      <c r="I373">
        <v>559.43811034999999</v>
      </c>
      <c r="J373">
        <v>164.68547057999999</v>
      </c>
      <c r="K373">
        <v>2400</v>
      </c>
      <c r="L373">
        <v>0</v>
      </c>
      <c r="M373">
        <v>0</v>
      </c>
      <c r="N373">
        <v>2400</v>
      </c>
    </row>
    <row r="374" spans="1:14" x14ac:dyDescent="0.25">
      <c r="A374">
        <v>135.66471799999999</v>
      </c>
      <c r="B374" s="1">
        <f>DATE(2010,9,13) + TIME(15,57,11)</f>
        <v>40434.664710648147</v>
      </c>
      <c r="C374">
        <v>80</v>
      </c>
      <c r="D374">
        <v>79.909095764</v>
      </c>
      <c r="E374">
        <v>50</v>
      </c>
      <c r="F374">
        <v>14.978422165</v>
      </c>
      <c r="G374">
        <v>1823.8325195</v>
      </c>
      <c r="H374">
        <v>1697.2438964999999</v>
      </c>
      <c r="I374">
        <v>559.63446045000001</v>
      </c>
      <c r="J374">
        <v>164.8881073</v>
      </c>
      <c r="K374">
        <v>2400</v>
      </c>
      <c r="L374">
        <v>0</v>
      </c>
      <c r="M374">
        <v>0</v>
      </c>
      <c r="N374">
        <v>2400</v>
      </c>
    </row>
    <row r="375" spans="1:14" x14ac:dyDescent="0.25">
      <c r="A375">
        <v>136.178325</v>
      </c>
      <c r="B375" s="1">
        <f>DATE(2010,9,14) + TIME(4,16,47)</f>
        <v>40435.17832175926</v>
      </c>
      <c r="C375">
        <v>80</v>
      </c>
      <c r="D375">
        <v>79.909179687999995</v>
      </c>
      <c r="E375">
        <v>50</v>
      </c>
      <c r="F375">
        <v>14.97941494</v>
      </c>
      <c r="G375">
        <v>1823.546875</v>
      </c>
      <c r="H375">
        <v>1696.958374</v>
      </c>
      <c r="I375">
        <v>559.83251953000001</v>
      </c>
      <c r="J375">
        <v>165.09262085</v>
      </c>
      <c r="K375">
        <v>2400</v>
      </c>
      <c r="L375">
        <v>0</v>
      </c>
      <c r="M375">
        <v>0</v>
      </c>
      <c r="N375">
        <v>2400</v>
      </c>
    </row>
    <row r="376" spans="1:14" x14ac:dyDescent="0.25">
      <c r="A376">
        <v>136.69001299999999</v>
      </c>
      <c r="B376" s="1">
        <f>DATE(2010,9,14) + TIME(16,33,37)</f>
        <v>40435.690011574072</v>
      </c>
      <c r="C376">
        <v>80</v>
      </c>
      <c r="D376">
        <v>79.909263611</v>
      </c>
      <c r="E376">
        <v>50</v>
      </c>
      <c r="F376">
        <v>14.980447769</v>
      </c>
      <c r="G376">
        <v>1823.2646483999999</v>
      </c>
      <c r="H376">
        <v>1696.6761475000001</v>
      </c>
      <c r="I376">
        <v>560.03161621000004</v>
      </c>
      <c r="J376">
        <v>165.29835510000001</v>
      </c>
      <c r="K376">
        <v>2400</v>
      </c>
      <c r="L376">
        <v>0</v>
      </c>
      <c r="M376">
        <v>0</v>
      </c>
      <c r="N376">
        <v>2400</v>
      </c>
    </row>
    <row r="377" spans="1:14" x14ac:dyDescent="0.25">
      <c r="A377">
        <v>137.199929</v>
      </c>
      <c r="B377" s="1">
        <f>DATE(2010,9,15) + TIME(4,47,53)</f>
        <v>40436.199918981481</v>
      </c>
      <c r="C377">
        <v>80</v>
      </c>
      <c r="D377">
        <v>79.909339904999996</v>
      </c>
      <c r="E377">
        <v>50</v>
      </c>
      <c r="F377">
        <v>14.981526375</v>
      </c>
      <c r="G377">
        <v>1822.9851074000001</v>
      </c>
      <c r="H377">
        <v>1696.3967285000001</v>
      </c>
      <c r="I377">
        <v>560.23175048999997</v>
      </c>
      <c r="J377">
        <v>165.50535583000001</v>
      </c>
      <c r="K377">
        <v>2400</v>
      </c>
      <c r="L377">
        <v>0</v>
      </c>
      <c r="M377">
        <v>0</v>
      </c>
      <c r="N377">
        <v>2400</v>
      </c>
    </row>
    <row r="378" spans="1:14" x14ac:dyDescent="0.25">
      <c r="A378">
        <v>137.708156</v>
      </c>
      <c r="B378" s="1">
        <f>DATE(2010,9,15) + TIME(16,59,44)</f>
        <v>40436.708148148151</v>
      </c>
      <c r="C378">
        <v>80</v>
      </c>
      <c r="D378">
        <v>79.909423828000001</v>
      </c>
      <c r="E378">
        <v>50</v>
      </c>
      <c r="F378">
        <v>14.982653618000001</v>
      </c>
      <c r="G378">
        <v>1822.7081298999999</v>
      </c>
      <c r="H378">
        <v>1696.119751</v>
      </c>
      <c r="I378">
        <v>560.43298340000001</v>
      </c>
      <c r="J378">
        <v>165.71363830999999</v>
      </c>
      <c r="K378">
        <v>2400</v>
      </c>
      <c r="L378">
        <v>0</v>
      </c>
      <c r="M378">
        <v>0</v>
      </c>
      <c r="N378">
        <v>2400</v>
      </c>
    </row>
    <row r="379" spans="1:14" x14ac:dyDescent="0.25">
      <c r="A379">
        <v>138.21480299999999</v>
      </c>
      <c r="B379" s="1">
        <f>DATE(2010,9,16) + TIME(5,9,19)</f>
        <v>40437.214803240742</v>
      </c>
      <c r="C379">
        <v>80</v>
      </c>
      <c r="D379">
        <v>79.909507751000007</v>
      </c>
      <c r="E379">
        <v>50</v>
      </c>
      <c r="F379">
        <v>14.983834267000001</v>
      </c>
      <c r="G379">
        <v>1822.4333495999999</v>
      </c>
      <c r="H379">
        <v>1695.8449707</v>
      </c>
      <c r="I379">
        <v>560.63531493999994</v>
      </c>
      <c r="J379">
        <v>165.92329407</v>
      </c>
      <c r="K379">
        <v>2400</v>
      </c>
      <c r="L379">
        <v>0</v>
      </c>
      <c r="M379">
        <v>0</v>
      </c>
      <c r="N379">
        <v>2400</v>
      </c>
    </row>
    <row r="380" spans="1:14" x14ac:dyDescent="0.25">
      <c r="A380">
        <v>138.71999600000001</v>
      </c>
      <c r="B380" s="1">
        <f>DATE(2010,9,16) + TIME(17,16,47)</f>
        <v>40437.719988425924</v>
      </c>
      <c r="C380">
        <v>80</v>
      </c>
      <c r="D380">
        <v>79.909584045000003</v>
      </c>
      <c r="E380">
        <v>50</v>
      </c>
      <c r="F380">
        <v>14.985071182</v>
      </c>
      <c r="G380">
        <v>1822.1605225000001</v>
      </c>
      <c r="H380">
        <v>1695.5721435999999</v>
      </c>
      <c r="I380">
        <v>560.83880614999998</v>
      </c>
      <c r="J380">
        <v>166.13442993000001</v>
      </c>
      <c r="K380">
        <v>2400</v>
      </c>
      <c r="L380">
        <v>0</v>
      </c>
      <c r="M380">
        <v>0</v>
      </c>
      <c r="N380">
        <v>2400</v>
      </c>
    </row>
    <row r="381" spans="1:14" x14ac:dyDescent="0.25">
      <c r="A381">
        <v>139.223872</v>
      </c>
      <c r="B381" s="1">
        <f>DATE(2010,9,17) + TIME(5,22,22)</f>
        <v>40438.223865740743</v>
      </c>
      <c r="C381">
        <v>80</v>
      </c>
      <c r="D381">
        <v>79.909660338999998</v>
      </c>
      <c r="E381">
        <v>50</v>
      </c>
      <c r="F381">
        <v>14.986367226</v>
      </c>
      <c r="G381">
        <v>1821.8895264</v>
      </c>
      <c r="H381">
        <v>1695.3011475000001</v>
      </c>
      <c r="I381">
        <v>561.04364013999998</v>
      </c>
      <c r="J381">
        <v>166.34718323000001</v>
      </c>
      <c r="K381">
        <v>2400</v>
      </c>
      <c r="L381">
        <v>0</v>
      </c>
      <c r="M381">
        <v>0</v>
      </c>
      <c r="N381">
        <v>2400</v>
      </c>
    </row>
    <row r="382" spans="1:14" x14ac:dyDescent="0.25">
      <c r="A382">
        <v>139.72658200000001</v>
      </c>
      <c r="B382" s="1">
        <f>DATE(2010,9,17) + TIME(17,26,16)</f>
        <v>40438.726574074077</v>
      </c>
      <c r="C382">
        <v>80</v>
      </c>
      <c r="D382">
        <v>79.909744262999993</v>
      </c>
      <c r="E382">
        <v>50</v>
      </c>
      <c r="F382">
        <v>14.987728119</v>
      </c>
      <c r="G382">
        <v>1821.6199951000001</v>
      </c>
      <c r="H382">
        <v>1695.0318603999999</v>
      </c>
      <c r="I382">
        <v>561.24987793000003</v>
      </c>
      <c r="J382">
        <v>166.56166077</v>
      </c>
      <c r="K382">
        <v>2400</v>
      </c>
      <c r="L382">
        <v>0</v>
      </c>
      <c r="M382">
        <v>0</v>
      </c>
      <c r="N382">
        <v>2400</v>
      </c>
    </row>
    <row r="383" spans="1:14" x14ac:dyDescent="0.25">
      <c r="A383">
        <v>140.72998999999999</v>
      </c>
      <c r="B383" s="1">
        <f>DATE(2010,9,18) + TIME(17,31,11)</f>
        <v>40439.729988425926</v>
      </c>
      <c r="C383">
        <v>80</v>
      </c>
      <c r="D383">
        <v>79.909950256000002</v>
      </c>
      <c r="E383">
        <v>50</v>
      </c>
      <c r="F383">
        <v>14.989739417999999</v>
      </c>
      <c r="G383">
        <v>1821.1262207</v>
      </c>
      <c r="H383">
        <v>1694.5382079999999</v>
      </c>
      <c r="I383">
        <v>561.63824463000003</v>
      </c>
      <c r="J383">
        <v>166.96296692000001</v>
      </c>
      <c r="K383">
        <v>2400</v>
      </c>
      <c r="L383">
        <v>0</v>
      </c>
      <c r="M383">
        <v>0</v>
      </c>
      <c r="N383">
        <v>2400</v>
      </c>
    </row>
    <row r="384" spans="1:14" x14ac:dyDescent="0.25">
      <c r="A384">
        <v>141.73739399999999</v>
      </c>
      <c r="B384" s="1">
        <f>DATE(2010,9,19) + TIME(17,41,50)</f>
        <v>40440.737384259257</v>
      </c>
      <c r="C384">
        <v>80</v>
      </c>
      <c r="D384">
        <v>79.910125731999997</v>
      </c>
      <c r="E384">
        <v>50</v>
      </c>
      <c r="F384">
        <v>14.992455482</v>
      </c>
      <c r="G384">
        <v>1820.6323242000001</v>
      </c>
      <c r="H384">
        <v>1694.0443115</v>
      </c>
      <c r="I384">
        <v>562.03814696999996</v>
      </c>
      <c r="J384">
        <v>167.37860107</v>
      </c>
      <c r="K384">
        <v>2400</v>
      </c>
      <c r="L384">
        <v>0</v>
      </c>
      <c r="M384">
        <v>0</v>
      </c>
      <c r="N384">
        <v>2400</v>
      </c>
    </row>
    <row r="385" spans="1:14" x14ac:dyDescent="0.25">
      <c r="A385">
        <v>142.75954999999999</v>
      </c>
      <c r="B385" s="1">
        <f>DATE(2010,9,20) + TIME(18,13,45)</f>
        <v>40441.759548611109</v>
      </c>
      <c r="C385">
        <v>80</v>
      </c>
      <c r="D385">
        <v>79.910278320000003</v>
      </c>
      <c r="E385">
        <v>50</v>
      </c>
      <c r="F385">
        <v>14.99568367</v>
      </c>
      <c r="G385">
        <v>1820.1253661999999</v>
      </c>
      <c r="H385">
        <v>1693.5375977000001</v>
      </c>
      <c r="I385">
        <v>562.45257568</v>
      </c>
      <c r="J385">
        <v>167.8117981</v>
      </c>
      <c r="K385">
        <v>2400</v>
      </c>
      <c r="L385">
        <v>0</v>
      </c>
      <c r="M385">
        <v>0</v>
      </c>
      <c r="N385">
        <v>2400</v>
      </c>
    </row>
    <row r="386" spans="1:14" x14ac:dyDescent="0.25">
      <c r="A386">
        <v>143.27626000000001</v>
      </c>
      <c r="B386" s="1">
        <f>DATE(2010,9,21) + TIME(6,37,48)</f>
        <v>40442.276250000003</v>
      </c>
      <c r="C386">
        <v>80</v>
      </c>
      <c r="D386">
        <v>79.910316467000001</v>
      </c>
      <c r="E386">
        <v>50</v>
      </c>
      <c r="F386">
        <v>14.998322486999999</v>
      </c>
      <c r="G386">
        <v>1819.8491211</v>
      </c>
      <c r="H386">
        <v>1693.2612305</v>
      </c>
      <c r="I386">
        <v>562.68688965000001</v>
      </c>
      <c r="J386">
        <v>168.05978393999999</v>
      </c>
      <c r="K386">
        <v>2400</v>
      </c>
      <c r="L386">
        <v>0</v>
      </c>
      <c r="M386">
        <v>0</v>
      </c>
      <c r="N386">
        <v>2400</v>
      </c>
    </row>
    <row r="387" spans="1:14" x14ac:dyDescent="0.25">
      <c r="A387">
        <v>144.288487</v>
      </c>
      <c r="B387" s="1">
        <f>DATE(2010,9,22) + TIME(6,55,25)</f>
        <v>40443.288483796299</v>
      </c>
      <c r="C387">
        <v>80</v>
      </c>
      <c r="D387">
        <v>79.910461425999998</v>
      </c>
      <c r="E387">
        <v>50</v>
      </c>
      <c r="F387">
        <v>15.001752852999999</v>
      </c>
      <c r="G387">
        <v>1819.3354492000001</v>
      </c>
      <c r="H387">
        <v>1692.7476807</v>
      </c>
      <c r="I387">
        <v>563.10992432</v>
      </c>
      <c r="J387">
        <v>168.50454712000001</v>
      </c>
      <c r="K387">
        <v>2400</v>
      </c>
      <c r="L387">
        <v>0</v>
      </c>
      <c r="M387">
        <v>0</v>
      </c>
      <c r="N387">
        <v>2400</v>
      </c>
    </row>
    <row r="388" spans="1:14" x14ac:dyDescent="0.25">
      <c r="A388">
        <v>144.79624799999999</v>
      </c>
      <c r="B388" s="1">
        <f>DATE(2010,9,22) + TIME(19,6,35)</f>
        <v>40443.796238425923</v>
      </c>
      <c r="C388">
        <v>80</v>
      </c>
      <c r="D388">
        <v>79.910514832000004</v>
      </c>
      <c r="E388">
        <v>50</v>
      </c>
      <c r="F388">
        <v>15.004703522</v>
      </c>
      <c r="G388">
        <v>1819.0635986</v>
      </c>
      <c r="H388">
        <v>1692.4757079999999</v>
      </c>
      <c r="I388">
        <v>563.35241699000005</v>
      </c>
      <c r="J388">
        <v>168.76182556000001</v>
      </c>
      <c r="K388">
        <v>2400</v>
      </c>
      <c r="L388">
        <v>0</v>
      </c>
      <c r="M388">
        <v>0</v>
      </c>
      <c r="N388">
        <v>2400</v>
      </c>
    </row>
    <row r="389" spans="1:14" x14ac:dyDescent="0.25">
      <c r="A389">
        <v>145.78852900000001</v>
      </c>
      <c r="B389" s="1">
        <f>DATE(2010,9,23) + TIME(18,55,28)</f>
        <v>40444.788518518515</v>
      </c>
      <c r="C389">
        <v>80</v>
      </c>
      <c r="D389">
        <v>79.910667419000006</v>
      </c>
      <c r="E389">
        <v>50</v>
      </c>
      <c r="F389">
        <v>15.008593558999999</v>
      </c>
      <c r="G389">
        <v>1818.5610352000001</v>
      </c>
      <c r="H389">
        <v>1691.9732666</v>
      </c>
      <c r="I389">
        <v>563.78375243999994</v>
      </c>
      <c r="J389">
        <v>169.21746826</v>
      </c>
      <c r="K389">
        <v>2400</v>
      </c>
      <c r="L389">
        <v>0</v>
      </c>
      <c r="M389">
        <v>0</v>
      </c>
      <c r="N389">
        <v>2400</v>
      </c>
    </row>
    <row r="390" spans="1:14" x14ac:dyDescent="0.25">
      <c r="A390">
        <v>146.79530500000001</v>
      </c>
      <c r="B390" s="1">
        <f>DATE(2010,9,24) + TIME(19,5,14)</f>
        <v>40445.795300925929</v>
      </c>
      <c r="C390">
        <v>80</v>
      </c>
      <c r="D390">
        <v>79.910827636999997</v>
      </c>
      <c r="E390">
        <v>50</v>
      </c>
      <c r="F390">
        <v>15.013347626</v>
      </c>
      <c r="G390">
        <v>1818.0592041</v>
      </c>
      <c r="H390">
        <v>1691.4715576000001</v>
      </c>
      <c r="I390">
        <v>564.23852538999995</v>
      </c>
      <c r="J390">
        <v>169.69885253999999</v>
      </c>
      <c r="K390">
        <v>2400</v>
      </c>
      <c r="L390">
        <v>0</v>
      </c>
      <c r="M390">
        <v>0</v>
      </c>
      <c r="N390">
        <v>2400</v>
      </c>
    </row>
    <row r="391" spans="1:14" x14ac:dyDescent="0.25">
      <c r="A391">
        <v>147.80353500000001</v>
      </c>
      <c r="B391" s="1">
        <f>DATE(2010,9,25) + TIME(19,17,5)</f>
        <v>40446.803530092591</v>
      </c>
      <c r="C391">
        <v>80</v>
      </c>
      <c r="D391">
        <v>79.910980225000003</v>
      </c>
      <c r="E391">
        <v>50</v>
      </c>
      <c r="F391">
        <v>15.018820763000001</v>
      </c>
      <c r="G391">
        <v>1817.5562743999999</v>
      </c>
      <c r="H391">
        <v>1690.96875</v>
      </c>
      <c r="I391">
        <v>564.70703125</v>
      </c>
      <c r="J391">
        <v>170.19784546</v>
      </c>
      <c r="K391">
        <v>2400</v>
      </c>
      <c r="L391">
        <v>0</v>
      </c>
      <c r="M391">
        <v>0</v>
      </c>
      <c r="N391">
        <v>2400</v>
      </c>
    </row>
    <row r="392" spans="1:14" x14ac:dyDescent="0.25">
      <c r="A392">
        <v>148.31023500000001</v>
      </c>
      <c r="B392" s="1">
        <f>DATE(2010,9,26) + TIME(7,26,44)</f>
        <v>40447.310231481482</v>
      </c>
      <c r="C392">
        <v>80</v>
      </c>
      <c r="D392">
        <v>79.911018372000001</v>
      </c>
      <c r="E392">
        <v>50</v>
      </c>
      <c r="F392">
        <v>15.023207663999999</v>
      </c>
      <c r="G392">
        <v>1817.2868652</v>
      </c>
      <c r="H392">
        <v>1690.6993408000001</v>
      </c>
      <c r="I392">
        <v>564.97894286999997</v>
      </c>
      <c r="J392">
        <v>170.49133301000001</v>
      </c>
      <c r="K392">
        <v>2400</v>
      </c>
      <c r="L392">
        <v>0</v>
      </c>
      <c r="M392">
        <v>0</v>
      </c>
      <c r="N392">
        <v>2400</v>
      </c>
    </row>
    <row r="393" spans="1:14" x14ac:dyDescent="0.25">
      <c r="A393">
        <v>148.816936</v>
      </c>
      <c r="B393" s="1">
        <f>DATE(2010,9,26) + TIME(19,36,23)</f>
        <v>40447.816932870373</v>
      </c>
      <c r="C393">
        <v>80</v>
      </c>
      <c r="D393">
        <v>79.911056518999999</v>
      </c>
      <c r="E393">
        <v>50</v>
      </c>
      <c r="F393">
        <v>15.027302742</v>
      </c>
      <c r="G393">
        <v>1817.0115966999999</v>
      </c>
      <c r="H393">
        <v>1690.4240723</v>
      </c>
      <c r="I393">
        <v>565.24438477000001</v>
      </c>
      <c r="J393">
        <v>170.78038025000001</v>
      </c>
      <c r="K393">
        <v>2400</v>
      </c>
      <c r="L393">
        <v>0</v>
      </c>
      <c r="M393">
        <v>0</v>
      </c>
      <c r="N393">
        <v>2400</v>
      </c>
    </row>
    <row r="394" spans="1:14" x14ac:dyDescent="0.25">
      <c r="A394">
        <v>149.32363599999999</v>
      </c>
      <c r="B394" s="1">
        <f>DATE(2010,9,27) + TIME(7,46,2)</f>
        <v>40448.323634259257</v>
      </c>
      <c r="C394">
        <v>80</v>
      </c>
      <c r="D394">
        <v>79.911109924000002</v>
      </c>
      <c r="E394">
        <v>50</v>
      </c>
      <c r="F394">
        <v>15.031316757000001</v>
      </c>
      <c r="G394">
        <v>1816.7373047000001</v>
      </c>
      <c r="H394">
        <v>1690.1496582</v>
      </c>
      <c r="I394">
        <v>565.51275635000002</v>
      </c>
      <c r="J394">
        <v>171.07170105</v>
      </c>
      <c r="K394">
        <v>2400</v>
      </c>
      <c r="L394">
        <v>0</v>
      </c>
      <c r="M394">
        <v>0</v>
      </c>
      <c r="N394">
        <v>2400</v>
      </c>
    </row>
    <row r="395" spans="1:14" x14ac:dyDescent="0.25">
      <c r="A395">
        <v>149.83033599999999</v>
      </c>
      <c r="B395" s="1">
        <f>DATE(2010,9,27) + TIME(19,55,41)</f>
        <v>40448.830335648148</v>
      </c>
      <c r="C395">
        <v>80</v>
      </c>
      <c r="D395">
        <v>79.911178589000002</v>
      </c>
      <c r="E395">
        <v>50</v>
      </c>
      <c r="F395">
        <v>15.035373688</v>
      </c>
      <c r="G395">
        <v>1816.4656981999999</v>
      </c>
      <c r="H395">
        <v>1689.8781738</v>
      </c>
      <c r="I395">
        <v>565.78430175999995</v>
      </c>
      <c r="J395">
        <v>171.36610413</v>
      </c>
      <c r="K395">
        <v>2400</v>
      </c>
      <c r="L395">
        <v>0</v>
      </c>
      <c r="M395">
        <v>0</v>
      </c>
      <c r="N395">
        <v>2400</v>
      </c>
    </row>
    <row r="396" spans="1:14" x14ac:dyDescent="0.25">
      <c r="A396">
        <v>150.33703600000001</v>
      </c>
      <c r="B396" s="1">
        <f>DATE(2010,9,28) + TIME(8,5,19)</f>
        <v>40449.337025462963</v>
      </c>
      <c r="C396">
        <v>80</v>
      </c>
      <c r="D396">
        <v>79.911247252999999</v>
      </c>
      <c r="E396">
        <v>50</v>
      </c>
      <c r="F396">
        <v>15.039549828</v>
      </c>
      <c r="G396">
        <v>1816.1971435999999</v>
      </c>
      <c r="H396">
        <v>1689.6096190999999</v>
      </c>
      <c r="I396">
        <v>566.05883788999995</v>
      </c>
      <c r="J396">
        <v>171.66395568999999</v>
      </c>
      <c r="K396">
        <v>2400</v>
      </c>
      <c r="L396">
        <v>0</v>
      </c>
      <c r="M396">
        <v>0</v>
      </c>
      <c r="N396">
        <v>2400</v>
      </c>
    </row>
    <row r="397" spans="1:14" x14ac:dyDescent="0.25">
      <c r="A397">
        <v>150.84373600000001</v>
      </c>
      <c r="B397" s="1">
        <f>DATE(2010,9,28) + TIME(20,14,58)</f>
        <v>40449.843726851854</v>
      </c>
      <c r="C397">
        <v>80</v>
      </c>
      <c r="D397">
        <v>79.911323546999995</v>
      </c>
      <c r="E397">
        <v>50</v>
      </c>
      <c r="F397">
        <v>15.043894767999999</v>
      </c>
      <c r="G397">
        <v>1815.9311522999999</v>
      </c>
      <c r="H397">
        <v>1689.3436279</v>
      </c>
      <c r="I397">
        <v>566.33630371000004</v>
      </c>
      <c r="J397">
        <v>171.96559142999999</v>
      </c>
      <c r="K397">
        <v>2400</v>
      </c>
      <c r="L397">
        <v>0</v>
      </c>
      <c r="M397">
        <v>0</v>
      </c>
      <c r="N397">
        <v>2400</v>
      </c>
    </row>
    <row r="398" spans="1:14" x14ac:dyDescent="0.25">
      <c r="A398">
        <v>151.350437</v>
      </c>
      <c r="B398" s="1">
        <f>DATE(2010,9,29) + TIME(8,24,37)</f>
        <v>40450.350428240738</v>
      </c>
      <c r="C398">
        <v>80</v>
      </c>
      <c r="D398">
        <v>79.911407471000004</v>
      </c>
      <c r="E398">
        <v>50</v>
      </c>
      <c r="F398">
        <v>15.048441886999999</v>
      </c>
      <c r="G398">
        <v>1815.6673584</v>
      </c>
      <c r="H398">
        <v>1689.0798339999999</v>
      </c>
      <c r="I398">
        <v>566.61682128999996</v>
      </c>
      <c r="J398">
        <v>172.27133179</v>
      </c>
      <c r="K398">
        <v>2400</v>
      </c>
      <c r="L398">
        <v>0</v>
      </c>
      <c r="M398">
        <v>0</v>
      </c>
      <c r="N398">
        <v>2400</v>
      </c>
    </row>
    <row r="399" spans="1:14" x14ac:dyDescent="0.25">
      <c r="A399">
        <v>151.85713699999999</v>
      </c>
      <c r="B399" s="1">
        <f>DATE(2010,9,29) + TIME(20,34,16)</f>
        <v>40450.857129629629</v>
      </c>
      <c r="C399">
        <v>80</v>
      </c>
      <c r="D399">
        <v>79.911483765</v>
      </c>
      <c r="E399">
        <v>50</v>
      </c>
      <c r="F399">
        <v>15.053216934</v>
      </c>
      <c r="G399">
        <v>1815.4053954999999</v>
      </c>
      <c r="H399">
        <v>1688.8178711</v>
      </c>
      <c r="I399">
        <v>566.90063477000001</v>
      </c>
      <c r="J399">
        <v>172.58155823000001</v>
      </c>
      <c r="K399">
        <v>2400</v>
      </c>
      <c r="L399">
        <v>0</v>
      </c>
      <c r="M399">
        <v>0</v>
      </c>
      <c r="N399">
        <v>2400</v>
      </c>
    </row>
    <row r="400" spans="1:14" x14ac:dyDescent="0.25">
      <c r="A400">
        <v>152.36383699999999</v>
      </c>
      <c r="B400" s="1">
        <f>DATE(2010,9,30) + TIME(8,43,55)</f>
        <v>40451.36383101852</v>
      </c>
      <c r="C400">
        <v>80</v>
      </c>
      <c r="D400">
        <v>79.911560058999996</v>
      </c>
      <c r="E400">
        <v>50</v>
      </c>
      <c r="F400">
        <v>15.058238983000001</v>
      </c>
      <c r="G400">
        <v>1815.1448975000001</v>
      </c>
      <c r="H400">
        <v>1688.5574951000001</v>
      </c>
      <c r="I400">
        <v>567.18792725000003</v>
      </c>
      <c r="J400">
        <v>172.89660645000001</v>
      </c>
      <c r="K400">
        <v>2400</v>
      </c>
      <c r="L400">
        <v>0</v>
      </c>
      <c r="M400">
        <v>0</v>
      </c>
      <c r="N400">
        <v>2400</v>
      </c>
    </row>
    <row r="401" spans="1:14" x14ac:dyDescent="0.25">
      <c r="A401">
        <v>153</v>
      </c>
      <c r="B401" s="1">
        <f>DATE(2010,10,1) + TIME(0,0,0)</f>
        <v>40452</v>
      </c>
      <c r="C401">
        <v>80</v>
      </c>
      <c r="D401">
        <v>79.911666870000005</v>
      </c>
      <c r="E401">
        <v>50</v>
      </c>
      <c r="F401">
        <v>15.064229964999999</v>
      </c>
      <c r="G401">
        <v>1814.8250731999999</v>
      </c>
      <c r="H401">
        <v>1688.237793</v>
      </c>
      <c r="I401">
        <v>567.53918456999997</v>
      </c>
      <c r="J401">
        <v>173.28215026999999</v>
      </c>
      <c r="K401">
        <v>2400</v>
      </c>
      <c r="L401">
        <v>0</v>
      </c>
      <c r="M401">
        <v>0</v>
      </c>
      <c r="N401">
        <v>2400</v>
      </c>
    </row>
    <row r="402" spans="1:14" x14ac:dyDescent="0.25">
      <c r="A402">
        <v>153.5067</v>
      </c>
      <c r="B402" s="1">
        <f>DATE(2010,10,1) + TIME(12,9,38)</f>
        <v>40452.506689814814</v>
      </c>
      <c r="C402">
        <v>80</v>
      </c>
      <c r="D402">
        <v>79.911735535000005</v>
      </c>
      <c r="E402">
        <v>50</v>
      </c>
      <c r="F402">
        <v>15.070143699999999</v>
      </c>
      <c r="G402">
        <v>1814.5686035000001</v>
      </c>
      <c r="H402">
        <v>1687.9813231999999</v>
      </c>
      <c r="I402">
        <v>567.84118651999995</v>
      </c>
      <c r="J402">
        <v>173.61505127000001</v>
      </c>
      <c r="K402">
        <v>2400</v>
      </c>
      <c r="L402">
        <v>0</v>
      </c>
      <c r="M402">
        <v>0</v>
      </c>
      <c r="N402">
        <v>2400</v>
      </c>
    </row>
    <row r="403" spans="1:14" x14ac:dyDescent="0.25">
      <c r="A403">
        <v>154.008364</v>
      </c>
      <c r="B403" s="1">
        <f>DATE(2010,10,2) + TIME(0,12,2)</f>
        <v>40453.008356481485</v>
      </c>
      <c r="C403">
        <v>80</v>
      </c>
      <c r="D403">
        <v>79.911811829000001</v>
      </c>
      <c r="E403">
        <v>50</v>
      </c>
      <c r="F403">
        <v>15.076207160999999</v>
      </c>
      <c r="G403">
        <v>1814.3139647999999</v>
      </c>
      <c r="H403">
        <v>1687.7266846</v>
      </c>
      <c r="I403">
        <v>568.13989258000004</v>
      </c>
      <c r="J403">
        <v>173.94740295</v>
      </c>
      <c r="K403">
        <v>2400</v>
      </c>
      <c r="L403">
        <v>0</v>
      </c>
      <c r="M403">
        <v>0</v>
      </c>
      <c r="N403">
        <v>2400</v>
      </c>
    </row>
    <row r="404" spans="1:14" x14ac:dyDescent="0.25">
      <c r="A404">
        <v>154.508714</v>
      </c>
      <c r="B404" s="1">
        <f>DATE(2010,10,2) + TIME(12,12,32)</f>
        <v>40453.508703703701</v>
      </c>
      <c r="C404">
        <v>80</v>
      </c>
      <c r="D404">
        <v>79.911880492999998</v>
      </c>
      <c r="E404">
        <v>50</v>
      </c>
      <c r="F404">
        <v>15.082499503999999</v>
      </c>
      <c r="G404">
        <v>1814.0601807</v>
      </c>
      <c r="H404">
        <v>1687.4730225000001</v>
      </c>
      <c r="I404">
        <v>568.44165038999995</v>
      </c>
      <c r="J404">
        <v>174.28410339000001</v>
      </c>
      <c r="K404">
        <v>2400</v>
      </c>
      <c r="L404">
        <v>0</v>
      </c>
      <c r="M404">
        <v>0</v>
      </c>
      <c r="N404">
        <v>2400</v>
      </c>
    </row>
    <row r="405" spans="1:14" x14ac:dyDescent="0.25">
      <c r="A405">
        <v>155.007541</v>
      </c>
      <c r="B405" s="1">
        <f>DATE(2010,10,3) + TIME(0,10,51)</f>
        <v>40454.007534722223</v>
      </c>
      <c r="C405">
        <v>80</v>
      </c>
      <c r="D405">
        <v>79.911949157999999</v>
      </c>
      <c r="E405">
        <v>50</v>
      </c>
      <c r="F405">
        <v>15.089061737</v>
      </c>
      <c r="G405">
        <v>1813.8079834</v>
      </c>
      <c r="H405">
        <v>1687.2208252</v>
      </c>
      <c r="I405">
        <v>568.74694824000005</v>
      </c>
      <c r="J405">
        <v>174.62579346000001</v>
      </c>
      <c r="K405">
        <v>2400</v>
      </c>
      <c r="L405">
        <v>0</v>
      </c>
      <c r="M405">
        <v>0</v>
      </c>
      <c r="N405">
        <v>2400</v>
      </c>
    </row>
    <row r="406" spans="1:14" x14ac:dyDescent="0.25">
      <c r="A406">
        <v>155.505</v>
      </c>
      <c r="B406" s="1">
        <f>DATE(2010,10,3) + TIME(12,7,11)</f>
        <v>40454.504988425928</v>
      </c>
      <c r="C406">
        <v>80</v>
      </c>
      <c r="D406">
        <v>79.912017821999996</v>
      </c>
      <c r="E406">
        <v>50</v>
      </c>
      <c r="F406">
        <v>15.095924376999999</v>
      </c>
      <c r="G406">
        <v>1813.557251</v>
      </c>
      <c r="H406">
        <v>1686.9700928</v>
      </c>
      <c r="I406">
        <v>569.05596923999997</v>
      </c>
      <c r="J406">
        <v>174.97288513000001</v>
      </c>
      <c r="K406">
        <v>2400</v>
      </c>
      <c r="L406">
        <v>0</v>
      </c>
      <c r="M406">
        <v>0</v>
      </c>
      <c r="N406">
        <v>2400</v>
      </c>
    </row>
    <row r="407" spans="1:14" x14ac:dyDescent="0.25">
      <c r="A407">
        <v>156.00124400000001</v>
      </c>
      <c r="B407" s="1">
        <f>DATE(2010,10,4) + TIME(0,1,47)</f>
        <v>40455.001238425924</v>
      </c>
      <c r="C407">
        <v>80</v>
      </c>
      <c r="D407">
        <v>79.912094116000006</v>
      </c>
      <c r="E407">
        <v>50</v>
      </c>
      <c r="F407">
        <v>15.103113174000001</v>
      </c>
      <c r="G407">
        <v>1813.3079834</v>
      </c>
      <c r="H407">
        <v>1686.7208252</v>
      </c>
      <c r="I407">
        <v>569.36889647999999</v>
      </c>
      <c r="J407">
        <v>175.32577515</v>
      </c>
      <c r="K407">
        <v>2400</v>
      </c>
      <c r="L407">
        <v>0</v>
      </c>
      <c r="M407">
        <v>0</v>
      </c>
      <c r="N407">
        <v>2400</v>
      </c>
    </row>
    <row r="408" spans="1:14" x14ac:dyDescent="0.25">
      <c r="A408">
        <v>156.49643900000001</v>
      </c>
      <c r="B408" s="1">
        <f>DATE(2010,10,4) + TIME(11,54,52)</f>
        <v>40455.496435185189</v>
      </c>
      <c r="C408">
        <v>80</v>
      </c>
      <c r="D408">
        <v>79.912162781000006</v>
      </c>
      <c r="E408">
        <v>50</v>
      </c>
      <c r="F408">
        <v>15.110651016</v>
      </c>
      <c r="G408">
        <v>1813.0598144999999</v>
      </c>
      <c r="H408">
        <v>1686.4727783000001</v>
      </c>
      <c r="I408">
        <v>569.68609618999994</v>
      </c>
      <c r="J408">
        <v>175.68482971</v>
      </c>
      <c r="K408">
        <v>2400</v>
      </c>
      <c r="L408">
        <v>0</v>
      </c>
      <c r="M408">
        <v>0</v>
      </c>
      <c r="N408">
        <v>2400</v>
      </c>
    </row>
    <row r="409" spans="1:14" x14ac:dyDescent="0.25">
      <c r="A409">
        <v>156.99076700000001</v>
      </c>
      <c r="B409" s="1">
        <f>DATE(2010,10,4) + TIME(23,46,42)</f>
        <v>40455.990763888891</v>
      </c>
      <c r="C409">
        <v>80</v>
      </c>
      <c r="D409">
        <v>79.912231445000003</v>
      </c>
      <c r="E409">
        <v>50</v>
      </c>
      <c r="F409">
        <v>15.118558884</v>
      </c>
      <c r="G409">
        <v>1812.8128661999999</v>
      </c>
      <c r="H409">
        <v>1686.2259521000001</v>
      </c>
      <c r="I409">
        <v>570.00769043000003</v>
      </c>
      <c r="J409">
        <v>176.05047607</v>
      </c>
      <c r="K409">
        <v>2400</v>
      </c>
      <c r="L409">
        <v>0</v>
      </c>
      <c r="M409">
        <v>0</v>
      </c>
      <c r="N409">
        <v>2400</v>
      </c>
    </row>
    <row r="410" spans="1:14" x14ac:dyDescent="0.25">
      <c r="A410">
        <v>157.48441600000001</v>
      </c>
      <c r="B410" s="1">
        <f>DATE(2010,10,5) + TIME(11,37,33)</f>
        <v>40456.484409722223</v>
      </c>
      <c r="C410">
        <v>80</v>
      </c>
      <c r="D410">
        <v>79.912300110000004</v>
      </c>
      <c r="E410">
        <v>50</v>
      </c>
      <c r="F410">
        <v>15.126856804000001</v>
      </c>
      <c r="G410">
        <v>1812.5668945</v>
      </c>
      <c r="H410">
        <v>1685.9799805</v>
      </c>
      <c r="I410">
        <v>570.33398437999995</v>
      </c>
      <c r="J410">
        <v>176.4230957</v>
      </c>
      <c r="K410">
        <v>2400</v>
      </c>
      <c r="L410">
        <v>0</v>
      </c>
      <c r="M410">
        <v>0</v>
      </c>
      <c r="N410">
        <v>2400</v>
      </c>
    </row>
    <row r="411" spans="1:14" x14ac:dyDescent="0.25">
      <c r="A411">
        <v>158.47075699999999</v>
      </c>
      <c r="B411" s="1">
        <f>DATE(2010,10,6) + TIME(11,17,53)</f>
        <v>40457.470752314817</v>
      </c>
      <c r="C411">
        <v>80</v>
      </c>
      <c r="D411">
        <v>79.912483214999995</v>
      </c>
      <c r="E411">
        <v>50</v>
      </c>
      <c r="F411">
        <v>15.139166832000001</v>
      </c>
      <c r="G411">
        <v>1812.1082764</v>
      </c>
      <c r="H411">
        <v>1685.5214844</v>
      </c>
      <c r="I411">
        <v>570.89697265999996</v>
      </c>
      <c r="J411">
        <v>177.06130981000001</v>
      </c>
      <c r="K411">
        <v>2400</v>
      </c>
      <c r="L411">
        <v>0</v>
      </c>
      <c r="M411">
        <v>0</v>
      </c>
      <c r="N411">
        <v>2400</v>
      </c>
    </row>
    <row r="412" spans="1:14" x14ac:dyDescent="0.25">
      <c r="A412">
        <v>159.458606</v>
      </c>
      <c r="B412" s="1">
        <f>DATE(2010,10,7) + TIME(11,0,23)</f>
        <v>40458.458599537036</v>
      </c>
      <c r="C412">
        <v>80</v>
      </c>
      <c r="D412">
        <v>79.912643433</v>
      </c>
      <c r="E412">
        <v>50</v>
      </c>
      <c r="F412">
        <v>15.155716895999999</v>
      </c>
      <c r="G412">
        <v>1811.6522216999999</v>
      </c>
      <c r="H412">
        <v>1685.0654297000001</v>
      </c>
      <c r="I412">
        <v>571.52929687999995</v>
      </c>
      <c r="J412">
        <v>177.78366088999999</v>
      </c>
      <c r="K412">
        <v>2400</v>
      </c>
      <c r="L412">
        <v>0</v>
      </c>
      <c r="M412">
        <v>0</v>
      </c>
      <c r="N412">
        <v>2400</v>
      </c>
    </row>
    <row r="413" spans="1:14" x14ac:dyDescent="0.25">
      <c r="A413">
        <v>160.46613600000001</v>
      </c>
      <c r="B413" s="1">
        <f>DATE(2010,10,8) + TIME(11,11,14)</f>
        <v>40459.466134259259</v>
      </c>
      <c r="C413">
        <v>80</v>
      </c>
      <c r="D413">
        <v>79.912780761999997</v>
      </c>
      <c r="E413">
        <v>50</v>
      </c>
      <c r="F413">
        <v>15.175351143</v>
      </c>
      <c r="G413">
        <v>1811.1835937999999</v>
      </c>
      <c r="H413">
        <v>1684.5969238</v>
      </c>
      <c r="I413">
        <v>572.20422363</v>
      </c>
      <c r="J413">
        <v>178.56813048999999</v>
      </c>
      <c r="K413">
        <v>2400</v>
      </c>
      <c r="L413">
        <v>0</v>
      </c>
      <c r="M413">
        <v>0</v>
      </c>
      <c r="N413">
        <v>2400</v>
      </c>
    </row>
    <row r="414" spans="1:14" x14ac:dyDescent="0.25">
      <c r="A414">
        <v>160.97740999999999</v>
      </c>
      <c r="B414" s="1">
        <f>DATE(2010,10,8) + TIME(23,27,28)</f>
        <v>40459.977407407408</v>
      </c>
      <c r="C414">
        <v>80</v>
      </c>
      <c r="D414">
        <v>79.912826538000004</v>
      </c>
      <c r="E414">
        <v>50</v>
      </c>
      <c r="F414">
        <v>15.19134903</v>
      </c>
      <c r="G414">
        <v>1810.9311522999999</v>
      </c>
      <c r="H414">
        <v>1684.3444824000001</v>
      </c>
      <c r="I414">
        <v>572.65557861000002</v>
      </c>
      <c r="J414">
        <v>179.09843445000001</v>
      </c>
      <c r="K414">
        <v>2400</v>
      </c>
      <c r="L414">
        <v>0</v>
      </c>
      <c r="M414">
        <v>0</v>
      </c>
      <c r="N414">
        <v>2400</v>
      </c>
    </row>
    <row r="415" spans="1:14" x14ac:dyDescent="0.25">
      <c r="A415">
        <v>161.933423</v>
      </c>
      <c r="B415" s="1">
        <f>DATE(2010,10,9) + TIME(22,24,7)</f>
        <v>40460.93341435185</v>
      </c>
      <c r="C415">
        <v>80</v>
      </c>
      <c r="D415">
        <v>79.912948607999994</v>
      </c>
      <c r="E415">
        <v>50</v>
      </c>
      <c r="F415">
        <v>15.211768149999999</v>
      </c>
      <c r="G415">
        <v>1810.4735106999999</v>
      </c>
      <c r="H415">
        <v>1683.8868408000001</v>
      </c>
      <c r="I415">
        <v>573.29553223000005</v>
      </c>
      <c r="J415">
        <v>179.86753845000001</v>
      </c>
      <c r="K415">
        <v>2400</v>
      </c>
      <c r="L415">
        <v>0</v>
      </c>
      <c r="M415">
        <v>0</v>
      </c>
      <c r="N415">
        <v>2400</v>
      </c>
    </row>
    <row r="416" spans="1:14" x14ac:dyDescent="0.25">
      <c r="A416">
        <v>162.43552099999999</v>
      </c>
      <c r="B416" s="1">
        <f>DATE(2010,10,10) + TIME(10,27,9)</f>
        <v>40461.435520833336</v>
      </c>
      <c r="C416">
        <v>80</v>
      </c>
      <c r="D416">
        <v>79.913002014</v>
      </c>
      <c r="E416">
        <v>50</v>
      </c>
      <c r="F416">
        <v>15.229162216000001</v>
      </c>
      <c r="G416">
        <v>1810.2237548999999</v>
      </c>
      <c r="H416">
        <v>1683.637207</v>
      </c>
      <c r="I416">
        <v>573.76458739999998</v>
      </c>
      <c r="J416">
        <v>180.42330933</v>
      </c>
      <c r="K416">
        <v>2400</v>
      </c>
      <c r="L416">
        <v>0</v>
      </c>
      <c r="M416">
        <v>0</v>
      </c>
      <c r="N416">
        <v>2400</v>
      </c>
    </row>
    <row r="417" spans="1:14" x14ac:dyDescent="0.25">
      <c r="A417">
        <v>163.38222200000001</v>
      </c>
      <c r="B417" s="1">
        <f>DATE(2010,10,11) + TIME(9,10,24)</f>
        <v>40462.382222222222</v>
      </c>
      <c r="C417">
        <v>80</v>
      </c>
      <c r="D417">
        <v>79.913131714000002</v>
      </c>
      <c r="E417">
        <v>50</v>
      </c>
      <c r="F417">
        <v>15.251861571999999</v>
      </c>
      <c r="G417">
        <v>1809.7709961</v>
      </c>
      <c r="H417">
        <v>1683.1844481999999</v>
      </c>
      <c r="I417">
        <v>574.42681885000002</v>
      </c>
      <c r="J417">
        <v>181.23007201999999</v>
      </c>
      <c r="K417">
        <v>2400</v>
      </c>
      <c r="L417">
        <v>0</v>
      </c>
      <c r="M417">
        <v>0</v>
      </c>
      <c r="N417">
        <v>2400</v>
      </c>
    </row>
    <row r="418" spans="1:14" x14ac:dyDescent="0.25">
      <c r="A418">
        <v>164.38027199999999</v>
      </c>
      <c r="B418" s="1">
        <f>DATE(2010,10,12) + TIME(9,7,35)</f>
        <v>40463.380266203705</v>
      </c>
      <c r="C418">
        <v>80</v>
      </c>
      <c r="D418">
        <v>79.913276671999995</v>
      </c>
      <c r="E418">
        <v>50</v>
      </c>
      <c r="F418">
        <v>15.279549598999999</v>
      </c>
      <c r="G418">
        <v>1809.3022461</v>
      </c>
      <c r="H418">
        <v>1682.7158202999999</v>
      </c>
      <c r="I418">
        <v>575.19921875</v>
      </c>
      <c r="J418">
        <v>182.16165161000001</v>
      </c>
      <c r="K418">
        <v>2400</v>
      </c>
      <c r="L418">
        <v>0</v>
      </c>
      <c r="M418">
        <v>0</v>
      </c>
      <c r="N418">
        <v>2400</v>
      </c>
    </row>
    <row r="419" spans="1:14" x14ac:dyDescent="0.25">
      <c r="A419">
        <v>164.88147000000001</v>
      </c>
      <c r="B419" s="1">
        <f>DATE(2010,10,12) + TIME(21,9,19)</f>
        <v>40463.881469907406</v>
      </c>
      <c r="C419">
        <v>80</v>
      </c>
      <c r="D419">
        <v>79.913330078000001</v>
      </c>
      <c r="E419">
        <v>50</v>
      </c>
      <c r="F419">
        <v>15.302273749999999</v>
      </c>
      <c r="G419">
        <v>1809.0551757999999</v>
      </c>
      <c r="H419">
        <v>1682.4686279</v>
      </c>
      <c r="I419">
        <v>575.73883057</v>
      </c>
      <c r="J419">
        <v>182.81581116000001</v>
      </c>
      <c r="K419">
        <v>2400</v>
      </c>
      <c r="L419">
        <v>0</v>
      </c>
      <c r="M419">
        <v>0</v>
      </c>
      <c r="N419">
        <v>2400</v>
      </c>
    </row>
    <row r="420" spans="1:14" x14ac:dyDescent="0.25">
      <c r="A420">
        <v>165.37875399999999</v>
      </c>
      <c r="B420" s="1">
        <f>DATE(2010,10,13) + TIME(9,5,24)</f>
        <v>40464.378750000003</v>
      </c>
      <c r="C420">
        <v>80</v>
      </c>
      <c r="D420">
        <v>79.913375853999995</v>
      </c>
      <c r="E420">
        <v>50</v>
      </c>
      <c r="F420">
        <v>15.323436737</v>
      </c>
      <c r="G420">
        <v>1808.8044434000001</v>
      </c>
      <c r="H420">
        <v>1682.2180175999999</v>
      </c>
      <c r="I420">
        <v>576.20812988</v>
      </c>
      <c r="J420">
        <v>183.41319275000001</v>
      </c>
      <c r="K420">
        <v>2400</v>
      </c>
      <c r="L420">
        <v>0</v>
      </c>
      <c r="M420">
        <v>0</v>
      </c>
      <c r="N420">
        <v>2400</v>
      </c>
    </row>
    <row r="421" spans="1:14" x14ac:dyDescent="0.25">
      <c r="A421">
        <v>165.87603799999999</v>
      </c>
      <c r="B421" s="1">
        <f>DATE(2010,10,13) + TIME(21,1,29)</f>
        <v>40464.876030092593</v>
      </c>
      <c r="C421">
        <v>80</v>
      </c>
      <c r="D421">
        <v>79.913421631000006</v>
      </c>
      <c r="E421">
        <v>50</v>
      </c>
      <c r="F421">
        <v>15.344122886999999</v>
      </c>
      <c r="G421">
        <v>1808.5532227000001</v>
      </c>
      <c r="H421">
        <v>1681.9667969</v>
      </c>
      <c r="I421">
        <v>576.67340088000003</v>
      </c>
      <c r="J421">
        <v>184.00341796999999</v>
      </c>
      <c r="K421">
        <v>2400</v>
      </c>
      <c r="L421">
        <v>0</v>
      </c>
      <c r="M421">
        <v>0</v>
      </c>
      <c r="N421">
        <v>2400</v>
      </c>
    </row>
    <row r="422" spans="1:14" x14ac:dyDescent="0.25">
      <c r="A422">
        <v>166.373323</v>
      </c>
      <c r="B422" s="1">
        <f>DATE(2010,10,14) + TIME(8,57,35)</f>
        <v>40465.37332175926</v>
      </c>
      <c r="C422">
        <v>80</v>
      </c>
      <c r="D422">
        <v>79.913482665999993</v>
      </c>
      <c r="E422">
        <v>50</v>
      </c>
      <c r="F422">
        <v>15.364928246</v>
      </c>
      <c r="G422">
        <v>1808.3034668</v>
      </c>
      <c r="H422">
        <v>1681.7169189000001</v>
      </c>
      <c r="I422">
        <v>577.14245604999996</v>
      </c>
      <c r="J422">
        <v>184.59742736999999</v>
      </c>
      <c r="K422">
        <v>2400</v>
      </c>
      <c r="L422">
        <v>0</v>
      </c>
      <c r="M422">
        <v>0</v>
      </c>
      <c r="N422">
        <v>2400</v>
      </c>
    </row>
    <row r="423" spans="1:14" x14ac:dyDescent="0.25">
      <c r="A423">
        <v>166.87060700000001</v>
      </c>
      <c r="B423" s="1">
        <f>DATE(2010,10,14) + TIME(20,53,40)</f>
        <v>40465.87060185185</v>
      </c>
      <c r="C423">
        <v>80</v>
      </c>
      <c r="D423">
        <v>79.913543700999995</v>
      </c>
      <c r="E423">
        <v>50</v>
      </c>
      <c r="F423">
        <v>15.386212348999999</v>
      </c>
      <c r="G423">
        <v>1808.0552978999999</v>
      </c>
      <c r="H423">
        <v>1681.4688721</v>
      </c>
      <c r="I423">
        <v>577.61737060999997</v>
      </c>
      <c r="J423">
        <v>185.19985962000001</v>
      </c>
      <c r="K423">
        <v>2400</v>
      </c>
      <c r="L423">
        <v>0</v>
      </c>
      <c r="M423">
        <v>0</v>
      </c>
      <c r="N423">
        <v>2400</v>
      </c>
    </row>
    <row r="424" spans="1:14" x14ac:dyDescent="0.25">
      <c r="A424">
        <v>167.36789099999999</v>
      </c>
      <c r="B424" s="1">
        <f>DATE(2010,10,15) + TIME(8,49,45)</f>
        <v>40466.367881944447</v>
      </c>
      <c r="C424">
        <v>80</v>
      </c>
      <c r="D424">
        <v>79.913612365999995</v>
      </c>
      <c r="E424">
        <v>50</v>
      </c>
      <c r="F424">
        <v>15.408204079000001</v>
      </c>
      <c r="G424">
        <v>1807.8088379000001</v>
      </c>
      <c r="H424">
        <v>1681.2224120999999</v>
      </c>
      <c r="I424">
        <v>578.09912109000004</v>
      </c>
      <c r="J424">
        <v>185.8134613</v>
      </c>
      <c r="K424">
        <v>2400</v>
      </c>
      <c r="L424">
        <v>0</v>
      </c>
      <c r="M424">
        <v>0</v>
      </c>
      <c r="N424">
        <v>2400</v>
      </c>
    </row>
    <row r="425" spans="1:14" x14ac:dyDescent="0.25">
      <c r="A425">
        <v>167.86517499999999</v>
      </c>
      <c r="B425" s="1">
        <f>DATE(2010,10,15) + TIME(20,45,51)</f>
        <v>40466.865173611113</v>
      </c>
      <c r="C425">
        <v>80</v>
      </c>
      <c r="D425">
        <v>79.913681030000006</v>
      </c>
      <c r="E425">
        <v>50</v>
      </c>
      <c r="F425">
        <v>15.431049347</v>
      </c>
      <c r="G425">
        <v>1807.5638428</v>
      </c>
      <c r="H425">
        <v>1680.9774170000001</v>
      </c>
      <c r="I425">
        <v>578.58843993999994</v>
      </c>
      <c r="J425">
        <v>186.4400177</v>
      </c>
      <c r="K425">
        <v>2400</v>
      </c>
      <c r="L425">
        <v>0</v>
      </c>
      <c r="M425">
        <v>0</v>
      </c>
      <c r="N425">
        <v>2400</v>
      </c>
    </row>
    <row r="426" spans="1:14" x14ac:dyDescent="0.25">
      <c r="A426">
        <v>168.362459</v>
      </c>
      <c r="B426" s="1">
        <f>DATE(2010,10,16) + TIME(8,41,56)</f>
        <v>40467.362453703703</v>
      </c>
      <c r="C426">
        <v>80</v>
      </c>
      <c r="D426">
        <v>79.913749695000007</v>
      </c>
      <c r="E426">
        <v>50</v>
      </c>
      <c r="F426">
        <v>15.454852104</v>
      </c>
      <c r="G426">
        <v>1807.3199463000001</v>
      </c>
      <c r="H426">
        <v>1680.7336425999999</v>
      </c>
      <c r="I426">
        <v>579.08581543000003</v>
      </c>
      <c r="J426">
        <v>187.08085632000001</v>
      </c>
      <c r="K426">
        <v>2400</v>
      </c>
      <c r="L426">
        <v>0</v>
      </c>
      <c r="M426">
        <v>0</v>
      </c>
      <c r="N426">
        <v>2400</v>
      </c>
    </row>
    <row r="427" spans="1:14" x14ac:dyDescent="0.25">
      <c r="A427">
        <v>168.85906800000001</v>
      </c>
      <c r="B427" s="1">
        <f>DATE(2010,10,16) + TIME(20,37,3)</f>
        <v>40467.8590625</v>
      </c>
      <c r="C427">
        <v>80</v>
      </c>
      <c r="D427">
        <v>79.913818359000004</v>
      </c>
      <c r="E427">
        <v>50</v>
      </c>
      <c r="F427">
        <v>15.479669571000001</v>
      </c>
      <c r="G427">
        <v>1807.0775146000001</v>
      </c>
      <c r="H427">
        <v>1680.4912108999999</v>
      </c>
      <c r="I427">
        <v>579.59124756000006</v>
      </c>
      <c r="J427">
        <v>187.73643494000001</v>
      </c>
      <c r="K427">
        <v>2400</v>
      </c>
      <c r="L427">
        <v>0</v>
      </c>
      <c r="M427">
        <v>0</v>
      </c>
      <c r="N427">
        <v>2400</v>
      </c>
    </row>
    <row r="428" spans="1:14" x14ac:dyDescent="0.25">
      <c r="A428">
        <v>169.354975</v>
      </c>
      <c r="B428" s="1">
        <f>DATE(2010,10,17) + TIME(8,31,9)</f>
        <v>40468.35496527778</v>
      </c>
      <c r="C428">
        <v>80</v>
      </c>
      <c r="D428">
        <v>79.913887024000005</v>
      </c>
      <c r="E428">
        <v>50</v>
      </c>
      <c r="F428">
        <v>15.505554199000001</v>
      </c>
      <c r="G428">
        <v>1806.8361815999999</v>
      </c>
      <c r="H428">
        <v>1680.2498779</v>
      </c>
      <c r="I428">
        <v>580.10491943</v>
      </c>
      <c r="J428">
        <v>188.40734863</v>
      </c>
      <c r="K428">
        <v>2400</v>
      </c>
      <c r="L428">
        <v>0</v>
      </c>
      <c r="M428">
        <v>0</v>
      </c>
      <c r="N428">
        <v>2400</v>
      </c>
    </row>
    <row r="429" spans="1:14" x14ac:dyDescent="0.25">
      <c r="A429">
        <v>169.850179</v>
      </c>
      <c r="B429" s="1">
        <f>DATE(2010,10,17) + TIME(20,24,15)</f>
        <v>40468.850173611114</v>
      </c>
      <c r="C429">
        <v>80</v>
      </c>
      <c r="D429">
        <v>79.913955688000001</v>
      </c>
      <c r="E429">
        <v>50</v>
      </c>
      <c r="F429">
        <v>15.532550812</v>
      </c>
      <c r="G429">
        <v>1806.5959473</v>
      </c>
      <c r="H429">
        <v>1680.0097656</v>
      </c>
      <c r="I429">
        <v>580.62713623000002</v>
      </c>
      <c r="J429">
        <v>189.09423828000001</v>
      </c>
      <c r="K429">
        <v>2400</v>
      </c>
      <c r="L429">
        <v>0</v>
      </c>
      <c r="M429">
        <v>0</v>
      </c>
      <c r="N429">
        <v>2400</v>
      </c>
    </row>
    <row r="430" spans="1:14" x14ac:dyDescent="0.25">
      <c r="A430">
        <v>170.344718</v>
      </c>
      <c r="B430" s="1">
        <f>DATE(2010,10,18) + TIME(8,16,23)</f>
        <v>40469.344710648147</v>
      </c>
      <c r="C430">
        <v>80</v>
      </c>
      <c r="D430">
        <v>79.914024353000002</v>
      </c>
      <c r="E430">
        <v>50</v>
      </c>
      <c r="F430">
        <v>15.560703278</v>
      </c>
      <c r="G430">
        <v>1806.3566894999999</v>
      </c>
      <c r="H430">
        <v>1679.7705077999999</v>
      </c>
      <c r="I430">
        <v>581.15802001999998</v>
      </c>
      <c r="J430">
        <v>189.79766846000001</v>
      </c>
      <c r="K430">
        <v>2400</v>
      </c>
      <c r="L430">
        <v>0</v>
      </c>
      <c r="M430">
        <v>0</v>
      </c>
      <c r="N430">
        <v>2400</v>
      </c>
    </row>
    <row r="431" spans="1:14" x14ac:dyDescent="0.25">
      <c r="A431">
        <v>170.838661</v>
      </c>
      <c r="B431" s="1">
        <f>DATE(2010,10,18) + TIME(20,7,40)</f>
        <v>40469.83865740741</v>
      </c>
      <c r="C431">
        <v>80</v>
      </c>
      <c r="D431">
        <v>79.914093018000003</v>
      </c>
      <c r="E431">
        <v>50</v>
      </c>
      <c r="F431">
        <v>15.590053557999999</v>
      </c>
      <c r="G431">
        <v>1806.1182861</v>
      </c>
      <c r="H431">
        <v>1679.5321045000001</v>
      </c>
      <c r="I431">
        <v>581.69781493999994</v>
      </c>
      <c r="J431">
        <v>190.51824951</v>
      </c>
      <c r="K431">
        <v>2400</v>
      </c>
      <c r="L431">
        <v>0</v>
      </c>
      <c r="M431">
        <v>0</v>
      </c>
      <c r="N431">
        <v>2400</v>
      </c>
    </row>
    <row r="432" spans="1:14" x14ac:dyDescent="0.25">
      <c r="A432">
        <v>171.332109</v>
      </c>
      <c r="B432" s="1">
        <f>DATE(2010,10,19) + TIME(7,58,14)</f>
        <v>40470.332106481481</v>
      </c>
      <c r="C432">
        <v>80</v>
      </c>
      <c r="D432">
        <v>79.914154053000004</v>
      </c>
      <c r="E432">
        <v>50</v>
      </c>
      <c r="F432">
        <v>15.620643616000001</v>
      </c>
      <c r="G432">
        <v>1805.8806152</v>
      </c>
      <c r="H432">
        <v>1679.2945557</v>
      </c>
      <c r="I432">
        <v>582.24688720999995</v>
      </c>
      <c r="J432">
        <v>191.25654602</v>
      </c>
      <c r="K432">
        <v>2400</v>
      </c>
      <c r="L432">
        <v>0</v>
      </c>
      <c r="M432">
        <v>0</v>
      </c>
      <c r="N432">
        <v>2400</v>
      </c>
    </row>
    <row r="433" spans="1:14" x14ac:dyDescent="0.25">
      <c r="A433">
        <v>171.825185</v>
      </c>
      <c r="B433" s="1">
        <f>DATE(2010,10,19) + TIME(19,48,16)</f>
        <v>40470.825185185182</v>
      </c>
      <c r="C433">
        <v>80</v>
      </c>
      <c r="D433">
        <v>79.914222717000001</v>
      </c>
      <c r="E433">
        <v>50</v>
      </c>
      <c r="F433">
        <v>15.652519226000001</v>
      </c>
      <c r="G433">
        <v>1805.6436768000001</v>
      </c>
      <c r="H433">
        <v>1679.0576172000001</v>
      </c>
      <c r="I433">
        <v>582.80541991999996</v>
      </c>
      <c r="J433">
        <v>192.01318359000001</v>
      </c>
      <c r="K433">
        <v>2400</v>
      </c>
      <c r="L433">
        <v>0</v>
      </c>
      <c r="M433">
        <v>0</v>
      </c>
      <c r="N433">
        <v>2400</v>
      </c>
    </row>
    <row r="434" spans="1:14" x14ac:dyDescent="0.25">
      <c r="A434">
        <v>172.318037</v>
      </c>
      <c r="B434" s="1">
        <f>DATE(2010,10,20) + TIME(7,37,58)</f>
        <v>40471.318032407406</v>
      </c>
      <c r="C434">
        <v>80</v>
      </c>
      <c r="D434">
        <v>79.914291382000002</v>
      </c>
      <c r="E434">
        <v>50</v>
      </c>
      <c r="F434">
        <v>15.685727118999999</v>
      </c>
      <c r="G434">
        <v>1805.4072266000001</v>
      </c>
      <c r="H434">
        <v>1678.8211670000001</v>
      </c>
      <c r="I434">
        <v>583.37365723000005</v>
      </c>
      <c r="J434">
        <v>192.78877258</v>
      </c>
      <c r="K434">
        <v>2400</v>
      </c>
      <c r="L434">
        <v>0</v>
      </c>
      <c r="M434">
        <v>0</v>
      </c>
      <c r="N434">
        <v>2400</v>
      </c>
    </row>
    <row r="435" spans="1:14" x14ac:dyDescent="0.25">
      <c r="A435">
        <v>172.81082799999999</v>
      </c>
      <c r="B435" s="1">
        <f>DATE(2010,10,20) + TIME(19,27,35)</f>
        <v>40471.81082175926</v>
      </c>
      <c r="C435">
        <v>80</v>
      </c>
      <c r="D435">
        <v>79.914352417000003</v>
      </c>
      <c r="E435">
        <v>50</v>
      </c>
      <c r="F435">
        <v>15.720315933</v>
      </c>
      <c r="G435">
        <v>1805.1712646000001</v>
      </c>
      <c r="H435">
        <v>1678.5852050999999</v>
      </c>
      <c r="I435">
        <v>583.95190430000002</v>
      </c>
      <c r="J435">
        <v>193.58395386000001</v>
      </c>
      <c r="K435">
        <v>2400</v>
      </c>
      <c r="L435">
        <v>0</v>
      </c>
      <c r="M435">
        <v>0</v>
      </c>
      <c r="N435">
        <v>2400</v>
      </c>
    </row>
    <row r="436" spans="1:14" x14ac:dyDescent="0.25">
      <c r="A436">
        <v>173.30362</v>
      </c>
      <c r="B436" s="1">
        <f>DATE(2010,10,21) + TIME(7,17,12)</f>
        <v>40472.303611111114</v>
      </c>
      <c r="C436">
        <v>80</v>
      </c>
      <c r="D436">
        <v>79.914421082000004</v>
      </c>
      <c r="E436">
        <v>50</v>
      </c>
      <c r="F436">
        <v>15.756333351</v>
      </c>
      <c r="G436">
        <v>1804.9356689000001</v>
      </c>
      <c r="H436">
        <v>1678.3496094</v>
      </c>
      <c r="I436">
        <v>584.54034423999997</v>
      </c>
      <c r="J436">
        <v>194.39929198999999</v>
      </c>
      <c r="K436">
        <v>2400</v>
      </c>
      <c r="L436">
        <v>0</v>
      </c>
      <c r="M436">
        <v>0</v>
      </c>
      <c r="N436">
        <v>2400</v>
      </c>
    </row>
    <row r="437" spans="1:14" x14ac:dyDescent="0.25">
      <c r="A437">
        <v>173.79641100000001</v>
      </c>
      <c r="B437" s="1">
        <f>DATE(2010,10,21) + TIME(19,6,49)</f>
        <v>40472.796400462961</v>
      </c>
      <c r="C437">
        <v>80</v>
      </c>
      <c r="D437">
        <v>79.914482117000006</v>
      </c>
      <c r="E437">
        <v>50</v>
      </c>
      <c r="F437">
        <v>15.793824195999999</v>
      </c>
      <c r="G437">
        <v>1804.7003173999999</v>
      </c>
      <c r="H437">
        <v>1678.1143798999999</v>
      </c>
      <c r="I437">
        <v>585.13909911999997</v>
      </c>
      <c r="J437">
        <v>195.23524474999999</v>
      </c>
      <c r="K437">
        <v>2400</v>
      </c>
      <c r="L437">
        <v>0</v>
      </c>
      <c r="M437">
        <v>0</v>
      </c>
      <c r="N437">
        <v>2400</v>
      </c>
    </row>
    <row r="438" spans="1:14" x14ac:dyDescent="0.25">
      <c r="A438">
        <v>174.28920199999999</v>
      </c>
      <c r="B438" s="1">
        <f>DATE(2010,10,22) + TIME(6,56,27)</f>
        <v>40473.289201388892</v>
      </c>
      <c r="C438">
        <v>80</v>
      </c>
      <c r="D438">
        <v>79.914550781000003</v>
      </c>
      <c r="E438">
        <v>50</v>
      </c>
      <c r="F438">
        <v>15.832831383</v>
      </c>
      <c r="G438">
        <v>1804.4654541</v>
      </c>
      <c r="H438">
        <v>1677.8795166</v>
      </c>
      <c r="I438">
        <v>585.74822998000002</v>
      </c>
      <c r="J438">
        <v>196.09216309000001</v>
      </c>
      <c r="K438">
        <v>2400</v>
      </c>
      <c r="L438">
        <v>0</v>
      </c>
      <c r="M438">
        <v>0</v>
      </c>
      <c r="N438">
        <v>2400</v>
      </c>
    </row>
    <row r="439" spans="1:14" x14ac:dyDescent="0.25">
      <c r="A439">
        <v>174.781993</v>
      </c>
      <c r="B439" s="1">
        <f>DATE(2010,10,22) + TIME(18,46,4)</f>
        <v>40473.781990740739</v>
      </c>
      <c r="C439">
        <v>80</v>
      </c>
      <c r="D439">
        <v>79.914611816000004</v>
      </c>
      <c r="E439">
        <v>50</v>
      </c>
      <c r="F439">
        <v>15.873397827</v>
      </c>
      <c r="G439">
        <v>1804.2308350000001</v>
      </c>
      <c r="H439">
        <v>1677.6448975000001</v>
      </c>
      <c r="I439">
        <v>586.36785888999998</v>
      </c>
      <c r="J439">
        <v>196.97042847</v>
      </c>
      <c r="K439">
        <v>2400</v>
      </c>
      <c r="L439">
        <v>0</v>
      </c>
      <c r="M439">
        <v>0</v>
      </c>
      <c r="N439">
        <v>2400</v>
      </c>
    </row>
    <row r="440" spans="1:14" x14ac:dyDescent="0.25">
      <c r="A440">
        <v>175.76757499999999</v>
      </c>
      <c r="B440" s="1">
        <f>DATE(2010,10,23) + TIME(18,25,18)</f>
        <v>40474.767569444448</v>
      </c>
      <c r="C440">
        <v>80</v>
      </c>
      <c r="D440">
        <v>79.914772033999995</v>
      </c>
      <c r="E440">
        <v>50</v>
      </c>
      <c r="F440">
        <v>15.932917594999999</v>
      </c>
      <c r="G440">
        <v>1803.7871094</v>
      </c>
      <c r="H440">
        <v>1677.2012939000001</v>
      </c>
      <c r="I440">
        <v>587.28784180000002</v>
      </c>
      <c r="J440">
        <v>198.30165099999999</v>
      </c>
      <c r="K440">
        <v>2400</v>
      </c>
      <c r="L440">
        <v>0</v>
      </c>
      <c r="M440">
        <v>0</v>
      </c>
      <c r="N440">
        <v>2400</v>
      </c>
    </row>
    <row r="441" spans="1:14" x14ac:dyDescent="0.25">
      <c r="A441">
        <v>176.75472099999999</v>
      </c>
      <c r="B441" s="1">
        <f>DATE(2010,10,24) + TIME(18,6,47)</f>
        <v>40475.754710648151</v>
      </c>
      <c r="C441">
        <v>80</v>
      </c>
      <c r="D441">
        <v>79.914924622000001</v>
      </c>
      <c r="E441">
        <v>50</v>
      </c>
      <c r="F441">
        <v>16.011735915999999</v>
      </c>
      <c r="G441">
        <v>1803.3461914</v>
      </c>
      <c r="H441">
        <v>1676.7604980000001</v>
      </c>
      <c r="I441">
        <v>588.49279784999999</v>
      </c>
      <c r="J441">
        <v>199.99894714000001</v>
      </c>
      <c r="K441">
        <v>2400</v>
      </c>
      <c r="L441">
        <v>0</v>
      </c>
      <c r="M441">
        <v>0</v>
      </c>
      <c r="N441">
        <v>2400</v>
      </c>
    </row>
    <row r="442" spans="1:14" x14ac:dyDescent="0.25">
      <c r="A442">
        <v>177.77291700000001</v>
      </c>
      <c r="B442" s="1">
        <f>DATE(2010,10,25) + TIME(18,32,59)</f>
        <v>40476.772905092592</v>
      </c>
      <c r="C442">
        <v>80</v>
      </c>
      <c r="D442">
        <v>79.915054321</v>
      </c>
      <c r="E442">
        <v>50</v>
      </c>
      <c r="F442">
        <v>16.103830338000002</v>
      </c>
      <c r="G442">
        <v>1802.8894043</v>
      </c>
      <c r="H442">
        <v>1676.3038329999999</v>
      </c>
      <c r="I442">
        <v>589.78997803000004</v>
      </c>
      <c r="J442">
        <v>201.88697815</v>
      </c>
      <c r="K442">
        <v>2400</v>
      </c>
      <c r="L442">
        <v>0</v>
      </c>
      <c r="M442">
        <v>0</v>
      </c>
      <c r="N442">
        <v>2400</v>
      </c>
    </row>
    <row r="443" spans="1:14" x14ac:dyDescent="0.25">
      <c r="A443">
        <v>178.28410400000001</v>
      </c>
      <c r="B443" s="1">
        <f>DATE(2010,10,26) + TIME(6,49,6)</f>
        <v>40477.284097222226</v>
      </c>
      <c r="C443">
        <v>80</v>
      </c>
      <c r="D443">
        <v>79.915100097999996</v>
      </c>
      <c r="E443">
        <v>50</v>
      </c>
      <c r="F443">
        <v>16.177318573000001</v>
      </c>
      <c r="G443">
        <v>1802.6486815999999</v>
      </c>
      <c r="H443">
        <v>1676.0629882999999</v>
      </c>
      <c r="I443">
        <v>590.82250977000001</v>
      </c>
      <c r="J443">
        <v>203.34584045</v>
      </c>
      <c r="K443">
        <v>2400</v>
      </c>
      <c r="L443">
        <v>0</v>
      </c>
      <c r="M443">
        <v>0</v>
      </c>
      <c r="N443">
        <v>2400</v>
      </c>
    </row>
    <row r="444" spans="1:14" x14ac:dyDescent="0.25">
      <c r="A444">
        <v>179.26080200000001</v>
      </c>
      <c r="B444" s="1">
        <f>DATE(2010,10,27) + TIME(6,15,33)</f>
        <v>40478.260798611111</v>
      </c>
      <c r="C444">
        <v>80</v>
      </c>
      <c r="D444">
        <v>79.915222168</v>
      </c>
      <c r="E444">
        <v>50</v>
      </c>
      <c r="F444">
        <v>16.270103455000001</v>
      </c>
      <c r="G444">
        <v>1802.1988524999999</v>
      </c>
      <c r="H444">
        <v>1675.6131591999999</v>
      </c>
      <c r="I444">
        <v>591.91094970999995</v>
      </c>
      <c r="J444">
        <v>205.09690857000001</v>
      </c>
      <c r="K444">
        <v>2400</v>
      </c>
      <c r="L444">
        <v>0</v>
      </c>
      <c r="M444">
        <v>0</v>
      </c>
      <c r="N444">
        <v>2400</v>
      </c>
    </row>
    <row r="445" spans="1:14" x14ac:dyDescent="0.25">
      <c r="A445">
        <v>179.764126</v>
      </c>
      <c r="B445" s="1">
        <f>DATE(2010,10,27) + TIME(18,20,20)</f>
        <v>40478.764120370368</v>
      </c>
      <c r="C445">
        <v>80</v>
      </c>
      <c r="D445">
        <v>79.915267943999993</v>
      </c>
      <c r="E445">
        <v>50</v>
      </c>
      <c r="F445">
        <v>16.347391128999998</v>
      </c>
      <c r="G445">
        <v>1801.9593506000001</v>
      </c>
      <c r="H445">
        <v>1675.3737793</v>
      </c>
      <c r="I445">
        <v>592.95635986000002</v>
      </c>
      <c r="J445">
        <v>206.59378052</v>
      </c>
      <c r="K445">
        <v>2400</v>
      </c>
      <c r="L445">
        <v>0</v>
      </c>
      <c r="M445">
        <v>0</v>
      </c>
      <c r="N445">
        <v>2400</v>
      </c>
    </row>
    <row r="446" spans="1:14" x14ac:dyDescent="0.25">
      <c r="A446">
        <v>180.74013400000001</v>
      </c>
      <c r="B446" s="1">
        <f>DATE(2010,10,28) + TIME(17,45,47)</f>
        <v>40479.740127314813</v>
      </c>
      <c r="C446">
        <v>80</v>
      </c>
      <c r="D446">
        <v>79.915390015</v>
      </c>
      <c r="E446">
        <v>50</v>
      </c>
      <c r="F446">
        <v>16.447086334000002</v>
      </c>
      <c r="G446">
        <v>1801.5091553</v>
      </c>
      <c r="H446">
        <v>1674.9235839999999</v>
      </c>
      <c r="I446">
        <v>594.06884765999996</v>
      </c>
      <c r="J446">
        <v>208.4193573</v>
      </c>
      <c r="K446">
        <v>2400</v>
      </c>
      <c r="L446">
        <v>0</v>
      </c>
      <c r="M446">
        <v>0</v>
      </c>
      <c r="N446">
        <v>2400</v>
      </c>
    </row>
    <row r="447" spans="1:14" x14ac:dyDescent="0.25">
      <c r="A447">
        <v>181.73459399999999</v>
      </c>
      <c r="B447" s="1">
        <f>DATE(2010,10,29) + TIME(17,37,48)</f>
        <v>40480.734583333331</v>
      </c>
      <c r="C447">
        <v>80</v>
      </c>
      <c r="D447">
        <v>79.915527343999997</v>
      </c>
      <c r="E447">
        <v>50</v>
      </c>
      <c r="F447">
        <v>16.565017699999999</v>
      </c>
      <c r="G447">
        <v>1801.0556641000001</v>
      </c>
      <c r="H447">
        <v>1674.4702147999999</v>
      </c>
      <c r="I447">
        <v>595.50024413999995</v>
      </c>
      <c r="J447">
        <v>210.61784363000001</v>
      </c>
      <c r="K447">
        <v>2400</v>
      </c>
      <c r="L447">
        <v>0</v>
      </c>
      <c r="M447">
        <v>0</v>
      </c>
      <c r="N447">
        <v>2400</v>
      </c>
    </row>
    <row r="448" spans="1:14" x14ac:dyDescent="0.25">
      <c r="A448">
        <v>182.73305400000001</v>
      </c>
      <c r="B448" s="1">
        <f>DATE(2010,10,30) + TIME(17,35,35)</f>
        <v>40481.733043981483</v>
      </c>
      <c r="C448">
        <v>80</v>
      </c>
      <c r="D448">
        <v>79.915657042999996</v>
      </c>
      <c r="E448">
        <v>50</v>
      </c>
      <c r="F448">
        <v>16.696123123</v>
      </c>
      <c r="G448">
        <v>1800.6002197</v>
      </c>
      <c r="H448">
        <v>1674.0148925999999</v>
      </c>
      <c r="I448">
        <v>597.00793456999997</v>
      </c>
      <c r="J448">
        <v>212.98365784000001</v>
      </c>
      <c r="K448">
        <v>2400</v>
      </c>
      <c r="L448">
        <v>0</v>
      </c>
      <c r="M448">
        <v>0</v>
      </c>
      <c r="N448">
        <v>2400</v>
      </c>
    </row>
    <row r="449" spans="1:14" x14ac:dyDescent="0.25">
      <c r="A449">
        <v>183.73705100000001</v>
      </c>
      <c r="B449" s="1">
        <f>DATE(2010,10,31) + TIME(17,41,21)</f>
        <v>40482.73704861111</v>
      </c>
      <c r="C449">
        <v>80</v>
      </c>
      <c r="D449">
        <v>79.915779114000003</v>
      </c>
      <c r="E449">
        <v>50</v>
      </c>
      <c r="F449">
        <v>16.838123322000001</v>
      </c>
      <c r="G449">
        <v>1800.1413574000001</v>
      </c>
      <c r="H449">
        <v>1673.5560303</v>
      </c>
      <c r="I449">
        <v>598.56378173999997</v>
      </c>
      <c r="J449">
        <v>215.47076415999999</v>
      </c>
      <c r="K449">
        <v>2400</v>
      </c>
      <c r="L449">
        <v>0</v>
      </c>
      <c r="M449">
        <v>0</v>
      </c>
      <c r="N449">
        <v>2400</v>
      </c>
    </row>
    <row r="450" spans="1:14" x14ac:dyDescent="0.25">
      <c r="A450">
        <v>184</v>
      </c>
      <c r="B450" s="1">
        <f>DATE(2010,11,1) + TIME(0,0,0)</f>
        <v>40483</v>
      </c>
      <c r="C450">
        <v>80</v>
      </c>
      <c r="D450">
        <v>79.915802002000007</v>
      </c>
      <c r="E450">
        <v>50</v>
      </c>
      <c r="F450">
        <v>16.909116744999999</v>
      </c>
      <c r="G450">
        <v>1800.0166016000001</v>
      </c>
      <c r="H450">
        <v>1673.4312743999999</v>
      </c>
      <c r="I450">
        <v>599.54620361000002</v>
      </c>
      <c r="J450">
        <v>216.80577087</v>
      </c>
      <c r="K450">
        <v>2400</v>
      </c>
      <c r="L450">
        <v>0</v>
      </c>
      <c r="M450">
        <v>0</v>
      </c>
      <c r="N450">
        <v>2400</v>
      </c>
    </row>
    <row r="451" spans="1:14" x14ac:dyDescent="0.25">
      <c r="A451">
        <v>184.000001</v>
      </c>
      <c r="B451" s="1">
        <f>DATE(2010,11,1) + TIME(0,0,0)</f>
        <v>40483</v>
      </c>
      <c r="C451">
        <v>80</v>
      </c>
      <c r="D451">
        <v>79.915771484000004</v>
      </c>
      <c r="E451">
        <v>50</v>
      </c>
      <c r="F451">
        <v>16.909168243</v>
      </c>
      <c r="G451">
        <v>1673.4212646000001</v>
      </c>
      <c r="H451">
        <v>1546.8365478999999</v>
      </c>
      <c r="I451">
        <v>982.13287353999999</v>
      </c>
      <c r="J451">
        <v>599.55609131000006</v>
      </c>
      <c r="K451">
        <v>0</v>
      </c>
      <c r="L451">
        <v>2400</v>
      </c>
      <c r="M451">
        <v>2400</v>
      </c>
      <c r="N451">
        <v>0</v>
      </c>
    </row>
    <row r="452" spans="1:14" x14ac:dyDescent="0.25">
      <c r="A452">
        <v>184.00000399999999</v>
      </c>
      <c r="B452" s="1">
        <f>DATE(2010,11,1) + TIME(0,0,0)</f>
        <v>40483</v>
      </c>
      <c r="C452">
        <v>80</v>
      </c>
      <c r="D452">
        <v>79.915679932000003</v>
      </c>
      <c r="E452">
        <v>50</v>
      </c>
      <c r="F452">
        <v>16.909324646000002</v>
      </c>
      <c r="G452">
        <v>1673.3912353999999</v>
      </c>
      <c r="H452">
        <v>1546.8063964999999</v>
      </c>
      <c r="I452">
        <v>982.16064453000001</v>
      </c>
      <c r="J452">
        <v>599.58587646000001</v>
      </c>
      <c r="K452">
        <v>0</v>
      </c>
      <c r="L452">
        <v>2400</v>
      </c>
      <c r="M452">
        <v>2400</v>
      </c>
      <c r="N452">
        <v>0</v>
      </c>
    </row>
    <row r="453" spans="1:14" x14ac:dyDescent="0.25">
      <c r="A453">
        <v>184.000013</v>
      </c>
      <c r="B453" s="1">
        <f>DATE(2010,11,1) + TIME(0,0,1)</f>
        <v>40483.000011574077</v>
      </c>
      <c r="C453">
        <v>80</v>
      </c>
      <c r="D453">
        <v>79.915405273000005</v>
      </c>
      <c r="E453">
        <v>50</v>
      </c>
      <c r="F453">
        <v>16.909793854</v>
      </c>
      <c r="G453">
        <v>1673.3011475000001</v>
      </c>
      <c r="H453">
        <v>1546.7158202999999</v>
      </c>
      <c r="I453">
        <v>982.24383545000001</v>
      </c>
      <c r="J453">
        <v>599.67523193</v>
      </c>
      <c r="K453">
        <v>0</v>
      </c>
      <c r="L453">
        <v>2400</v>
      </c>
      <c r="M453">
        <v>2400</v>
      </c>
      <c r="N453">
        <v>0</v>
      </c>
    </row>
    <row r="454" spans="1:14" x14ac:dyDescent="0.25">
      <c r="A454">
        <v>184.00004000000001</v>
      </c>
      <c r="B454" s="1">
        <f>DATE(2010,11,1) + TIME(0,0,3)</f>
        <v>40483.000034722223</v>
      </c>
      <c r="C454">
        <v>80</v>
      </c>
      <c r="D454">
        <v>79.914573669000006</v>
      </c>
      <c r="E454">
        <v>50</v>
      </c>
      <c r="F454">
        <v>16.911201476999999</v>
      </c>
      <c r="G454">
        <v>1673.0316161999999</v>
      </c>
      <c r="H454">
        <v>1546.4448242000001</v>
      </c>
      <c r="I454">
        <v>982.49340819999998</v>
      </c>
      <c r="J454">
        <v>599.94311522999999</v>
      </c>
      <c r="K454">
        <v>0</v>
      </c>
      <c r="L454">
        <v>2400</v>
      </c>
      <c r="M454">
        <v>2400</v>
      </c>
      <c r="N454">
        <v>0</v>
      </c>
    </row>
    <row r="455" spans="1:14" x14ac:dyDescent="0.25">
      <c r="A455">
        <v>184.00012100000001</v>
      </c>
      <c r="B455" s="1">
        <f>DATE(2010,11,1) + TIME(0,0,10)</f>
        <v>40483.000115740739</v>
      </c>
      <c r="C455">
        <v>80</v>
      </c>
      <c r="D455">
        <v>79.912117003999995</v>
      </c>
      <c r="E455">
        <v>50</v>
      </c>
      <c r="F455">
        <v>16.915420531999999</v>
      </c>
      <c r="G455">
        <v>1672.2275391000001</v>
      </c>
      <c r="H455">
        <v>1545.6364745999999</v>
      </c>
      <c r="I455">
        <v>983.24066161999997</v>
      </c>
      <c r="J455">
        <v>600.74560546999999</v>
      </c>
      <c r="K455">
        <v>0</v>
      </c>
      <c r="L455">
        <v>2400</v>
      </c>
      <c r="M455">
        <v>2400</v>
      </c>
      <c r="N455">
        <v>0</v>
      </c>
    </row>
    <row r="456" spans="1:14" x14ac:dyDescent="0.25">
      <c r="A456">
        <v>184.00036399999999</v>
      </c>
      <c r="B456" s="1">
        <f>DATE(2010,11,1) + TIME(0,0,31)</f>
        <v>40483.000358796293</v>
      </c>
      <c r="C456">
        <v>80</v>
      </c>
      <c r="D456">
        <v>79.904861449999999</v>
      </c>
      <c r="E456">
        <v>50</v>
      </c>
      <c r="F456">
        <v>16.928066254000001</v>
      </c>
      <c r="G456">
        <v>1669.8569336</v>
      </c>
      <c r="H456">
        <v>1543.253418</v>
      </c>
      <c r="I456">
        <v>985.46911621000004</v>
      </c>
      <c r="J456">
        <v>603.14251708999996</v>
      </c>
      <c r="K456">
        <v>0</v>
      </c>
      <c r="L456">
        <v>2400</v>
      </c>
      <c r="M456">
        <v>2400</v>
      </c>
      <c r="N456">
        <v>0</v>
      </c>
    </row>
    <row r="457" spans="1:14" x14ac:dyDescent="0.25">
      <c r="A457">
        <v>184.001093</v>
      </c>
      <c r="B457" s="1">
        <f>DATE(2010,11,1) + TIME(0,1,34)</f>
        <v>40483.001087962963</v>
      </c>
      <c r="C457">
        <v>80</v>
      </c>
      <c r="D457">
        <v>79.884162903000004</v>
      </c>
      <c r="E457">
        <v>50</v>
      </c>
      <c r="F457">
        <v>16.965856552000002</v>
      </c>
      <c r="G457">
        <v>1663.0946045000001</v>
      </c>
      <c r="H457">
        <v>1536.4571533000001</v>
      </c>
      <c r="I457">
        <v>992.03839111000002</v>
      </c>
      <c r="J457">
        <v>610.23028564000003</v>
      </c>
      <c r="K457">
        <v>0</v>
      </c>
      <c r="L457">
        <v>2400</v>
      </c>
      <c r="M457">
        <v>2400</v>
      </c>
      <c r="N457">
        <v>0</v>
      </c>
    </row>
    <row r="458" spans="1:14" x14ac:dyDescent="0.25">
      <c r="A458">
        <v>184.00327999999999</v>
      </c>
      <c r="B458" s="1">
        <f>DATE(2010,11,1) + TIME(0,4,43)</f>
        <v>40483.003275462965</v>
      </c>
      <c r="C458">
        <v>80</v>
      </c>
      <c r="D458">
        <v>79.830070496000005</v>
      </c>
      <c r="E458">
        <v>50</v>
      </c>
      <c r="F458">
        <v>17.077934265</v>
      </c>
      <c r="G458">
        <v>1645.4259033000001</v>
      </c>
      <c r="H458">
        <v>1518.7048339999999</v>
      </c>
      <c r="I458">
        <v>1010.7689819</v>
      </c>
      <c r="J458">
        <v>630.51763916000004</v>
      </c>
      <c r="K458">
        <v>0</v>
      </c>
      <c r="L458">
        <v>2400</v>
      </c>
      <c r="M458">
        <v>2400</v>
      </c>
      <c r="N458">
        <v>0</v>
      </c>
    </row>
    <row r="459" spans="1:14" x14ac:dyDescent="0.25">
      <c r="A459">
        <v>184.00984099999999</v>
      </c>
      <c r="B459" s="1">
        <f>DATE(2010,11,1) + TIME(0,14,10)</f>
        <v>40483.009837962964</v>
      </c>
      <c r="C459">
        <v>80</v>
      </c>
      <c r="D459">
        <v>79.713401794000006</v>
      </c>
      <c r="E459">
        <v>50</v>
      </c>
      <c r="F459">
        <v>17.404186248999999</v>
      </c>
      <c r="G459">
        <v>1607.3876952999999</v>
      </c>
      <c r="H459">
        <v>1480.4949951000001</v>
      </c>
      <c r="I459">
        <v>1059.6247559000001</v>
      </c>
      <c r="J459">
        <v>683.52954102000001</v>
      </c>
      <c r="K459">
        <v>0</v>
      </c>
      <c r="L459">
        <v>2400</v>
      </c>
      <c r="M459">
        <v>2400</v>
      </c>
      <c r="N459">
        <v>0</v>
      </c>
    </row>
    <row r="460" spans="1:14" x14ac:dyDescent="0.25">
      <c r="A460">
        <v>184.02952400000001</v>
      </c>
      <c r="B460" s="1">
        <f>DATE(2010,11,1) + TIME(0,42,30)</f>
        <v>40483.029513888891</v>
      </c>
      <c r="C460">
        <v>80</v>
      </c>
      <c r="D460">
        <v>79.528388977000006</v>
      </c>
      <c r="E460">
        <v>50</v>
      </c>
      <c r="F460">
        <v>18.327629088999998</v>
      </c>
      <c r="G460">
        <v>1547.1616211</v>
      </c>
      <c r="H460">
        <v>1420.0124512</v>
      </c>
      <c r="I460">
        <v>1163.8475341999999</v>
      </c>
      <c r="J460">
        <v>797.26617432</v>
      </c>
      <c r="K460">
        <v>0</v>
      </c>
      <c r="L460">
        <v>2400</v>
      </c>
      <c r="M460">
        <v>2400</v>
      </c>
      <c r="N460">
        <v>0</v>
      </c>
    </row>
    <row r="461" spans="1:14" x14ac:dyDescent="0.25">
      <c r="A461">
        <v>184.050839</v>
      </c>
      <c r="B461" s="1">
        <f>DATE(2010,11,1) + TIME(1,13,12)</f>
        <v>40483.050833333335</v>
      </c>
      <c r="C461">
        <v>80</v>
      </c>
      <c r="D461">
        <v>79.410491942999997</v>
      </c>
      <c r="E461">
        <v>50</v>
      </c>
      <c r="F461">
        <v>19.266302109000002</v>
      </c>
      <c r="G461">
        <v>1508.723999</v>
      </c>
      <c r="H461">
        <v>1381.4085693</v>
      </c>
      <c r="I461">
        <v>1244.6770019999999</v>
      </c>
      <c r="J461">
        <v>886.41326904000005</v>
      </c>
      <c r="K461">
        <v>0</v>
      </c>
      <c r="L461">
        <v>2400</v>
      </c>
      <c r="M461">
        <v>2400</v>
      </c>
      <c r="N461">
        <v>0</v>
      </c>
    </row>
    <row r="462" spans="1:14" x14ac:dyDescent="0.25">
      <c r="A462">
        <v>184.07354599999999</v>
      </c>
      <c r="B462" s="1">
        <f>DATE(2010,11,1) + TIME(1,45,54)</f>
        <v>40483.073541666665</v>
      </c>
      <c r="C462">
        <v>80</v>
      </c>
      <c r="D462">
        <v>79.328643799000005</v>
      </c>
      <c r="E462">
        <v>50</v>
      </c>
      <c r="F462">
        <v>20.209230423000001</v>
      </c>
      <c r="G462">
        <v>1481.8327637</v>
      </c>
      <c r="H462">
        <v>1354.4067382999999</v>
      </c>
      <c r="I462">
        <v>1306.7536620999999</v>
      </c>
      <c r="J462">
        <v>956.19818114999998</v>
      </c>
      <c r="K462">
        <v>0</v>
      </c>
      <c r="L462">
        <v>2400</v>
      </c>
      <c r="M462">
        <v>2400</v>
      </c>
      <c r="N462">
        <v>0</v>
      </c>
    </row>
    <row r="463" spans="1:14" x14ac:dyDescent="0.25">
      <c r="A463">
        <v>184.09762799999999</v>
      </c>
      <c r="B463" s="1">
        <f>DATE(2010,11,1) + TIME(2,20,35)</f>
        <v>40483.097627314812</v>
      </c>
      <c r="C463">
        <v>80</v>
      </c>
      <c r="D463">
        <v>79.267066955999994</v>
      </c>
      <c r="E463">
        <v>50</v>
      </c>
      <c r="F463">
        <v>21.158470154</v>
      </c>
      <c r="G463">
        <v>1461.40625</v>
      </c>
      <c r="H463">
        <v>1333.9002685999999</v>
      </c>
      <c r="I463">
        <v>1354.9967041</v>
      </c>
      <c r="J463">
        <v>1011.8429565</v>
      </c>
      <c r="K463">
        <v>0</v>
      </c>
      <c r="L463">
        <v>2400</v>
      </c>
      <c r="M463">
        <v>2400</v>
      </c>
      <c r="N463">
        <v>0</v>
      </c>
    </row>
    <row r="464" spans="1:14" x14ac:dyDescent="0.25">
      <c r="A464">
        <v>184.122997</v>
      </c>
      <c r="B464" s="1">
        <f>DATE(2010,11,1) + TIME(2,57,6)</f>
        <v>40483.122986111113</v>
      </c>
      <c r="C464">
        <v>80</v>
      </c>
      <c r="D464">
        <v>79.218002318999993</v>
      </c>
      <c r="E464">
        <v>50</v>
      </c>
      <c r="F464">
        <v>22.111001968</v>
      </c>
      <c r="G464">
        <v>1444.9716797000001</v>
      </c>
      <c r="H464">
        <v>1317.4046631000001</v>
      </c>
      <c r="I464">
        <v>1393.0272216999999</v>
      </c>
      <c r="J464">
        <v>1057.0615233999999</v>
      </c>
      <c r="K464">
        <v>0</v>
      </c>
      <c r="L464">
        <v>2400</v>
      </c>
      <c r="M464">
        <v>2400</v>
      </c>
      <c r="N464">
        <v>0</v>
      </c>
    </row>
    <row r="465" spans="1:14" x14ac:dyDescent="0.25">
      <c r="A465">
        <v>184.149631</v>
      </c>
      <c r="B465" s="1">
        <f>DATE(2010,11,1) + TIME(3,35,28)</f>
        <v>40483.149629629632</v>
      </c>
      <c r="C465">
        <v>80</v>
      </c>
      <c r="D465">
        <v>79.177169800000001</v>
      </c>
      <c r="E465">
        <v>50</v>
      </c>
      <c r="F465">
        <v>23.065832138000001</v>
      </c>
      <c r="G465">
        <v>1431.1806641000001</v>
      </c>
      <c r="H465">
        <v>1303.5650635</v>
      </c>
      <c r="I465">
        <v>1423.59375</v>
      </c>
      <c r="J465">
        <v>1094.6314697</v>
      </c>
      <c r="K465">
        <v>0</v>
      </c>
      <c r="L465">
        <v>2400</v>
      </c>
      <c r="M465">
        <v>2400</v>
      </c>
      <c r="N465">
        <v>0</v>
      </c>
    </row>
    <row r="466" spans="1:14" x14ac:dyDescent="0.25">
      <c r="A466">
        <v>184.177525</v>
      </c>
      <c r="B466" s="1">
        <f>DATE(2010,11,1) + TIME(4,15,38)</f>
        <v>40483.177523148152</v>
      </c>
      <c r="C466">
        <v>80</v>
      </c>
      <c r="D466">
        <v>79.142097473000007</v>
      </c>
      <c r="E466">
        <v>50</v>
      </c>
      <c r="F466">
        <v>24.021898270000001</v>
      </c>
      <c r="G466">
        <v>1419.2540283000001</v>
      </c>
      <c r="H466">
        <v>1291.5987548999999</v>
      </c>
      <c r="I466">
        <v>1448.6875</v>
      </c>
      <c r="J466">
        <v>1126.5472411999999</v>
      </c>
      <c r="K466">
        <v>0</v>
      </c>
      <c r="L466">
        <v>2400</v>
      </c>
      <c r="M466">
        <v>2400</v>
      </c>
      <c r="N466">
        <v>0</v>
      </c>
    </row>
    <row r="467" spans="1:14" x14ac:dyDescent="0.25">
      <c r="A467">
        <v>184.20670000000001</v>
      </c>
      <c r="B467" s="1">
        <f>DATE(2010,11,1) + TIME(4,57,38)</f>
        <v>40483.206689814811</v>
      </c>
      <c r="C467">
        <v>80</v>
      </c>
      <c r="D467">
        <v>79.111228943</v>
      </c>
      <c r="E467">
        <v>50</v>
      </c>
      <c r="F467">
        <v>24.978408813000001</v>
      </c>
      <c r="G467">
        <v>1408.7043457</v>
      </c>
      <c r="H467">
        <v>1281.0158690999999</v>
      </c>
      <c r="I467">
        <v>1469.7376709</v>
      </c>
      <c r="J467">
        <v>1154.2395019999999</v>
      </c>
      <c r="K467">
        <v>0</v>
      </c>
      <c r="L467">
        <v>2400</v>
      </c>
      <c r="M467">
        <v>2400</v>
      </c>
      <c r="N467">
        <v>0</v>
      </c>
    </row>
    <row r="468" spans="1:14" x14ac:dyDescent="0.25">
      <c r="A468">
        <v>184.237202</v>
      </c>
      <c r="B468" s="1">
        <f>DATE(2010,11,1) + TIME(5,41,34)</f>
        <v>40483.237199074072</v>
      </c>
      <c r="C468">
        <v>80</v>
      </c>
      <c r="D468">
        <v>79.083503723000007</v>
      </c>
      <c r="E468">
        <v>50</v>
      </c>
      <c r="F468">
        <v>25.935363769999999</v>
      </c>
      <c r="G468">
        <v>1399.2072754000001</v>
      </c>
      <c r="H468">
        <v>1271.4906006000001</v>
      </c>
      <c r="I468">
        <v>1487.7573242000001</v>
      </c>
      <c r="J468">
        <v>1178.7171631000001</v>
      </c>
      <c r="K468">
        <v>0</v>
      </c>
      <c r="L468">
        <v>2400</v>
      </c>
      <c r="M468">
        <v>2400</v>
      </c>
      <c r="N468">
        <v>0</v>
      </c>
    </row>
    <row r="469" spans="1:14" x14ac:dyDescent="0.25">
      <c r="A469">
        <v>184.26907700000001</v>
      </c>
      <c r="B469" s="1">
        <f>DATE(2010,11,1) + TIME(6,27,28)</f>
        <v>40483.269074074073</v>
      </c>
      <c r="C469">
        <v>80</v>
      </c>
      <c r="D469">
        <v>79.058204650999997</v>
      </c>
      <c r="E469">
        <v>50</v>
      </c>
      <c r="F469">
        <v>26.891246796000001</v>
      </c>
      <c r="G469">
        <v>1390.5405272999999</v>
      </c>
      <c r="H469">
        <v>1262.7996826000001</v>
      </c>
      <c r="I469">
        <v>1503.4615478999999</v>
      </c>
      <c r="J469">
        <v>1200.6887207</v>
      </c>
      <c r="K469">
        <v>0</v>
      </c>
      <c r="L469">
        <v>2400</v>
      </c>
      <c r="M469">
        <v>2400</v>
      </c>
      <c r="N469">
        <v>0</v>
      </c>
    </row>
    <row r="470" spans="1:14" x14ac:dyDescent="0.25">
      <c r="A470">
        <v>184.30242200000001</v>
      </c>
      <c r="B470" s="1">
        <f>DATE(2010,11,1) + TIME(7,15,29)</f>
        <v>40483.302418981482</v>
      </c>
      <c r="C470">
        <v>80</v>
      </c>
      <c r="D470">
        <v>79.034782410000005</v>
      </c>
      <c r="E470">
        <v>50</v>
      </c>
      <c r="F470">
        <v>27.846195220999999</v>
      </c>
      <c r="G470">
        <v>1382.5340576000001</v>
      </c>
      <c r="H470">
        <v>1254.7723389</v>
      </c>
      <c r="I470">
        <v>1517.3826904</v>
      </c>
      <c r="J470">
        <v>1220.6912841999999</v>
      </c>
      <c r="K470">
        <v>0</v>
      </c>
      <c r="L470">
        <v>2400</v>
      </c>
      <c r="M470">
        <v>2400</v>
      </c>
      <c r="N470">
        <v>0</v>
      </c>
    </row>
    <row r="471" spans="1:14" x14ac:dyDescent="0.25">
      <c r="A471">
        <v>184.33734000000001</v>
      </c>
      <c r="B471" s="1">
        <f>DATE(2010,11,1) + TIME(8,5,46)</f>
        <v>40483.337337962963</v>
      </c>
      <c r="C471">
        <v>80</v>
      </c>
      <c r="D471">
        <v>79.012802124000004</v>
      </c>
      <c r="E471">
        <v>50</v>
      </c>
      <c r="F471">
        <v>28.799926758000002</v>
      </c>
      <c r="G471">
        <v>1375.0632324000001</v>
      </c>
      <c r="H471">
        <v>1247.2830810999999</v>
      </c>
      <c r="I471">
        <v>1529.9093018000001</v>
      </c>
      <c r="J471">
        <v>1239.1159668</v>
      </c>
      <c r="K471">
        <v>0</v>
      </c>
      <c r="L471">
        <v>2400</v>
      </c>
      <c r="M471">
        <v>2400</v>
      </c>
      <c r="N471">
        <v>0</v>
      </c>
    </row>
    <row r="472" spans="1:14" x14ac:dyDescent="0.25">
      <c r="A472">
        <v>184.373952</v>
      </c>
      <c r="B472" s="1">
        <f>DATE(2010,11,1) + TIME(8,58,29)</f>
        <v>40483.37394675926</v>
      </c>
      <c r="C472">
        <v>80</v>
      </c>
      <c r="D472">
        <v>78.991943359000004</v>
      </c>
      <c r="E472">
        <v>50</v>
      </c>
      <c r="F472">
        <v>29.752172470000001</v>
      </c>
      <c r="G472">
        <v>1368.0313721</v>
      </c>
      <c r="H472">
        <v>1240.2351074000001</v>
      </c>
      <c r="I472">
        <v>1541.3349608999999</v>
      </c>
      <c r="J472">
        <v>1256.2598877</v>
      </c>
      <c r="K472">
        <v>0</v>
      </c>
      <c r="L472">
        <v>2400</v>
      </c>
      <c r="M472">
        <v>2400</v>
      </c>
      <c r="N472">
        <v>0</v>
      </c>
    </row>
    <row r="473" spans="1:14" x14ac:dyDescent="0.25">
      <c r="A473">
        <v>184.41239999999999</v>
      </c>
      <c r="B473" s="1">
        <f>DATE(2010,11,1) + TIME(9,53,51)</f>
        <v>40483.412395833337</v>
      </c>
      <c r="C473">
        <v>80</v>
      </c>
      <c r="D473">
        <v>78.971931458</v>
      </c>
      <c r="E473">
        <v>50</v>
      </c>
      <c r="F473">
        <v>30.702833175999999</v>
      </c>
      <c r="G473">
        <v>1361.3615723</v>
      </c>
      <c r="H473">
        <v>1233.5509033000001</v>
      </c>
      <c r="I473">
        <v>1551.8854980000001</v>
      </c>
      <c r="J473">
        <v>1272.354126</v>
      </c>
      <c r="K473">
        <v>0</v>
      </c>
      <c r="L473">
        <v>2400</v>
      </c>
      <c r="M473">
        <v>2400</v>
      </c>
      <c r="N473">
        <v>0</v>
      </c>
    </row>
    <row r="474" spans="1:14" x14ac:dyDescent="0.25">
      <c r="A474">
        <v>184.452844</v>
      </c>
      <c r="B474" s="1">
        <f>DATE(2010,11,1) + TIME(10,52,5)</f>
        <v>40483.452835648146</v>
      </c>
      <c r="C474">
        <v>80</v>
      </c>
      <c r="D474">
        <v>78.952529906999999</v>
      </c>
      <c r="E474">
        <v>50</v>
      </c>
      <c r="F474">
        <v>31.651424408</v>
      </c>
      <c r="G474">
        <v>1354.9916992000001</v>
      </c>
      <c r="H474">
        <v>1227.1682129000001</v>
      </c>
      <c r="I474">
        <v>1561.739624</v>
      </c>
      <c r="J474">
        <v>1287.5820312000001</v>
      </c>
      <c r="K474">
        <v>0</v>
      </c>
      <c r="L474">
        <v>2400</v>
      </c>
      <c r="M474">
        <v>2400</v>
      </c>
      <c r="N474">
        <v>0</v>
      </c>
    </row>
    <row r="475" spans="1:14" x14ac:dyDescent="0.25">
      <c r="A475">
        <v>184.495474</v>
      </c>
      <c r="B475" s="1">
        <f>DATE(2010,11,1) + TIME(11,53,28)</f>
        <v>40483.495462962965</v>
      </c>
      <c r="C475">
        <v>80</v>
      </c>
      <c r="D475">
        <v>78.933547974000007</v>
      </c>
      <c r="E475">
        <v>50</v>
      </c>
      <c r="F475">
        <v>32.597599029999998</v>
      </c>
      <c r="G475">
        <v>1348.8693848</v>
      </c>
      <c r="H475">
        <v>1221.0341797000001</v>
      </c>
      <c r="I475">
        <v>1571.0430908000001</v>
      </c>
      <c r="J475">
        <v>1302.0953368999999</v>
      </c>
      <c r="K475">
        <v>0</v>
      </c>
      <c r="L475">
        <v>2400</v>
      </c>
      <c r="M475">
        <v>2400</v>
      </c>
      <c r="N475">
        <v>0</v>
      </c>
    </row>
    <row r="476" spans="1:14" x14ac:dyDescent="0.25">
      <c r="A476">
        <v>184.540288</v>
      </c>
      <c r="B476" s="1">
        <f>DATE(2010,11,1) + TIME(12,58,0)</f>
        <v>40483.540277777778</v>
      </c>
      <c r="C476">
        <v>80</v>
      </c>
      <c r="D476">
        <v>78.914863585999996</v>
      </c>
      <c r="E476">
        <v>50</v>
      </c>
      <c r="F476">
        <v>33.536594391000001</v>
      </c>
      <c r="G476">
        <v>1342.9765625</v>
      </c>
      <c r="H476">
        <v>1215.1308594</v>
      </c>
      <c r="I476">
        <v>1579.8763428</v>
      </c>
      <c r="J476">
        <v>1315.9559326000001</v>
      </c>
      <c r="K476">
        <v>0</v>
      </c>
      <c r="L476">
        <v>2400</v>
      </c>
      <c r="M476">
        <v>2400</v>
      </c>
      <c r="N476">
        <v>0</v>
      </c>
    </row>
    <row r="477" spans="1:14" x14ac:dyDescent="0.25">
      <c r="A477">
        <v>184.58748399999999</v>
      </c>
      <c r="B477" s="1">
        <f>DATE(2010,11,1) + TIME(14,5,58)</f>
        <v>40483.587476851855</v>
      </c>
      <c r="C477">
        <v>80</v>
      </c>
      <c r="D477">
        <v>78.896331786999994</v>
      </c>
      <c r="E477">
        <v>50</v>
      </c>
      <c r="F477">
        <v>34.467647552000003</v>
      </c>
      <c r="G477">
        <v>1337.2745361</v>
      </c>
      <c r="H477">
        <v>1209.4191894999999</v>
      </c>
      <c r="I477">
        <v>1588.3404541</v>
      </c>
      <c r="J477">
        <v>1329.2697754000001</v>
      </c>
      <c r="K477">
        <v>0</v>
      </c>
      <c r="L477">
        <v>2400</v>
      </c>
      <c r="M477">
        <v>2400</v>
      </c>
      <c r="N477">
        <v>0</v>
      </c>
    </row>
    <row r="478" spans="1:14" x14ac:dyDescent="0.25">
      <c r="A478">
        <v>184.63728399999999</v>
      </c>
      <c r="B478" s="1">
        <f>DATE(2010,11,1) + TIME(15,17,41)</f>
        <v>40483.637280092589</v>
      </c>
      <c r="C478">
        <v>80</v>
      </c>
      <c r="D478">
        <v>78.877777100000003</v>
      </c>
      <c r="E478">
        <v>50</v>
      </c>
      <c r="F478">
        <v>35.389923095999997</v>
      </c>
      <c r="G478">
        <v>1331.7292480000001</v>
      </c>
      <c r="H478">
        <v>1203.8651123</v>
      </c>
      <c r="I478">
        <v>1596.5211182</v>
      </c>
      <c r="J478">
        <v>1342.1270752</v>
      </c>
      <c r="K478">
        <v>0</v>
      </c>
      <c r="L478">
        <v>2400</v>
      </c>
      <c r="M478">
        <v>2400</v>
      </c>
      <c r="N478">
        <v>0</v>
      </c>
    </row>
    <row r="479" spans="1:14" x14ac:dyDescent="0.25">
      <c r="A479">
        <v>184.68997100000001</v>
      </c>
      <c r="B479" s="1">
        <f>DATE(2010,11,1) + TIME(16,33,33)</f>
        <v>40483.689965277779</v>
      </c>
      <c r="C479">
        <v>80</v>
      </c>
      <c r="D479">
        <v>78.859062195000007</v>
      </c>
      <c r="E479">
        <v>50</v>
      </c>
      <c r="F479">
        <v>36.302871703999998</v>
      </c>
      <c r="G479">
        <v>1326.3084716999999</v>
      </c>
      <c r="H479">
        <v>1198.4357910000001</v>
      </c>
      <c r="I479">
        <v>1604.4951172000001</v>
      </c>
      <c r="J479">
        <v>1354.6112060999999</v>
      </c>
      <c r="K479">
        <v>0</v>
      </c>
      <c r="L479">
        <v>2400</v>
      </c>
      <c r="M479">
        <v>2400</v>
      </c>
      <c r="N479">
        <v>0</v>
      </c>
    </row>
    <row r="480" spans="1:14" x14ac:dyDescent="0.25">
      <c r="A480">
        <v>184.745836</v>
      </c>
      <c r="B480" s="1">
        <f>DATE(2010,11,1) + TIME(17,54,0)</f>
        <v>40483.745833333334</v>
      </c>
      <c r="C480">
        <v>80</v>
      </c>
      <c r="D480">
        <v>78.840026855000005</v>
      </c>
      <c r="E480">
        <v>50</v>
      </c>
      <c r="F480">
        <v>37.205341339</v>
      </c>
      <c r="G480">
        <v>1320.9848632999999</v>
      </c>
      <c r="H480">
        <v>1193.1042480000001</v>
      </c>
      <c r="I480">
        <v>1612.3261719</v>
      </c>
      <c r="J480">
        <v>1366.7888184000001</v>
      </c>
      <c r="K480">
        <v>0</v>
      </c>
      <c r="L480">
        <v>2400</v>
      </c>
      <c r="M480">
        <v>2400</v>
      </c>
      <c r="N480">
        <v>0</v>
      </c>
    </row>
    <row r="481" spans="1:14" x14ac:dyDescent="0.25">
      <c r="A481">
        <v>184.80524600000001</v>
      </c>
      <c r="B481" s="1">
        <f>DATE(2010,11,1) + TIME(19,19,33)</f>
        <v>40483.805243055554</v>
      </c>
      <c r="C481">
        <v>80</v>
      </c>
      <c r="D481">
        <v>78.820510863999999</v>
      </c>
      <c r="E481">
        <v>50</v>
      </c>
      <c r="F481">
        <v>38.096454620000003</v>
      </c>
      <c r="G481">
        <v>1315.730957</v>
      </c>
      <c r="H481">
        <v>1187.8426514</v>
      </c>
      <c r="I481">
        <v>1620.0749512</v>
      </c>
      <c r="J481">
        <v>1378.7252197</v>
      </c>
      <c r="K481">
        <v>0</v>
      </c>
      <c r="L481">
        <v>2400</v>
      </c>
      <c r="M481">
        <v>2400</v>
      </c>
      <c r="N481">
        <v>0</v>
      </c>
    </row>
    <row r="482" spans="1:14" x14ac:dyDescent="0.25">
      <c r="A482">
        <v>184.86860100000001</v>
      </c>
      <c r="B482" s="1">
        <f>DATE(2010,11,1) + TIME(20,50,47)</f>
        <v>40483.86859953704</v>
      </c>
      <c r="C482">
        <v>80</v>
      </c>
      <c r="D482">
        <v>78.800369262999993</v>
      </c>
      <c r="E482">
        <v>50</v>
      </c>
      <c r="F482">
        <v>38.974834442000002</v>
      </c>
      <c r="G482">
        <v>1310.5220947</v>
      </c>
      <c r="H482">
        <v>1182.6263428</v>
      </c>
      <c r="I482">
        <v>1627.7941894999999</v>
      </c>
      <c r="J482">
        <v>1390.4754639</v>
      </c>
      <c r="K482">
        <v>0</v>
      </c>
      <c r="L482">
        <v>2400</v>
      </c>
      <c r="M482">
        <v>2400</v>
      </c>
      <c r="N482">
        <v>0</v>
      </c>
    </row>
    <row r="483" spans="1:14" x14ac:dyDescent="0.25">
      <c r="A483">
        <v>184.93642399999999</v>
      </c>
      <c r="B483" s="1">
        <f>DATE(2010,11,1) + TIME(22,28,27)</f>
        <v>40483.936423611114</v>
      </c>
      <c r="C483">
        <v>80</v>
      </c>
      <c r="D483">
        <v>78.779396057</v>
      </c>
      <c r="E483">
        <v>50</v>
      </c>
      <c r="F483">
        <v>39.839565276999998</v>
      </c>
      <c r="G483">
        <v>1305.3306885</v>
      </c>
      <c r="H483">
        <v>1177.4273682</v>
      </c>
      <c r="I483">
        <v>1635.5405272999999</v>
      </c>
      <c r="J483">
        <v>1402.1005858999999</v>
      </c>
      <c r="K483">
        <v>0</v>
      </c>
      <c r="L483">
        <v>2400</v>
      </c>
      <c r="M483">
        <v>2400</v>
      </c>
      <c r="N483">
        <v>0</v>
      </c>
    </row>
    <row r="484" spans="1:14" x14ac:dyDescent="0.25">
      <c r="A484">
        <v>185.00935699999999</v>
      </c>
      <c r="B484" s="1">
        <f>DATE(2010,11,2) + TIME(0,13,28)</f>
        <v>40484.009351851855</v>
      </c>
      <c r="C484">
        <v>80</v>
      </c>
      <c r="D484">
        <v>78.757408142000003</v>
      </c>
      <c r="E484">
        <v>50</v>
      </c>
      <c r="F484">
        <v>40.689922332999998</v>
      </c>
      <c r="G484">
        <v>1300.1269531</v>
      </c>
      <c r="H484">
        <v>1172.2159423999999</v>
      </c>
      <c r="I484">
        <v>1643.3709716999999</v>
      </c>
      <c r="J484">
        <v>1413.6627197</v>
      </c>
      <c r="K484">
        <v>0</v>
      </c>
      <c r="L484">
        <v>2400</v>
      </c>
      <c r="M484">
        <v>2400</v>
      </c>
      <c r="N484">
        <v>0</v>
      </c>
    </row>
    <row r="485" spans="1:14" x14ac:dyDescent="0.25">
      <c r="A485">
        <v>185.088122</v>
      </c>
      <c r="B485" s="1">
        <f>DATE(2010,11,2) + TIME(2,6,53)</f>
        <v>40484.088113425925</v>
      </c>
      <c r="C485">
        <v>80</v>
      </c>
      <c r="D485">
        <v>78.734161377000007</v>
      </c>
      <c r="E485">
        <v>50</v>
      </c>
      <c r="F485">
        <v>41.524124145999998</v>
      </c>
      <c r="G485">
        <v>1294.8831786999999</v>
      </c>
      <c r="H485">
        <v>1166.9642334</v>
      </c>
      <c r="I485">
        <v>1651.3391113</v>
      </c>
      <c r="J485">
        <v>1425.2163086</v>
      </c>
      <c r="K485">
        <v>0</v>
      </c>
      <c r="L485">
        <v>2400</v>
      </c>
      <c r="M485">
        <v>2400</v>
      </c>
      <c r="N485">
        <v>0</v>
      </c>
    </row>
    <row r="486" spans="1:14" x14ac:dyDescent="0.25">
      <c r="A486">
        <v>185.17366999999999</v>
      </c>
      <c r="B486" s="1">
        <f>DATE(2010,11,2) + TIME(4,10,5)</f>
        <v>40484.173668981479</v>
      </c>
      <c r="C486">
        <v>80</v>
      </c>
      <c r="D486">
        <v>78.709388732999997</v>
      </c>
      <c r="E486">
        <v>50</v>
      </c>
      <c r="F486">
        <v>42.340881348000003</v>
      </c>
      <c r="G486">
        <v>1289.5655518000001</v>
      </c>
      <c r="H486">
        <v>1161.6380615</v>
      </c>
      <c r="I486">
        <v>1659.5070800999999</v>
      </c>
      <c r="J486">
        <v>1436.8266602000001</v>
      </c>
      <c r="K486">
        <v>0</v>
      </c>
      <c r="L486">
        <v>2400</v>
      </c>
      <c r="M486">
        <v>2400</v>
      </c>
      <c r="N486">
        <v>0</v>
      </c>
    </row>
    <row r="487" spans="1:14" x14ac:dyDescent="0.25">
      <c r="A487">
        <v>185.26720800000001</v>
      </c>
      <c r="B487" s="1">
        <f>DATE(2010,11,2) + TIME(6,24,46)</f>
        <v>40484.267199074071</v>
      </c>
      <c r="C487">
        <v>80</v>
      </c>
      <c r="D487">
        <v>78.682769774999997</v>
      </c>
      <c r="E487">
        <v>50</v>
      </c>
      <c r="F487">
        <v>43.138813018999997</v>
      </c>
      <c r="G487">
        <v>1284.1347656</v>
      </c>
      <c r="H487">
        <v>1156.1981201000001</v>
      </c>
      <c r="I487">
        <v>1667.9451904</v>
      </c>
      <c r="J487">
        <v>1448.5667725000001</v>
      </c>
      <c r="K487">
        <v>0</v>
      </c>
      <c r="L487">
        <v>2400</v>
      </c>
      <c r="M487">
        <v>2400</v>
      </c>
      <c r="N487">
        <v>0</v>
      </c>
    </row>
    <row r="488" spans="1:14" x14ac:dyDescent="0.25">
      <c r="A488">
        <v>185.37027699999999</v>
      </c>
      <c r="B488" s="1">
        <f>DATE(2010,11,2) + TIME(8,53,11)</f>
        <v>40484.370266203703</v>
      </c>
      <c r="C488">
        <v>80</v>
      </c>
      <c r="D488">
        <v>78.653884887999993</v>
      </c>
      <c r="E488">
        <v>50</v>
      </c>
      <c r="F488">
        <v>43.916233063</v>
      </c>
      <c r="G488">
        <v>1278.5452881000001</v>
      </c>
      <c r="H488">
        <v>1150.5987548999999</v>
      </c>
      <c r="I488">
        <v>1676.7335204999999</v>
      </c>
      <c r="J488">
        <v>1460.5179443</v>
      </c>
      <c r="K488">
        <v>0</v>
      </c>
      <c r="L488">
        <v>2400</v>
      </c>
      <c r="M488">
        <v>2400</v>
      </c>
      <c r="N488">
        <v>0</v>
      </c>
    </row>
    <row r="489" spans="1:14" x14ac:dyDescent="0.25">
      <c r="A489">
        <v>185.481933</v>
      </c>
      <c r="B489" s="1">
        <f>DATE(2010,11,2) + TIME(11,33,59)</f>
        <v>40484.481932870367</v>
      </c>
      <c r="C489">
        <v>80</v>
      </c>
      <c r="D489">
        <v>78.622940063000001</v>
      </c>
      <c r="E489">
        <v>50</v>
      </c>
      <c r="F489">
        <v>44.654018401999998</v>
      </c>
      <c r="G489">
        <v>1272.8826904</v>
      </c>
      <c r="H489">
        <v>1144.9251709</v>
      </c>
      <c r="I489">
        <v>1685.7285156</v>
      </c>
      <c r="J489">
        <v>1472.4676514</v>
      </c>
      <c r="K489">
        <v>0</v>
      </c>
      <c r="L489">
        <v>2400</v>
      </c>
      <c r="M489">
        <v>2400</v>
      </c>
      <c r="N489">
        <v>0</v>
      </c>
    </row>
    <row r="490" spans="1:14" x14ac:dyDescent="0.25">
      <c r="A490">
        <v>185.59452400000001</v>
      </c>
      <c r="B490" s="1">
        <f>DATE(2010,11,2) + TIME(14,16,6)</f>
        <v>40484.594513888886</v>
      </c>
      <c r="C490">
        <v>80</v>
      </c>
      <c r="D490">
        <v>78.591659546000002</v>
      </c>
      <c r="E490">
        <v>50</v>
      </c>
      <c r="F490">
        <v>45.305213928000001</v>
      </c>
      <c r="G490">
        <v>1267.5135498</v>
      </c>
      <c r="H490">
        <v>1139.5450439000001</v>
      </c>
      <c r="I490">
        <v>1694.2947998</v>
      </c>
      <c r="J490">
        <v>1483.604126</v>
      </c>
      <c r="K490">
        <v>0</v>
      </c>
      <c r="L490">
        <v>2400</v>
      </c>
      <c r="M490">
        <v>2400</v>
      </c>
      <c r="N490">
        <v>0</v>
      </c>
    </row>
    <row r="491" spans="1:14" x14ac:dyDescent="0.25">
      <c r="A491">
        <v>185.70900499999999</v>
      </c>
      <c r="B491" s="1">
        <f>DATE(2010,11,2) + TIME(17,0,58)</f>
        <v>40484.709004629629</v>
      </c>
      <c r="C491">
        <v>80</v>
      </c>
      <c r="D491">
        <v>78.559829711999996</v>
      </c>
      <c r="E491">
        <v>50</v>
      </c>
      <c r="F491">
        <v>45.883819580000001</v>
      </c>
      <c r="G491">
        <v>1262.3608397999999</v>
      </c>
      <c r="H491">
        <v>1134.3806152</v>
      </c>
      <c r="I491">
        <v>1702.5609131000001</v>
      </c>
      <c r="J491">
        <v>1494.1309814000001</v>
      </c>
      <c r="K491">
        <v>0</v>
      </c>
      <c r="L491">
        <v>2400</v>
      </c>
      <c r="M491">
        <v>2400</v>
      </c>
      <c r="N491">
        <v>0</v>
      </c>
    </row>
    <row r="492" spans="1:14" x14ac:dyDescent="0.25">
      <c r="A492">
        <v>185.825883</v>
      </c>
      <c r="B492" s="1">
        <f>DATE(2010,11,2) + TIME(19,49,16)</f>
        <v>40484.825879629629</v>
      </c>
      <c r="C492">
        <v>80</v>
      </c>
      <c r="D492">
        <v>78.52734375</v>
      </c>
      <c r="E492">
        <v>50</v>
      </c>
      <c r="F492">
        <v>46.398887633999998</v>
      </c>
      <c r="G492">
        <v>1257.3791504000001</v>
      </c>
      <c r="H492">
        <v>1129.3865966999999</v>
      </c>
      <c r="I492">
        <v>1710.5977783000001</v>
      </c>
      <c r="J492">
        <v>1504.1644286999999</v>
      </c>
      <c r="K492">
        <v>0</v>
      </c>
      <c r="L492">
        <v>2400</v>
      </c>
      <c r="M492">
        <v>2400</v>
      </c>
      <c r="N492">
        <v>0</v>
      </c>
    </row>
    <row r="493" spans="1:14" x14ac:dyDescent="0.25">
      <c r="A493">
        <v>185.945672</v>
      </c>
      <c r="B493" s="1">
        <f>DATE(2010,11,2) + TIME(22,41,46)</f>
        <v>40484.945671296293</v>
      </c>
      <c r="C493">
        <v>80</v>
      </c>
      <c r="D493">
        <v>78.494087218999994</v>
      </c>
      <c r="E493">
        <v>50</v>
      </c>
      <c r="F493">
        <v>46.857887267999999</v>
      </c>
      <c r="G493">
        <v>1252.5308838000001</v>
      </c>
      <c r="H493">
        <v>1124.5253906</v>
      </c>
      <c r="I493">
        <v>1718.4582519999999</v>
      </c>
      <c r="J493">
        <v>1513.7941894999999</v>
      </c>
      <c r="K493">
        <v>0</v>
      </c>
      <c r="L493">
        <v>2400</v>
      </c>
      <c r="M493">
        <v>2400</v>
      </c>
      <c r="N493">
        <v>0</v>
      </c>
    </row>
    <row r="494" spans="1:14" x14ac:dyDescent="0.25">
      <c r="A494">
        <v>186.06889899999999</v>
      </c>
      <c r="B494" s="1">
        <f>DATE(2010,11,3) + TIME(1,39,12)</f>
        <v>40485.068888888891</v>
      </c>
      <c r="C494">
        <v>80</v>
      </c>
      <c r="D494">
        <v>78.459938049000002</v>
      </c>
      <c r="E494">
        <v>50</v>
      </c>
      <c r="F494">
        <v>47.267063141000001</v>
      </c>
      <c r="G494">
        <v>1247.7843018000001</v>
      </c>
      <c r="H494">
        <v>1119.7653809000001</v>
      </c>
      <c r="I494">
        <v>1726.1846923999999</v>
      </c>
      <c r="J494">
        <v>1523.0920410000001</v>
      </c>
      <c r="K494">
        <v>0</v>
      </c>
      <c r="L494">
        <v>2400</v>
      </c>
      <c r="M494">
        <v>2400</v>
      </c>
      <c r="N494">
        <v>0</v>
      </c>
    </row>
    <row r="495" spans="1:14" x14ac:dyDescent="0.25">
      <c r="A495">
        <v>186.19610900000001</v>
      </c>
      <c r="B495" s="1">
        <f>DATE(2010,11,3) + TIME(4,42,23)</f>
        <v>40485.196099537039</v>
      </c>
      <c r="C495">
        <v>80</v>
      </c>
      <c r="D495">
        <v>78.424797057999996</v>
      </c>
      <c r="E495">
        <v>50</v>
      </c>
      <c r="F495">
        <v>47.631675719999997</v>
      </c>
      <c r="G495">
        <v>1243.1129149999999</v>
      </c>
      <c r="H495">
        <v>1115.0798339999999</v>
      </c>
      <c r="I495">
        <v>1733.8114014</v>
      </c>
      <c r="J495">
        <v>1532.1162108999999</v>
      </c>
      <c r="K495">
        <v>0</v>
      </c>
      <c r="L495">
        <v>2400</v>
      </c>
      <c r="M495">
        <v>2400</v>
      </c>
      <c r="N495">
        <v>0</v>
      </c>
    </row>
    <row r="496" spans="1:14" x14ac:dyDescent="0.25">
      <c r="A496">
        <v>186.32791</v>
      </c>
      <c r="B496" s="1">
        <f>DATE(2010,11,3) + TIME(7,52,11)</f>
        <v>40485.327905092592</v>
      </c>
      <c r="C496">
        <v>80</v>
      </c>
      <c r="D496">
        <v>78.388519286999994</v>
      </c>
      <c r="E496">
        <v>50</v>
      </c>
      <c r="F496">
        <v>47.956283569</v>
      </c>
      <c r="G496">
        <v>1238.4919434000001</v>
      </c>
      <c r="H496">
        <v>1110.4439697</v>
      </c>
      <c r="I496">
        <v>1741.3690185999999</v>
      </c>
      <c r="J496">
        <v>1540.9182129000001</v>
      </c>
      <c r="K496">
        <v>0</v>
      </c>
      <c r="L496">
        <v>2400</v>
      </c>
      <c r="M496">
        <v>2400</v>
      </c>
      <c r="N496">
        <v>0</v>
      </c>
    </row>
    <row r="497" spans="1:14" x14ac:dyDescent="0.25">
      <c r="A497">
        <v>186.46498099999999</v>
      </c>
      <c r="B497" s="1">
        <f>DATE(2010,11,3) + TIME(11,9,34)</f>
        <v>40485.46497685185</v>
      </c>
      <c r="C497">
        <v>80</v>
      </c>
      <c r="D497">
        <v>78.350982665999993</v>
      </c>
      <c r="E497">
        <v>50</v>
      </c>
      <c r="F497">
        <v>48.244842529000003</v>
      </c>
      <c r="G497">
        <v>1233.8990478999999</v>
      </c>
      <c r="H497">
        <v>1105.8355713000001</v>
      </c>
      <c r="I497">
        <v>1748.8858643000001</v>
      </c>
      <c r="J497">
        <v>1549.5430908000001</v>
      </c>
      <c r="K497">
        <v>0</v>
      </c>
      <c r="L497">
        <v>2400</v>
      </c>
      <c r="M497">
        <v>2400</v>
      </c>
      <c r="N497">
        <v>0</v>
      </c>
    </row>
    <row r="498" spans="1:14" x14ac:dyDescent="0.25">
      <c r="A498">
        <v>186.60744099999999</v>
      </c>
      <c r="B498" s="1">
        <f>DATE(2010,11,3) + TIME(14,34,42)</f>
        <v>40485.607430555552</v>
      </c>
      <c r="C498">
        <v>80</v>
      </c>
      <c r="D498">
        <v>78.312156677000004</v>
      </c>
      <c r="E498">
        <v>50</v>
      </c>
      <c r="F498">
        <v>48.499832153</v>
      </c>
      <c r="G498">
        <v>1229.3327637</v>
      </c>
      <c r="H498">
        <v>1101.2529297000001</v>
      </c>
      <c r="I498">
        <v>1756.3524170000001</v>
      </c>
      <c r="J498">
        <v>1557.9923096</v>
      </c>
      <c r="K498">
        <v>0</v>
      </c>
      <c r="L498">
        <v>2400</v>
      </c>
      <c r="M498">
        <v>2400</v>
      </c>
      <c r="N498">
        <v>0</v>
      </c>
    </row>
    <row r="499" spans="1:14" x14ac:dyDescent="0.25">
      <c r="A499">
        <v>186.755573</v>
      </c>
      <c r="B499" s="1">
        <f>DATE(2010,11,3) + TIME(18,8,1)</f>
        <v>40485.755567129629</v>
      </c>
      <c r="C499">
        <v>80</v>
      </c>
      <c r="D499">
        <v>78.272018433</v>
      </c>
      <c r="E499">
        <v>50</v>
      </c>
      <c r="F499">
        <v>48.724002837999997</v>
      </c>
      <c r="G499">
        <v>1224.7873535000001</v>
      </c>
      <c r="H499">
        <v>1096.6906738</v>
      </c>
      <c r="I499">
        <v>1763.7685547000001</v>
      </c>
      <c r="J499">
        <v>1566.2770995999999</v>
      </c>
      <c r="K499">
        <v>0</v>
      </c>
      <c r="L499">
        <v>2400</v>
      </c>
      <c r="M499">
        <v>2400</v>
      </c>
      <c r="N499">
        <v>0</v>
      </c>
    </row>
    <row r="500" spans="1:14" x14ac:dyDescent="0.25">
      <c r="A500">
        <v>186.91002700000001</v>
      </c>
      <c r="B500" s="1">
        <f>DATE(2010,11,3) + TIME(21,50,26)</f>
        <v>40485.91002314815</v>
      </c>
      <c r="C500">
        <v>80</v>
      </c>
      <c r="D500">
        <v>78.230430603000002</v>
      </c>
      <c r="E500">
        <v>50</v>
      </c>
      <c r="F500">
        <v>48.920406342</v>
      </c>
      <c r="G500">
        <v>1220.2481689000001</v>
      </c>
      <c r="H500">
        <v>1092.1337891000001</v>
      </c>
      <c r="I500">
        <v>1771.1512451000001</v>
      </c>
      <c r="J500">
        <v>1574.4262695</v>
      </c>
      <c r="K500">
        <v>0</v>
      </c>
      <c r="L500">
        <v>2400</v>
      </c>
      <c r="M500">
        <v>2400</v>
      </c>
      <c r="N500">
        <v>0</v>
      </c>
    </row>
    <row r="501" spans="1:14" x14ac:dyDescent="0.25">
      <c r="A501">
        <v>187.07153</v>
      </c>
      <c r="B501" s="1">
        <f>DATE(2010,11,4) + TIME(1,43,0)</f>
        <v>40486.071527777778</v>
      </c>
      <c r="C501">
        <v>80</v>
      </c>
      <c r="D501">
        <v>78.187255859000004</v>
      </c>
      <c r="E501">
        <v>50</v>
      </c>
      <c r="F501">
        <v>49.091777802000003</v>
      </c>
      <c r="G501">
        <v>1215.7012939000001</v>
      </c>
      <c r="H501">
        <v>1087.5684814000001</v>
      </c>
      <c r="I501">
        <v>1778.5152588000001</v>
      </c>
      <c r="J501">
        <v>1582.465332</v>
      </c>
      <c r="K501">
        <v>0</v>
      </c>
      <c r="L501">
        <v>2400</v>
      </c>
      <c r="M501">
        <v>2400</v>
      </c>
      <c r="N501">
        <v>0</v>
      </c>
    </row>
    <row r="502" spans="1:14" x14ac:dyDescent="0.25">
      <c r="A502">
        <v>187.240849</v>
      </c>
      <c r="B502" s="1">
        <f>DATE(2010,11,4) + TIME(5,46,49)</f>
        <v>40486.240844907406</v>
      </c>
      <c r="C502">
        <v>80</v>
      </c>
      <c r="D502">
        <v>78.142349242999998</v>
      </c>
      <c r="E502">
        <v>50</v>
      </c>
      <c r="F502">
        <v>49.240554809999999</v>
      </c>
      <c r="G502">
        <v>1211.1345214999999</v>
      </c>
      <c r="H502">
        <v>1082.9824219</v>
      </c>
      <c r="I502">
        <v>1785.8717041</v>
      </c>
      <c r="J502">
        <v>1590.4146728999999</v>
      </c>
      <c r="K502">
        <v>0</v>
      </c>
      <c r="L502">
        <v>2400</v>
      </c>
      <c r="M502">
        <v>2400</v>
      </c>
      <c r="N502">
        <v>0</v>
      </c>
    </row>
    <row r="503" spans="1:14" x14ac:dyDescent="0.25">
      <c r="A503">
        <v>187.41907900000001</v>
      </c>
      <c r="B503" s="1">
        <f>DATE(2010,11,4) + TIME(10,3,28)</f>
        <v>40486.419074074074</v>
      </c>
      <c r="C503">
        <v>80</v>
      </c>
      <c r="D503">
        <v>78.095497131000002</v>
      </c>
      <c r="E503">
        <v>50</v>
      </c>
      <c r="F503">
        <v>49.369121552000003</v>
      </c>
      <c r="G503">
        <v>1206.5303954999999</v>
      </c>
      <c r="H503">
        <v>1078.3581543</v>
      </c>
      <c r="I503">
        <v>1793.2412108999999</v>
      </c>
      <c r="J503">
        <v>1598.3035889</v>
      </c>
      <c r="K503">
        <v>0</v>
      </c>
      <c r="L503">
        <v>2400</v>
      </c>
      <c r="M503">
        <v>2400</v>
      </c>
      <c r="N503">
        <v>0</v>
      </c>
    </row>
    <row r="504" spans="1:14" x14ac:dyDescent="0.25">
      <c r="A504">
        <v>187.60755700000001</v>
      </c>
      <c r="B504" s="1">
        <f>DATE(2010,11,4) + TIME(14,34,52)</f>
        <v>40486.607546296298</v>
      </c>
      <c r="C504">
        <v>80</v>
      </c>
      <c r="D504">
        <v>78.046447753999999</v>
      </c>
      <c r="E504">
        <v>50</v>
      </c>
      <c r="F504">
        <v>49.479629516999999</v>
      </c>
      <c r="G504">
        <v>1201.8693848</v>
      </c>
      <c r="H504">
        <v>1073.6761475000001</v>
      </c>
      <c r="I504">
        <v>1800.6461182</v>
      </c>
      <c r="J504">
        <v>1606.1624756000001</v>
      </c>
      <c r="K504">
        <v>0</v>
      </c>
      <c r="L504">
        <v>2400</v>
      </c>
      <c r="M504">
        <v>2400</v>
      </c>
      <c r="N504">
        <v>0</v>
      </c>
    </row>
    <row r="505" spans="1:14" x14ac:dyDescent="0.25">
      <c r="A505">
        <v>187.807873</v>
      </c>
      <c r="B505" s="1">
        <f>DATE(2010,11,4) + TIME(19,23,20)</f>
        <v>40486.807870370372</v>
      </c>
      <c r="C505">
        <v>80</v>
      </c>
      <c r="D505">
        <v>77.994895935000002</v>
      </c>
      <c r="E505">
        <v>50</v>
      </c>
      <c r="F505">
        <v>49.574005127</v>
      </c>
      <c r="G505">
        <v>1197.1309814000001</v>
      </c>
      <c r="H505">
        <v>1068.9156493999999</v>
      </c>
      <c r="I505">
        <v>1808.1098632999999</v>
      </c>
      <c r="J505">
        <v>1614.0214844</v>
      </c>
      <c r="K505">
        <v>0</v>
      </c>
      <c r="L505">
        <v>2400</v>
      </c>
      <c r="M505">
        <v>2400</v>
      </c>
      <c r="N505">
        <v>0</v>
      </c>
    </row>
    <row r="506" spans="1:14" x14ac:dyDescent="0.25">
      <c r="A506">
        <v>188.02195</v>
      </c>
      <c r="B506" s="1">
        <f>DATE(2010,11,5) + TIME(0,31,36)</f>
        <v>40487.021944444445</v>
      </c>
      <c r="C506">
        <v>80</v>
      </c>
      <c r="D506">
        <v>77.940467834000003</v>
      </c>
      <c r="E506">
        <v>50</v>
      </c>
      <c r="F506">
        <v>49.65398407</v>
      </c>
      <c r="G506">
        <v>1192.2924805</v>
      </c>
      <c r="H506">
        <v>1064.0538329999999</v>
      </c>
      <c r="I506">
        <v>1815.6572266000001</v>
      </c>
      <c r="J506">
        <v>1621.9119873</v>
      </c>
      <c r="K506">
        <v>0</v>
      </c>
      <c r="L506">
        <v>2400</v>
      </c>
      <c r="M506">
        <v>2400</v>
      </c>
      <c r="N506">
        <v>0</v>
      </c>
    </row>
    <row r="507" spans="1:14" x14ac:dyDescent="0.25">
      <c r="A507">
        <v>188.25177600000001</v>
      </c>
      <c r="B507" s="1">
        <f>DATE(2010,11,5) + TIME(6,2,33)</f>
        <v>40487.251770833333</v>
      </c>
      <c r="C507">
        <v>80</v>
      </c>
      <c r="D507">
        <v>77.882797241000006</v>
      </c>
      <c r="E507">
        <v>50</v>
      </c>
      <c r="F507">
        <v>49.721054076999998</v>
      </c>
      <c r="G507">
        <v>1187.3359375</v>
      </c>
      <c r="H507">
        <v>1059.0726318</v>
      </c>
      <c r="I507">
        <v>1823.3027344</v>
      </c>
      <c r="J507">
        <v>1629.8536377</v>
      </c>
      <c r="K507">
        <v>0</v>
      </c>
      <c r="L507">
        <v>2400</v>
      </c>
      <c r="M507">
        <v>2400</v>
      </c>
      <c r="N507">
        <v>0</v>
      </c>
    </row>
    <row r="508" spans="1:14" x14ac:dyDescent="0.25">
      <c r="A508">
        <v>188.49578399999999</v>
      </c>
      <c r="B508" s="1">
        <f>DATE(2010,11,5) + TIME(11,53,55)</f>
        <v>40487.495775462965</v>
      </c>
      <c r="C508">
        <v>80</v>
      </c>
      <c r="D508">
        <v>77.822166443</v>
      </c>
      <c r="E508">
        <v>50</v>
      </c>
      <c r="F508">
        <v>49.775905608999999</v>
      </c>
      <c r="G508">
        <v>1182.3184814000001</v>
      </c>
      <c r="H508">
        <v>1054.0294189000001</v>
      </c>
      <c r="I508">
        <v>1830.9306641000001</v>
      </c>
      <c r="J508">
        <v>1637.7325439000001</v>
      </c>
      <c r="K508">
        <v>0</v>
      </c>
      <c r="L508">
        <v>2400</v>
      </c>
      <c r="M508">
        <v>2400</v>
      </c>
      <c r="N508">
        <v>0</v>
      </c>
    </row>
    <row r="509" spans="1:14" x14ac:dyDescent="0.25">
      <c r="A509">
        <v>188.74232900000001</v>
      </c>
      <c r="B509" s="1">
        <f>DATE(2010,11,5) + TIME(17,48,57)</f>
        <v>40487.742326388892</v>
      </c>
      <c r="C509">
        <v>80</v>
      </c>
      <c r="D509">
        <v>77.760742187999995</v>
      </c>
      <c r="E509">
        <v>50</v>
      </c>
      <c r="F509">
        <v>49.818431854000004</v>
      </c>
      <c r="G509">
        <v>1177.4771728999999</v>
      </c>
      <c r="H509">
        <v>1049.1623535000001</v>
      </c>
      <c r="I509">
        <v>1838.1364745999999</v>
      </c>
      <c r="J509">
        <v>1645.1424560999999</v>
      </c>
      <c r="K509">
        <v>0</v>
      </c>
      <c r="L509">
        <v>2400</v>
      </c>
      <c r="M509">
        <v>2400</v>
      </c>
      <c r="N509">
        <v>0</v>
      </c>
    </row>
    <row r="510" spans="1:14" x14ac:dyDescent="0.25">
      <c r="A510">
        <v>188.99220399999999</v>
      </c>
      <c r="B510" s="1">
        <f>DATE(2010,11,5) + TIME(23,48,46)</f>
        <v>40487.992199074077</v>
      </c>
      <c r="C510">
        <v>80</v>
      </c>
      <c r="D510">
        <v>77.698547363000003</v>
      </c>
      <c r="E510">
        <v>50</v>
      </c>
      <c r="F510">
        <v>49.851409912000001</v>
      </c>
      <c r="G510">
        <v>1172.7877197</v>
      </c>
      <c r="H510">
        <v>1044.4468993999999</v>
      </c>
      <c r="I510">
        <v>1845.0014647999999</v>
      </c>
      <c r="J510">
        <v>1652.1738281</v>
      </c>
      <c r="K510">
        <v>0</v>
      </c>
      <c r="L510">
        <v>2400</v>
      </c>
      <c r="M510">
        <v>2400</v>
      </c>
      <c r="N510">
        <v>0</v>
      </c>
    </row>
    <row r="511" spans="1:14" x14ac:dyDescent="0.25">
      <c r="A511">
        <v>189.24670699999999</v>
      </c>
      <c r="B511" s="1">
        <f>DATE(2010,11,6) + TIME(5,55,15)</f>
        <v>40488.246701388889</v>
      </c>
      <c r="C511">
        <v>80</v>
      </c>
      <c r="D511">
        <v>77.635459900000001</v>
      </c>
      <c r="E511">
        <v>50</v>
      </c>
      <c r="F511">
        <v>49.876987456999998</v>
      </c>
      <c r="G511">
        <v>1168.2196045000001</v>
      </c>
      <c r="H511">
        <v>1039.8524170000001</v>
      </c>
      <c r="I511">
        <v>1851.5902100000001</v>
      </c>
      <c r="J511">
        <v>1658.8989257999999</v>
      </c>
      <c r="K511">
        <v>0</v>
      </c>
      <c r="L511">
        <v>2400</v>
      </c>
      <c r="M511">
        <v>2400</v>
      </c>
      <c r="N511">
        <v>0</v>
      </c>
    </row>
    <row r="512" spans="1:14" x14ac:dyDescent="0.25">
      <c r="A512">
        <v>189.50706700000001</v>
      </c>
      <c r="B512" s="1">
        <f>DATE(2010,11,6) + TIME(12,10,10)</f>
        <v>40488.507060185184</v>
      </c>
      <c r="C512">
        <v>80</v>
      </c>
      <c r="D512">
        <v>77.571311950999998</v>
      </c>
      <c r="E512">
        <v>50</v>
      </c>
      <c r="F512">
        <v>49.896785735999998</v>
      </c>
      <c r="G512">
        <v>1163.7478027</v>
      </c>
      <c r="H512">
        <v>1035.3538818</v>
      </c>
      <c r="I512">
        <v>1857.9468993999999</v>
      </c>
      <c r="J512">
        <v>1665.3682861</v>
      </c>
      <c r="K512">
        <v>0</v>
      </c>
      <c r="L512">
        <v>2400</v>
      </c>
      <c r="M512">
        <v>2400</v>
      </c>
      <c r="N512">
        <v>0</v>
      </c>
    </row>
    <row r="513" spans="1:14" x14ac:dyDescent="0.25">
      <c r="A513">
        <v>189.77457200000001</v>
      </c>
      <c r="B513" s="1">
        <f>DATE(2010,11,6) + TIME(18,35,22)</f>
        <v>40488.774560185186</v>
      </c>
      <c r="C513">
        <v>80</v>
      </c>
      <c r="D513">
        <v>77.505928040000001</v>
      </c>
      <c r="E513">
        <v>50</v>
      </c>
      <c r="F513">
        <v>49.912044524999999</v>
      </c>
      <c r="G513">
        <v>1159.3497314000001</v>
      </c>
      <c r="H513">
        <v>1030.9288329999999</v>
      </c>
      <c r="I513">
        <v>1864.1071777</v>
      </c>
      <c r="J513">
        <v>1671.6221923999999</v>
      </c>
      <c r="K513">
        <v>0</v>
      </c>
      <c r="L513">
        <v>2400</v>
      </c>
      <c r="M513">
        <v>2400</v>
      </c>
      <c r="N513">
        <v>0</v>
      </c>
    </row>
    <row r="514" spans="1:14" x14ac:dyDescent="0.25">
      <c r="A514">
        <v>190.05051</v>
      </c>
      <c r="B514" s="1">
        <f>DATE(2010,11,7) + TIME(1,12,44)</f>
        <v>40489.050509259258</v>
      </c>
      <c r="C514">
        <v>80</v>
      </c>
      <c r="D514">
        <v>77.439102172999995</v>
      </c>
      <c r="E514">
        <v>50</v>
      </c>
      <c r="F514">
        <v>49.923725128000001</v>
      </c>
      <c r="G514">
        <v>1155.0067139</v>
      </c>
      <c r="H514">
        <v>1026.5582274999999</v>
      </c>
      <c r="I514">
        <v>1870.0993652</v>
      </c>
      <c r="J514">
        <v>1677.6929932</v>
      </c>
      <c r="K514">
        <v>0</v>
      </c>
      <c r="L514">
        <v>2400</v>
      </c>
      <c r="M514">
        <v>2400</v>
      </c>
      <c r="N514">
        <v>0</v>
      </c>
    </row>
    <row r="515" spans="1:14" x14ac:dyDescent="0.25">
      <c r="A515">
        <v>190.335759</v>
      </c>
      <c r="B515" s="1">
        <f>DATE(2010,11,7) + TIME(8,3,29)</f>
        <v>40489.335752314815</v>
      </c>
      <c r="C515">
        <v>80</v>
      </c>
      <c r="D515">
        <v>77.370681762999993</v>
      </c>
      <c r="E515">
        <v>50</v>
      </c>
      <c r="F515">
        <v>49.932571410999998</v>
      </c>
      <c r="G515">
        <v>1150.7086182</v>
      </c>
      <c r="H515">
        <v>1022.2319946</v>
      </c>
      <c r="I515">
        <v>1875.9368896000001</v>
      </c>
      <c r="J515">
        <v>1683.5968018000001</v>
      </c>
      <c r="K515">
        <v>0</v>
      </c>
      <c r="L515">
        <v>2400</v>
      </c>
      <c r="M515">
        <v>2400</v>
      </c>
      <c r="N515">
        <v>0</v>
      </c>
    </row>
    <row r="516" spans="1:14" x14ac:dyDescent="0.25">
      <c r="A516">
        <v>190.630788</v>
      </c>
      <c r="B516" s="1">
        <f>DATE(2010,11,7) + TIME(15,8,20)</f>
        <v>40489.630787037036</v>
      </c>
      <c r="C516">
        <v>80</v>
      </c>
      <c r="D516">
        <v>77.300582886000001</v>
      </c>
      <c r="E516">
        <v>50</v>
      </c>
      <c r="F516">
        <v>49.939170836999999</v>
      </c>
      <c r="G516">
        <v>1146.4530029</v>
      </c>
      <c r="H516">
        <v>1017.9477539</v>
      </c>
      <c r="I516">
        <v>1881.6221923999999</v>
      </c>
      <c r="J516">
        <v>1689.338501</v>
      </c>
      <c r="K516">
        <v>0</v>
      </c>
      <c r="L516">
        <v>2400</v>
      </c>
      <c r="M516">
        <v>2400</v>
      </c>
      <c r="N516">
        <v>0</v>
      </c>
    </row>
    <row r="517" spans="1:14" x14ac:dyDescent="0.25">
      <c r="A517">
        <v>190.93673899999999</v>
      </c>
      <c r="B517" s="1">
        <f>DATE(2010,11,7) + TIME(22,28,54)</f>
        <v>40489.936736111114</v>
      </c>
      <c r="C517">
        <v>80</v>
      </c>
      <c r="D517">
        <v>77.228630065999994</v>
      </c>
      <c r="E517">
        <v>50</v>
      </c>
      <c r="F517">
        <v>49.944011688000003</v>
      </c>
      <c r="G517">
        <v>1142.229126</v>
      </c>
      <c r="H517">
        <v>1013.6946411</v>
      </c>
      <c r="I517">
        <v>1887.1715088000001</v>
      </c>
      <c r="J517">
        <v>1694.9362793</v>
      </c>
      <c r="K517">
        <v>0</v>
      </c>
      <c r="L517">
        <v>2400</v>
      </c>
      <c r="M517">
        <v>2400</v>
      </c>
      <c r="N517">
        <v>0</v>
      </c>
    </row>
    <row r="518" spans="1:14" x14ac:dyDescent="0.25">
      <c r="A518">
        <v>191.25480899999999</v>
      </c>
      <c r="B518" s="1">
        <f>DATE(2010,11,8) + TIME(6,6,55)</f>
        <v>40490.254803240743</v>
      </c>
      <c r="C518">
        <v>80</v>
      </c>
      <c r="D518">
        <v>77.154602050999998</v>
      </c>
      <c r="E518">
        <v>50</v>
      </c>
      <c r="F518">
        <v>49.947486877000003</v>
      </c>
      <c r="G518">
        <v>1138.027832</v>
      </c>
      <c r="H518">
        <v>1009.4633179</v>
      </c>
      <c r="I518">
        <v>1892.5980225000001</v>
      </c>
      <c r="J518">
        <v>1700.4047852000001</v>
      </c>
      <c r="K518">
        <v>0</v>
      </c>
      <c r="L518">
        <v>2400</v>
      </c>
      <c r="M518">
        <v>2400</v>
      </c>
      <c r="N518">
        <v>0</v>
      </c>
    </row>
    <row r="519" spans="1:14" x14ac:dyDescent="0.25">
      <c r="A519">
        <v>191.584035</v>
      </c>
      <c r="B519" s="1">
        <f>DATE(2010,11,8) + TIME(14,1,0)</f>
        <v>40490.584027777775</v>
      </c>
      <c r="C519">
        <v>80</v>
      </c>
      <c r="D519">
        <v>77.078651428000001</v>
      </c>
      <c r="E519">
        <v>50</v>
      </c>
      <c r="F519">
        <v>49.949882506999998</v>
      </c>
      <c r="G519">
        <v>1133.8673096</v>
      </c>
      <c r="H519">
        <v>1005.2723389</v>
      </c>
      <c r="I519">
        <v>1897.8730469</v>
      </c>
      <c r="J519">
        <v>1705.7164307</v>
      </c>
      <c r="K519">
        <v>0</v>
      </c>
      <c r="L519">
        <v>2400</v>
      </c>
      <c r="M519">
        <v>2400</v>
      </c>
      <c r="N519">
        <v>0</v>
      </c>
    </row>
    <row r="520" spans="1:14" x14ac:dyDescent="0.25">
      <c r="A520">
        <v>191.92411200000001</v>
      </c>
      <c r="B520" s="1">
        <f>DATE(2010,11,8) + TIME(22,10,43)</f>
        <v>40490.924108796295</v>
      </c>
      <c r="C520">
        <v>80</v>
      </c>
      <c r="D520">
        <v>77.000823975000003</v>
      </c>
      <c r="E520">
        <v>50</v>
      </c>
      <c r="F520">
        <v>49.951454163000001</v>
      </c>
      <c r="G520">
        <v>1129.7563477000001</v>
      </c>
      <c r="H520">
        <v>1001.130127</v>
      </c>
      <c r="I520">
        <v>1902.9881591999999</v>
      </c>
      <c r="J520">
        <v>1710.8637695</v>
      </c>
      <c r="K520">
        <v>0</v>
      </c>
      <c r="L520">
        <v>2400</v>
      </c>
      <c r="M520">
        <v>2400</v>
      </c>
      <c r="N520">
        <v>0</v>
      </c>
    </row>
    <row r="521" spans="1:14" x14ac:dyDescent="0.25">
      <c r="A521">
        <v>192.27664100000001</v>
      </c>
      <c r="B521" s="1">
        <f>DATE(2010,11,9) + TIME(6,38,21)</f>
        <v>40491.276631944442</v>
      </c>
      <c r="C521">
        <v>80</v>
      </c>
      <c r="D521">
        <v>76.920913696</v>
      </c>
      <c r="E521">
        <v>50</v>
      </c>
      <c r="F521">
        <v>49.952407837000003</v>
      </c>
      <c r="G521">
        <v>1125.6810303</v>
      </c>
      <c r="H521">
        <v>997.02294921999999</v>
      </c>
      <c r="I521">
        <v>1907.9671631000001</v>
      </c>
      <c r="J521">
        <v>1715.871582</v>
      </c>
      <c r="K521">
        <v>0</v>
      </c>
      <c r="L521">
        <v>2400</v>
      </c>
      <c r="M521">
        <v>2400</v>
      </c>
      <c r="N521">
        <v>0</v>
      </c>
    </row>
    <row r="522" spans="1:14" x14ac:dyDescent="0.25">
      <c r="A522">
        <v>192.64371199999999</v>
      </c>
      <c r="B522" s="1">
        <f>DATE(2010,11,9) + TIME(15,26,56)</f>
        <v>40491.643703703703</v>
      </c>
      <c r="C522">
        <v>80</v>
      </c>
      <c r="D522">
        <v>76.838584900000001</v>
      </c>
      <c r="E522">
        <v>50</v>
      </c>
      <c r="F522">
        <v>49.952911377</v>
      </c>
      <c r="G522">
        <v>1121.625</v>
      </c>
      <c r="H522">
        <v>992.93426513999998</v>
      </c>
      <c r="I522">
        <v>1912.8336182</v>
      </c>
      <c r="J522">
        <v>1720.7640381000001</v>
      </c>
      <c r="K522">
        <v>0</v>
      </c>
      <c r="L522">
        <v>2400</v>
      </c>
      <c r="M522">
        <v>2400</v>
      </c>
      <c r="N522">
        <v>0</v>
      </c>
    </row>
    <row r="523" spans="1:14" x14ac:dyDescent="0.25">
      <c r="A523">
        <v>193.02773199999999</v>
      </c>
      <c r="B523" s="1">
        <f>DATE(2010,11,10) + TIME(0,39,56)</f>
        <v>40492.027731481481</v>
      </c>
      <c r="C523">
        <v>80</v>
      </c>
      <c r="D523">
        <v>76.753479003999999</v>
      </c>
      <c r="E523">
        <v>50</v>
      </c>
      <c r="F523">
        <v>49.953075409</v>
      </c>
      <c r="G523">
        <v>1117.5721435999999</v>
      </c>
      <c r="H523">
        <v>988.84765625</v>
      </c>
      <c r="I523">
        <v>1917.6080322</v>
      </c>
      <c r="J523">
        <v>1725.5621338000001</v>
      </c>
      <c r="K523">
        <v>0</v>
      </c>
      <c r="L523">
        <v>2400</v>
      </c>
      <c r="M523">
        <v>2400</v>
      </c>
      <c r="N523">
        <v>0</v>
      </c>
    </row>
    <row r="524" spans="1:14" x14ac:dyDescent="0.25">
      <c r="A524">
        <v>193.431543</v>
      </c>
      <c r="B524" s="1">
        <f>DATE(2010,11,10) + TIME(10,21,25)</f>
        <v>40492.431539351855</v>
      </c>
      <c r="C524">
        <v>80</v>
      </c>
      <c r="D524">
        <v>76.665115356000001</v>
      </c>
      <c r="E524">
        <v>50</v>
      </c>
      <c r="F524">
        <v>49.952991486000002</v>
      </c>
      <c r="G524">
        <v>1113.505249</v>
      </c>
      <c r="H524">
        <v>984.74597168000003</v>
      </c>
      <c r="I524">
        <v>1922.3096923999999</v>
      </c>
      <c r="J524">
        <v>1730.2857666</v>
      </c>
      <c r="K524">
        <v>0</v>
      </c>
      <c r="L524">
        <v>2400</v>
      </c>
      <c r="M524">
        <v>2400</v>
      </c>
      <c r="N524">
        <v>0</v>
      </c>
    </row>
    <row r="525" spans="1:14" x14ac:dyDescent="0.25">
      <c r="A525">
        <v>193.84875199999999</v>
      </c>
      <c r="B525" s="1">
        <f>DATE(2010,11,10) + TIME(20,22,12)</f>
        <v>40492.848749999997</v>
      </c>
      <c r="C525">
        <v>80</v>
      </c>
      <c r="D525">
        <v>76.574325561999999</v>
      </c>
      <c r="E525">
        <v>50</v>
      </c>
      <c r="F525">
        <v>49.952709198000001</v>
      </c>
      <c r="G525">
        <v>1109.4948730000001</v>
      </c>
      <c r="H525">
        <v>980.70001220999995</v>
      </c>
      <c r="I525">
        <v>1926.838501</v>
      </c>
      <c r="J525">
        <v>1734.8350829999999</v>
      </c>
      <c r="K525">
        <v>0</v>
      </c>
      <c r="L525">
        <v>2400</v>
      </c>
      <c r="M525">
        <v>2400</v>
      </c>
      <c r="N525">
        <v>0</v>
      </c>
    </row>
    <row r="526" spans="1:14" x14ac:dyDescent="0.25">
      <c r="A526">
        <v>194.27252799999999</v>
      </c>
      <c r="B526" s="1">
        <f>DATE(2010,11,11) + TIME(6,32,26)</f>
        <v>40493.272523148145</v>
      </c>
      <c r="C526">
        <v>80</v>
      </c>
      <c r="D526">
        <v>76.482154846</v>
      </c>
      <c r="E526">
        <v>50</v>
      </c>
      <c r="F526">
        <v>49.952297211000001</v>
      </c>
      <c r="G526">
        <v>1105.6040039</v>
      </c>
      <c r="H526">
        <v>976.77319336000005</v>
      </c>
      <c r="I526">
        <v>1931.1232910000001</v>
      </c>
      <c r="J526">
        <v>1739.1387939000001</v>
      </c>
      <c r="K526">
        <v>0</v>
      </c>
      <c r="L526">
        <v>2400</v>
      </c>
      <c r="M526">
        <v>2400</v>
      </c>
      <c r="N526">
        <v>0</v>
      </c>
    </row>
    <row r="527" spans="1:14" x14ac:dyDescent="0.25">
      <c r="A527">
        <v>194.70498699999999</v>
      </c>
      <c r="B527" s="1">
        <f>DATE(2010,11,11) + TIME(16,55,10)</f>
        <v>40493.704976851855</v>
      </c>
      <c r="C527">
        <v>80</v>
      </c>
      <c r="D527">
        <v>76.388572693</v>
      </c>
      <c r="E527">
        <v>50</v>
      </c>
      <c r="F527">
        <v>49.951820374</v>
      </c>
      <c r="G527">
        <v>1101.8109131000001</v>
      </c>
      <c r="H527">
        <v>972.94360352000001</v>
      </c>
      <c r="I527">
        <v>1935.2117920000001</v>
      </c>
      <c r="J527">
        <v>1743.244751</v>
      </c>
      <c r="K527">
        <v>0</v>
      </c>
      <c r="L527">
        <v>2400</v>
      </c>
      <c r="M527">
        <v>2400</v>
      </c>
      <c r="N527">
        <v>0</v>
      </c>
    </row>
    <row r="528" spans="1:14" x14ac:dyDescent="0.25">
      <c r="A528">
        <v>195.14836700000001</v>
      </c>
      <c r="B528" s="1">
        <f>DATE(2010,11,12) + TIME(3,33,38)</f>
        <v>40494.148356481484</v>
      </c>
      <c r="C528">
        <v>80</v>
      </c>
      <c r="D528">
        <v>76.293411254999995</v>
      </c>
      <c r="E528">
        <v>50</v>
      </c>
      <c r="F528">
        <v>49.951309203999998</v>
      </c>
      <c r="G528">
        <v>1098.0954589999999</v>
      </c>
      <c r="H528">
        <v>969.19091796999999</v>
      </c>
      <c r="I528">
        <v>1939.1363524999999</v>
      </c>
      <c r="J528">
        <v>1747.1853027</v>
      </c>
      <c r="K528">
        <v>0</v>
      </c>
      <c r="L528">
        <v>2400</v>
      </c>
      <c r="M528">
        <v>2400</v>
      </c>
      <c r="N528">
        <v>0</v>
      </c>
    </row>
    <row r="529" spans="1:14" x14ac:dyDescent="0.25">
      <c r="A529">
        <v>195.60494399999999</v>
      </c>
      <c r="B529" s="1">
        <f>DATE(2010,11,12) + TIME(14,31,7)</f>
        <v>40494.604942129627</v>
      </c>
      <c r="C529">
        <v>80</v>
      </c>
      <c r="D529">
        <v>76.196395874000004</v>
      </c>
      <c r="E529">
        <v>50</v>
      </c>
      <c r="F529">
        <v>49.950782775999997</v>
      </c>
      <c r="G529">
        <v>1094.4399414</v>
      </c>
      <c r="H529">
        <v>965.49768066000001</v>
      </c>
      <c r="I529">
        <v>1942.9202881000001</v>
      </c>
      <c r="J529">
        <v>1750.984375</v>
      </c>
      <c r="K529">
        <v>0</v>
      </c>
      <c r="L529">
        <v>2400</v>
      </c>
      <c r="M529">
        <v>2400</v>
      </c>
      <c r="N529">
        <v>0</v>
      </c>
    </row>
    <row r="530" spans="1:14" x14ac:dyDescent="0.25">
      <c r="A530">
        <v>196.074074</v>
      </c>
      <c r="B530" s="1">
        <f>DATE(2010,11,13) + TIME(1,46,40)</f>
        <v>40495.074074074073</v>
      </c>
      <c r="C530">
        <v>80</v>
      </c>
      <c r="D530">
        <v>76.097587584999999</v>
      </c>
      <c r="E530">
        <v>50</v>
      </c>
      <c r="F530">
        <v>49.950248717999997</v>
      </c>
      <c r="G530">
        <v>1090.8509521000001</v>
      </c>
      <c r="H530">
        <v>961.87023925999995</v>
      </c>
      <c r="I530">
        <v>1946.5556641000001</v>
      </c>
      <c r="J530">
        <v>1754.6337891000001</v>
      </c>
      <c r="K530">
        <v>0</v>
      </c>
      <c r="L530">
        <v>2400</v>
      </c>
      <c r="M530">
        <v>2400</v>
      </c>
      <c r="N530">
        <v>0</v>
      </c>
    </row>
    <row r="531" spans="1:14" x14ac:dyDescent="0.25">
      <c r="A531">
        <v>196.55013400000001</v>
      </c>
      <c r="B531" s="1">
        <f>DATE(2010,11,13) + TIME(13,12,11)</f>
        <v>40495.550127314818</v>
      </c>
      <c r="C531">
        <v>80</v>
      </c>
      <c r="D531">
        <v>75.997726439999994</v>
      </c>
      <c r="E531">
        <v>50</v>
      </c>
      <c r="F531">
        <v>49.949714661000002</v>
      </c>
      <c r="G531">
        <v>1087.3677978999999</v>
      </c>
      <c r="H531">
        <v>958.34838866999996</v>
      </c>
      <c r="I531">
        <v>1949.9974365</v>
      </c>
      <c r="J531">
        <v>1758.0887451000001</v>
      </c>
      <c r="K531">
        <v>0</v>
      </c>
      <c r="L531">
        <v>2400</v>
      </c>
      <c r="M531">
        <v>2400</v>
      </c>
      <c r="N531">
        <v>0</v>
      </c>
    </row>
    <row r="532" spans="1:14" x14ac:dyDescent="0.25">
      <c r="A532">
        <v>197.0333</v>
      </c>
      <c r="B532" s="1">
        <f>DATE(2010,11,14) + TIME(0,47,57)</f>
        <v>40496.03329861111</v>
      </c>
      <c r="C532">
        <v>80</v>
      </c>
      <c r="D532">
        <v>75.896965026999993</v>
      </c>
      <c r="E532">
        <v>50</v>
      </c>
      <c r="F532">
        <v>49.949199677000003</v>
      </c>
      <c r="G532">
        <v>1083.9854736</v>
      </c>
      <c r="H532">
        <v>954.92687988</v>
      </c>
      <c r="I532">
        <v>1953.2629394999999</v>
      </c>
      <c r="J532">
        <v>1761.3665771000001</v>
      </c>
      <c r="K532">
        <v>0</v>
      </c>
      <c r="L532">
        <v>2400</v>
      </c>
      <c r="M532">
        <v>2400</v>
      </c>
      <c r="N532">
        <v>0</v>
      </c>
    </row>
    <row r="533" spans="1:14" x14ac:dyDescent="0.25">
      <c r="A533">
        <v>197.52601100000001</v>
      </c>
      <c r="B533" s="1">
        <f>DATE(2010,11,14) + TIME(12,37,27)</f>
        <v>40496.526006944441</v>
      </c>
      <c r="C533">
        <v>80</v>
      </c>
      <c r="D533">
        <v>75.795104980000005</v>
      </c>
      <c r="E533">
        <v>50</v>
      </c>
      <c r="F533">
        <v>49.948703766000001</v>
      </c>
      <c r="G533">
        <v>1080.6845702999999</v>
      </c>
      <c r="H533">
        <v>951.58642578000001</v>
      </c>
      <c r="I533">
        <v>1956.3813477000001</v>
      </c>
      <c r="J533">
        <v>1764.4964600000001</v>
      </c>
      <c r="K533">
        <v>0</v>
      </c>
      <c r="L533">
        <v>2400</v>
      </c>
      <c r="M533">
        <v>2400</v>
      </c>
      <c r="N533">
        <v>0</v>
      </c>
    </row>
    <row r="534" spans="1:14" x14ac:dyDescent="0.25">
      <c r="A534">
        <v>198.02990600000001</v>
      </c>
      <c r="B534" s="1">
        <f>DATE(2010,11,15) + TIME(0,43,3)</f>
        <v>40497.029895833337</v>
      </c>
      <c r="C534">
        <v>80</v>
      </c>
      <c r="D534">
        <v>75.691955566000004</v>
      </c>
      <c r="E534">
        <v>50</v>
      </c>
      <c r="F534">
        <v>49.948234558000003</v>
      </c>
      <c r="G534">
        <v>1077.4532471</v>
      </c>
      <c r="H534">
        <v>948.31481933999999</v>
      </c>
      <c r="I534">
        <v>1959.3680420000001</v>
      </c>
      <c r="J534">
        <v>1767.4938964999999</v>
      </c>
      <c r="K534">
        <v>0</v>
      </c>
      <c r="L534">
        <v>2400</v>
      </c>
      <c r="M534">
        <v>2400</v>
      </c>
      <c r="N534">
        <v>0</v>
      </c>
    </row>
    <row r="535" spans="1:14" x14ac:dyDescent="0.25">
      <c r="A535">
        <v>198.54727399999999</v>
      </c>
      <c r="B535" s="1">
        <f>DATE(2010,11,15) + TIME(13,8,4)</f>
        <v>40497.547268518516</v>
      </c>
      <c r="C535">
        <v>80</v>
      </c>
      <c r="D535">
        <v>75.587203978999995</v>
      </c>
      <c r="E535">
        <v>50</v>
      </c>
      <c r="F535">
        <v>49.947788238999998</v>
      </c>
      <c r="G535">
        <v>1074.2773437999999</v>
      </c>
      <c r="H535">
        <v>945.09814453000001</v>
      </c>
      <c r="I535">
        <v>1962.2393798999999</v>
      </c>
      <c r="J535">
        <v>1770.3752440999999</v>
      </c>
      <c r="K535">
        <v>0</v>
      </c>
      <c r="L535">
        <v>2400</v>
      </c>
      <c r="M535">
        <v>2400</v>
      </c>
      <c r="N535">
        <v>0</v>
      </c>
    </row>
    <row r="536" spans="1:14" x14ac:dyDescent="0.25">
      <c r="A536">
        <v>199.08096399999999</v>
      </c>
      <c r="B536" s="1">
        <f>DATE(2010,11,16) + TIME(1,56,35)</f>
        <v>40498.080960648149</v>
      </c>
      <c r="C536">
        <v>80</v>
      </c>
      <c r="D536">
        <v>75.480438231999997</v>
      </c>
      <c r="E536">
        <v>50</v>
      </c>
      <c r="F536">
        <v>49.947364807</v>
      </c>
      <c r="G536">
        <v>1071.1420897999999</v>
      </c>
      <c r="H536">
        <v>941.92114258000004</v>
      </c>
      <c r="I536">
        <v>1965.0112305</v>
      </c>
      <c r="J536">
        <v>1773.1566161999999</v>
      </c>
      <c r="K536">
        <v>0</v>
      </c>
      <c r="L536">
        <v>2400</v>
      </c>
      <c r="M536">
        <v>2400</v>
      </c>
      <c r="N536">
        <v>0</v>
      </c>
    </row>
    <row r="537" spans="1:14" x14ac:dyDescent="0.25">
      <c r="A537">
        <v>199.63416699999999</v>
      </c>
      <c r="B537" s="1">
        <f>DATE(2010,11,16) + TIME(15,13,12)</f>
        <v>40498.634166666663</v>
      </c>
      <c r="C537">
        <v>80</v>
      </c>
      <c r="D537">
        <v>75.371185303000004</v>
      </c>
      <c r="E537">
        <v>50</v>
      </c>
      <c r="F537">
        <v>49.946960449000002</v>
      </c>
      <c r="G537">
        <v>1068.0332031</v>
      </c>
      <c r="H537">
        <v>938.76934814000003</v>
      </c>
      <c r="I537">
        <v>1967.6971435999999</v>
      </c>
      <c r="J537">
        <v>1775.8515625</v>
      </c>
      <c r="K537">
        <v>0</v>
      </c>
      <c r="L537">
        <v>2400</v>
      </c>
      <c r="M537">
        <v>2400</v>
      </c>
      <c r="N537">
        <v>0</v>
      </c>
    </row>
    <row r="538" spans="1:14" x14ac:dyDescent="0.25">
      <c r="A538">
        <v>200.21054799999999</v>
      </c>
      <c r="B538" s="1">
        <f>DATE(2010,11,17) + TIME(5,3,11)</f>
        <v>40499.210543981484</v>
      </c>
      <c r="C538">
        <v>80</v>
      </c>
      <c r="D538">
        <v>75.258895874000004</v>
      </c>
      <c r="E538">
        <v>50</v>
      </c>
      <c r="F538">
        <v>49.946575164999999</v>
      </c>
      <c r="G538">
        <v>1064.9364014</v>
      </c>
      <c r="H538">
        <v>935.62841796999999</v>
      </c>
      <c r="I538">
        <v>1970.3092041</v>
      </c>
      <c r="J538">
        <v>1778.4722899999999</v>
      </c>
      <c r="K538">
        <v>0</v>
      </c>
      <c r="L538">
        <v>2400</v>
      </c>
      <c r="M538">
        <v>2400</v>
      </c>
      <c r="N538">
        <v>0</v>
      </c>
    </row>
    <row r="539" spans="1:14" x14ac:dyDescent="0.25">
      <c r="A539">
        <v>200.81440699999999</v>
      </c>
      <c r="B539" s="1">
        <f>DATE(2010,11,17) + TIME(19,32,44)</f>
        <v>40499.814398148148</v>
      </c>
      <c r="C539">
        <v>80</v>
      </c>
      <c r="D539">
        <v>75.142921447999996</v>
      </c>
      <c r="E539">
        <v>50</v>
      </c>
      <c r="F539">
        <v>49.946205139</v>
      </c>
      <c r="G539">
        <v>1061.8374022999999</v>
      </c>
      <c r="H539">
        <v>932.48364258000004</v>
      </c>
      <c r="I539">
        <v>1972.8585204999999</v>
      </c>
      <c r="J539">
        <v>1781.0297852000001</v>
      </c>
      <c r="K539">
        <v>0</v>
      </c>
      <c r="L539">
        <v>2400</v>
      </c>
      <c r="M539">
        <v>2400</v>
      </c>
      <c r="N539">
        <v>0</v>
      </c>
    </row>
    <row r="540" spans="1:14" x14ac:dyDescent="0.25">
      <c r="A540">
        <v>201.431173</v>
      </c>
      <c r="B540" s="1">
        <f>DATE(2010,11,18) + TIME(10,20,53)</f>
        <v>40500.431168981479</v>
      </c>
      <c r="C540">
        <v>80</v>
      </c>
      <c r="D540">
        <v>75.024589539000004</v>
      </c>
      <c r="E540">
        <v>50</v>
      </c>
      <c r="F540">
        <v>49.945842743</v>
      </c>
      <c r="G540">
        <v>1058.8104248</v>
      </c>
      <c r="H540">
        <v>929.40985106999995</v>
      </c>
      <c r="I540">
        <v>1975.2623291</v>
      </c>
      <c r="J540">
        <v>1783.4415283000001</v>
      </c>
      <c r="K540">
        <v>0</v>
      </c>
      <c r="L540">
        <v>2400</v>
      </c>
      <c r="M540">
        <v>2400</v>
      </c>
      <c r="N540">
        <v>0</v>
      </c>
    </row>
    <row r="541" spans="1:14" x14ac:dyDescent="0.25">
      <c r="A541">
        <v>202.050861</v>
      </c>
      <c r="B541" s="1">
        <f>DATE(2010,11,19) + TIME(1,13,14)</f>
        <v>40501.050856481481</v>
      </c>
      <c r="C541">
        <v>80</v>
      </c>
      <c r="D541">
        <v>74.905273437999995</v>
      </c>
      <c r="E541">
        <v>50</v>
      </c>
      <c r="F541">
        <v>49.945499419999997</v>
      </c>
      <c r="G541">
        <v>1055.8988036999999</v>
      </c>
      <c r="H541">
        <v>926.45080566000001</v>
      </c>
      <c r="I541">
        <v>1977.4901123</v>
      </c>
      <c r="J541">
        <v>1785.6766356999999</v>
      </c>
      <c r="K541">
        <v>0</v>
      </c>
      <c r="L541">
        <v>2400</v>
      </c>
      <c r="M541">
        <v>2400</v>
      </c>
      <c r="N541">
        <v>0</v>
      </c>
    </row>
    <row r="542" spans="1:14" x14ac:dyDescent="0.25">
      <c r="A542">
        <v>202.67539500000001</v>
      </c>
      <c r="B542" s="1">
        <f>DATE(2010,11,19) + TIME(16,12,34)</f>
        <v>40501.675393518519</v>
      </c>
      <c r="C542">
        <v>80</v>
      </c>
      <c r="D542">
        <v>74.785423279</v>
      </c>
      <c r="E542">
        <v>50</v>
      </c>
      <c r="F542">
        <v>49.945186614999997</v>
      </c>
      <c r="G542">
        <v>1053.0887451000001</v>
      </c>
      <c r="H542">
        <v>923.59252930000002</v>
      </c>
      <c r="I542">
        <v>1979.5718993999999</v>
      </c>
      <c r="J542">
        <v>1787.7652588000001</v>
      </c>
      <c r="K542">
        <v>0</v>
      </c>
      <c r="L542">
        <v>2400</v>
      </c>
      <c r="M542">
        <v>2400</v>
      </c>
      <c r="N542">
        <v>0</v>
      </c>
    </row>
    <row r="543" spans="1:14" x14ac:dyDescent="0.25">
      <c r="A543">
        <v>203.30725000000001</v>
      </c>
      <c r="B543" s="1">
        <f>DATE(2010,11,20) + TIME(7,22,26)</f>
        <v>40502.307245370372</v>
      </c>
      <c r="C543">
        <v>80</v>
      </c>
      <c r="D543">
        <v>74.665069579999994</v>
      </c>
      <c r="E543">
        <v>50</v>
      </c>
      <c r="F543">
        <v>49.944908142000003</v>
      </c>
      <c r="G543">
        <v>1050.3649902</v>
      </c>
      <c r="H543">
        <v>920.82000731999995</v>
      </c>
      <c r="I543">
        <v>1981.5292969</v>
      </c>
      <c r="J543">
        <v>1789.7287598</v>
      </c>
      <c r="K543">
        <v>0</v>
      </c>
      <c r="L543">
        <v>2400</v>
      </c>
      <c r="M543">
        <v>2400</v>
      </c>
      <c r="N543">
        <v>0</v>
      </c>
    </row>
    <row r="544" spans="1:14" x14ac:dyDescent="0.25">
      <c r="A544">
        <v>203.948533</v>
      </c>
      <c r="B544" s="1">
        <f>DATE(2010,11,20) + TIME(22,45,53)</f>
        <v>40502.948530092595</v>
      </c>
      <c r="C544">
        <v>80</v>
      </c>
      <c r="D544">
        <v>74.544082642000006</v>
      </c>
      <c r="E544">
        <v>50</v>
      </c>
      <c r="F544">
        <v>49.944652556999998</v>
      </c>
      <c r="G544">
        <v>1047.7155762</v>
      </c>
      <c r="H544">
        <v>918.12109375</v>
      </c>
      <c r="I544">
        <v>1983.3758545000001</v>
      </c>
      <c r="J544">
        <v>1791.5811768000001</v>
      </c>
      <c r="K544">
        <v>0</v>
      </c>
      <c r="L544">
        <v>2400</v>
      </c>
      <c r="M544">
        <v>2400</v>
      </c>
      <c r="N544">
        <v>0</v>
      </c>
    </row>
    <row r="545" spans="1:14" x14ac:dyDescent="0.25">
      <c r="A545">
        <v>204.60159400000001</v>
      </c>
      <c r="B545" s="1">
        <f>DATE(2010,11,21) + TIME(14,26,17)</f>
        <v>40503.601585648146</v>
      </c>
      <c r="C545">
        <v>80</v>
      </c>
      <c r="D545">
        <v>74.422172545999999</v>
      </c>
      <c r="E545">
        <v>50</v>
      </c>
      <c r="F545">
        <v>49.944423676</v>
      </c>
      <c r="G545">
        <v>1045.1293945</v>
      </c>
      <c r="H545">
        <v>915.48449706999997</v>
      </c>
      <c r="I545">
        <v>1985.1228027</v>
      </c>
      <c r="J545">
        <v>1793.3336182</v>
      </c>
      <c r="K545">
        <v>0</v>
      </c>
      <c r="L545">
        <v>2400</v>
      </c>
      <c r="M545">
        <v>2400</v>
      </c>
      <c r="N545">
        <v>0</v>
      </c>
    </row>
    <row r="546" spans="1:14" x14ac:dyDescent="0.25">
      <c r="A546">
        <v>205.268137</v>
      </c>
      <c r="B546" s="1">
        <f>DATE(2010,11,22) + TIME(6,26,7)</f>
        <v>40504.268136574072</v>
      </c>
      <c r="C546">
        <v>80</v>
      </c>
      <c r="D546">
        <v>74.299072265999996</v>
      </c>
      <c r="E546">
        <v>50</v>
      </c>
      <c r="F546">
        <v>49.944213867000002</v>
      </c>
      <c r="G546">
        <v>1042.5987548999999</v>
      </c>
      <c r="H546">
        <v>912.90240478999999</v>
      </c>
      <c r="I546">
        <v>1986.7770995999999</v>
      </c>
      <c r="J546">
        <v>1794.9929199000001</v>
      </c>
      <c r="K546">
        <v>0</v>
      </c>
      <c r="L546">
        <v>2400</v>
      </c>
      <c r="M546">
        <v>2400</v>
      </c>
      <c r="N546">
        <v>0</v>
      </c>
    </row>
    <row r="547" spans="1:14" x14ac:dyDescent="0.25">
      <c r="A547">
        <v>205.95138299999999</v>
      </c>
      <c r="B547" s="1">
        <f>DATE(2010,11,22) + TIME(22,49,59)</f>
        <v>40504.951377314814</v>
      </c>
      <c r="C547">
        <v>80</v>
      </c>
      <c r="D547">
        <v>74.174369811999995</v>
      </c>
      <c r="E547">
        <v>50</v>
      </c>
      <c r="F547">
        <v>49.944023131999998</v>
      </c>
      <c r="G547">
        <v>1040.1121826000001</v>
      </c>
      <c r="H547">
        <v>910.36309814000003</v>
      </c>
      <c r="I547">
        <v>1988.3487548999999</v>
      </c>
      <c r="J547">
        <v>1796.5693358999999</v>
      </c>
      <c r="K547">
        <v>0</v>
      </c>
      <c r="L547">
        <v>2400</v>
      </c>
      <c r="M547">
        <v>2400</v>
      </c>
      <c r="N547">
        <v>0</v>
      </c>
    </row>
    <row r="548" spans="1:14" x14ac:dyDescent="0.25">
      <c r="A548">
        <v>206.653368</v>
      </c>
      <c r="B548" s="1">
        <f>DATE(2010,11,23) + TIME(15,40,50)</f>
        <v>40505.653356481482</v>
      </c>
      <c r="C548">
        <v>80</v>
      </c>
      <c r="D548">
        <v>74.047698975000003</v>
      </c>
      <c r="E548">
        <v>50</v>
      </c>
      <c r="F548">
        <v>49.943851471000002</v>
      </c>
      <c r="G548">
        <v>1037.6634521000001</v>
      </c>
      <c r="H548">
        <v>907.86022949000005</v>
      </c>
      <c r="I548">
        <v>1989.8416748</v>
      </c>
      <c r="J548">
        <v>1798.0667725000001</v>
      </c>
      <c r="K548">
        <v>0</v>
      </c>
      <c r="L548">
        <v>2400</v>
      </c>
      <c r="M548">
        <v>2400</v>
      </c>
      <c r="N548">
        <v>0</v>
      </c>
    </row>
    <row r="549" spans="1:14" x14ac:dyDescent="0.25">
      <c r="A549">
        <v>207.37596600000001</v>
      </c>
      <c r="B549" s="1">
        <f>DATE(2010,11,24) + TIME(9,1,23)</f>
        <v>40506.375960648147</v>
      </c>
      <c r="C549">
        <v>80</v>
      </c>
      <c r="D549">
        <v>73.918731688999998</v>
      </c>
      <c r="E549">
        <v>50</v>
      </c>
      <c r="F549">
        <v>49.943691254000001</v>
      </c>
      <c r="G549">
        <v>1035.2481689000001</v>
      </c>
      <c r="H549">
        <v>905.38891602000001</v>
      </c>
      <c r="I549">
        <v>1991.2584228999999</v>
      </c>
      <c r="J549">
        <v>1799.4876709</v>
      </c>
      <c r="K549">
        <v>0</v>
      </c>
      <c r="L549">
        <v>2400</v>
      </c>
      <c r="M549">
        <v>2400</v>
      </c>
      <c r="N549">
        <v>0</v>
      </c>
    </row>
    <row r="550" spans="1:14" x14ac:dyDescent="0.25">
      <c r="A550">
        <v>208.123075</v>
      </c>
      <c r="B550" s="1">
        <f>DATE(2010,11,25) + TIME(2,57,13)</f>
        <v>40507.123067129629</v>
      </c>
      <c r="C550">
        <v>80</v>
      </c>
      <c r="D550">
        <v>73.787002563000001</v>
      </c>
      <c r="E550">
        <v>50</v>
      </c>
      <c r="F550">
        <v>49.943542479999998</v>
      </c>
      <c r="G550">
        <v>1032.8563231999999</v>
      </c>
      <c r="H550">
        <v>902.93902588000003</v>
      </c>
      <c r="I550">
        <v>1992.6057129000001</v>
      </c>
      <c r="J550">
        <v>1800.8389893000001</v>
      </c>
      <c r="K550">
        <v>0</v>
      </c>
      <c r="L550">
        <v>2400</v>
      </c>
      <c r="M550">
        <v>2400</v>
      </c>
      <c r="N550">
        <v>0</v>
      </c>
    </row>
    <row r="551" spans="1:14" x14ac:dyDescent="0.25">
      <c r="A551">
        <v>208.89967999999999</v>
      </c>
      <c r="B551" s="1">
        <f>DATE(2010,11,25) + TIME(21,35,32)</f>
        <v>40507.899675925924</v>
      </c>
      <c r="C551">
        <v>80</v>
      </c>
      <c r="D551">
        <v>73.651863098000007</v>
      </c>
      <c r="E551">
        <v>50</v>
      </c>
      <c r="F551">
        <v>49.943412780999999</v>
      </c>
      <c r="G551">
        <v>1030.4769286999999</v>
      </c>
      <c r="H551">
        <v>900.49908446999996</v>
      </c>
      <c r="I551">
        <v>1993.8901367000001</v>
      </c>
      <c r="J551">
        <v>1802.1271973</v>
      </c>
      <c r="K551">
        <v>0</v>
      </c>
      <c r="L551">
        <v>2400</v>
      </c>
      <c r="M551">
        <v>2400</v>
      </c>
      <c r="N551">
        <v>0</v>
      </c>
    </row>
    <row r="552" spans="1:14" x14ac:dyDescent="0.25">
      <c r="A552">
        <v>209.689605</v>
      </c>
      <c r="B552" s="1">
        <f>DATE(2010,11,26) + TIME(16,33,1)</f>
        <v>40508.68959490741</v>
      </c>
      <c r="C552">
        <v>80</v>
      </c>
      <c r="D552">
        <v>73.514450073000006</v>
      </c>
      <c r="E552">
        <v>50</v>
      </c>
      <c r="F552">
        <v>49.943283080999997</v>
      </c>
      <c r="G552">
        <v>1028.1563721</v>
      </c>
      <c r="H552">
        <v>898.11590576000003</v>
      </c>
      <c r="I552">
        <v>1995.0709228999999</v>
      </c>
      <c r="J552">
        <v>1803.3115233999999</v>
      </c>
      <c r="K552">
        <v>0</v>
      </c>
      <c r="L552">
        <v>2400</v>
      </c>
      <c r="M552">
        <v>2400</v>
      </c>
      <c r="N552">
        <v>0</v>
      </c>
    </row>
    <row r="553" spans="1:14" x14ac:dyDescent="0.25">
      <c r="A553">
        <v>210.48210900000001</v>
      </c>
      <c r="B553" s="1">
        <f>DATE(2010,11,27) + TIME(11,34,14)</f>
        <v>40509.482106481482</v>
      </c>
      <c r="C553">
        <v>80</v>
      </c>
      <c r="D553">
        <v>73.376235961999996</v>
      </c>
      <c r="E553">
        <v>50</v>
      </c>
      <c r="F553">
        <v>49.943164824999997</v>
      </c>
      <c r="G553">
        <v>1025.9213867000001</v>
      </c>
      <c r="H553">
        <v>895.81689453000001</v>
      </c>
      <c r="I553">
        <v>1996.1368408000001</v>
      </c>
      <c r="J553">
        <v>1804.3808594</v>
      </c>
      <c r="K553">
        <v>0</v>
      </c>
      <c r="L553">
        <v>2400</v>
      </c>
      <c r="M553">
        <v>2400</v>
      </c>
      <c r="N553">
        <v>0</v>
      </c>
    </row>
    <row r="554" spans="1:14" x14ac:dyDescent="0.25">
      <c r="A554">
        <v>211.27926500000001</v>
      </c>
      <c r="B554" s="1">
        <f>DATE(2010,11,28) + TIME(6,42,8)</f>
        <v>40510.27925925926</v>
      </c>
      <c r="C554">
        <v>80</v>
      </c>
      <c r="D554">
        <v>73.237800598000007</v>
      </c>
      <c r="E554">
        <v>50</v>
      </c>
      <c r="F554">
        <v>49.943065642999997</v>
      </c>
      <c r="G554">
        <v>1023.7635498</v>
      </c>
      <c r="H554">
        <v>893.59332274999997</v>
      </c>
      <c r="I554">
        <v>1997.1062012</v>
      </c>
      <c r="J554">
        <v>1805.3531493999999</v>
      </c>
      <c r="K554">
        <v>0</v>
      </c>
      <c r="L554">
        <v>2400</v>
      </c>
      <c r="M554">
        <v>2400</v>
      </c>
      <c r="N554">
        <v>0</v>
      </c>
    </row>
    <row r="555" spans="1:14" x14ac:dyDescent="0.25">
      <c r="A555">
        <v>212.084789</v>
      </c>
      <c r="B555" s="1">
        <f>DATE(2010,11,29) + TIME(2,2,5)</f>
        <v>40511.084780092591</v>
      </c>
      <c r="C555">
        <v>80</v>
      </c>
      <c r="D555">
        <v>73.099098205999994</v>
      </c>
      <c r="E555">
        <v>50</v>
      </c>
      <c r="F555">
        <v>49.942981719999999</v>
      </c>
      <c r="G555">
        <v>1021.6700439</v>
      </c>
      <c r="H555">
        <v>891.43249512</v>
      </c>
      <c r="I555">
        <v>1997.9927978999999</v>
      </c>
      <c r="J555">
        <v>1806.2425536999999</v>
      </c>
      <c r="K555">
        <v>0</v>
      </c>
      <c r="L555">
        <v>2400</v>
      </c>
      <c r="M555">
        <v>2400</v>
      </c>
      <c r="N555">
        <v>0</v>
      </c>
    </row>
    <row r="556" spans="1:14" x14ac:dyDescent="0.25">
      <c r="A556">
        <v>212.90104400000001</v>
      </c>
      <c r="B556" s="1">
        <f>DATE(2010,11,29) + TIME(21,37,30)</f>
        <v>40511.901041666664</v>
      </c>
      <c r="C556">
        <v>80</v>
      </c>
      <c r="D556">
        <v>72.959907532000003</v>
      </c>
      <c r="E556">
        <v>50</v>
      </c>
      <c r="F556">
        <v>49.942916869999998</v>
      </c>
      <c r="G556">
        <v>1019.6326294</v>
      </c>
      <c r="H556">
        <v>889.32598876999998</v>
      </c>
      <c r="I556">
        <v>1998.8037108999999</v>
      </c>
      <c r="J556">
        <v>1807.0561522999999</v>
      </c>
      <c r="K556">
        <v>0</v>
      </c>
      <c r="L556">
        <v>2400</v>
      </c>
      <c r="M556">
        <v>2400</v>
      </c>
      <c r="N556">
        <v>0</v>
      </c>
    </row>
    <row r="557" spans="1:14" x14ac:dyDescent="0.25">
      <c r="A557">
        <v>213.73124799999999</v>
      </c>
      <c r="B557" s="1">
        <f>DATE(2010,11,30) + TIME(17,32,59)</f>
        <v>40512.731238425928</v>
      </c>
      <c r="C557">
        <v>80</v>
      </c>
      <c r="D557">
        <v>72.819847107000001</v>
      </c>
      <c r="E557">
        <v>50</v>
      </c>
      <c r="F557">
        <v>49.942859650000003</v>
      </c>
      <c r="G557">
        <v>1017.6420898</v>
      </c>
      <c r="H557">
        <v>887.26422118999994</v>
      </c>
      <c r="I557">
        <v>1999.5454102000001</v>
      </c>
      <c r="J557">
        <v>1807.800293</v>
      </c>
      <c r="K557">
        <v>0</v>
      </c>
      <c r="L557">
        <v>2400</v>
      </c>
      <c r="M557">
        <v>2400</v>
      </c>
      <c r="N557">
        <v>0</v>
      </c>
    </row>
    <row r="558" spans="1:14" x14ac:dyDescent="0.25">
      <c r="A558">
        <v>214</v>
      </c>
      <c r="B558" s="1">
        <f>DATE(2010,12,1) + TIME(0,0,0)</f>
        <v>40513</v>
      </c>
      <c r="C558">
        <v>80</v>
      </c>
      <c r="D558">
        <v>72.750755310000002</v>
      </c>
      <c r="E558">
        <v>50</v>
      </c>
      <c r="F558">
        <v>49.942672729000002</v>
      </c>
      <c r="G558">
        <v>1016.932312</v>
      </c>
      <c r="H558">
        <v>886.52148437999995</v>
      </c>
      <c r="I558">
        <v>1999.6269531</v>
      </c>
      <c r="J558">
        <v>1807.8834228999999</v>
      </c>
      <c r="K558">
        <v>0</v>
      </c>
      <c r="L558">
        <v>2400</v>
      </c>
      <c r="M558">
        <v>2400</v>
      </c>
      <c r="N558">
        <v>0</v>
      </c>
    </row>
    <row r="559" spans="1:14" x14ac:dyDescent="0.25">
      <c r="A559">
        <v>214.848592</v>
      </c>
      <c r="B559" s="1">
        <f>DATE(2010,12,1) + TIME(20,21,58)</f>
        <v>40513.848587962966</v>
      </c>
      <c r="C559">
        <v>80</v>
      </c>
      <c r="D559">
        <v>72.621574401999993</v>
      </c>
      <c r="E559">
        <v>50</v>
      </c>
      <c r="F559">
        <v>49.942768096999998</v>
      </c>
      <c r="G559">
        <v>1015.0549316</v>
      </c>
      <c r="H559">
        <v>884.57196045000001</v>
      </c>
      <c r="I559">
        <v>2000.3468018000001</v>
      </c>
      <c r="J559">
        <v>1808.6044922000001</v>
      </c>
      <c r="K559">
        <v>0</v>
      </c>
      <c r="L559">
        <v>2400</v>
      </c>
      <c r="M559">
        <v>2400</v>
      </c>
      <c r="N559">
        <v>0</v>
      </c>
    </row>
    <row r="560" spans="1:14" x14ac:dyDescent="0.25">
      <c r="A560">
        <v>215.72582</v>
      </c>
      <c r="B560" s="1">
        <f>DATE(2010,12,2) + TIME(17,25,10)</f>
        <v>40514.725810185184</v>
      </c>
      <c r="C560">
        <v>80</v>
      </c>
      <c r="D560">
        <v>72.483856200999995</v>
      </c>
      <c r="E560">
        <v>50</v>
      </c>
      <c r="F560">
        <v>49.942794800000001</v>
      </c>
      <c r="G560">
        <v>1013.1488037</v>
      </c>
      <c r="H560">
        <v>882.59210204999999</v>
      </c>
      <c r="I560">
        <v>2000.9949951000001</v>
      </c>
      <c r="J560">
        <v>1809.2547606999999</v>
      </c>
      <c r="K560">
        <v>0</v>
      </c>
      <c r="L560">
        <v>2400</v>
      </c>
      <c r="M560">
        <v>2400</v>
      </c>
      <c r="N560">
        <v>0</v>
      </c>
    </row>
    <row r="561" spans="1:14" x14ac:dyDescent="0.25">
      <c r="A561">
        <v>216.629445</v>
      </c>
      <c r="B561" s="1">
        <f>DATE(2010,12,3) + TIME(15,6,24)</f>
        <v>40515.629444444443</v>
      </c>
      <c r="C561">
        <v>80</v>
      </c>
      <c r="D561">
        <v>72.340248107999997</v>
      </c>
      <c r="E561">
        <v>50</v>
      </c>
      <c r="F561">
        <v>49.942779541</v>
      </c>
      <c r="G561">
        <v>1011.2577515</v>
      </c>
      <c r="H561">
        <v>880.62170409999999</v>
      </c>
      <c r="I561">
        <v>2001.5560303</v>
      </c>
      <c r="J561">
        <v>1809.8178711</v>
      </c>
      <c r="K561">
        <v>0</v>
      </c>
      <c r="L561">
        <v>2400</v>
      </c>
      <c r="M561">
        <v>2400</v>
      </c>
      <c r="N561">
        <v>0</v>
      </c>
    </row>
    <row r="562" spans="1:14" x14ac:dyDescent="0.25">
      <c r="A562">
        <v>217.56565900000001</v>
      </c>
      <c r="B562" s="1">
        <f>DATE(2010,12,4) + TIME(13,34,32)</f>
        <v>40516.565648148149</v>
      </c>
      <c r="C562">
        <v>80</v>
      </c>
      <c r="D562">
        <v>72.191665649000001</v>
      </c>
      <c r="E562">
        <v>50</v>
      </c>
      <c r="F562">
        <v>49.942764281999999</v>
      </c>
      <c r="G562">
        <v>1009.375061</v>
      </c>
      <c r="H562">
        <v>878.65447998000002</v>
      </c>
      <c r="I562">
        <v>2002.0506591999999</v>
      </c>
      <c r="J562">
        <v>1810.3143310999999</v>
      </c>
      <c r="K562">
        <v>0</v>
      </c>
      <c r="L562">
        <v>2400</v>
      </c>
      <c r="M562">
        <v>2400</v>
      </c>
      <c r="N562">
        <v>0</v>
      </c>
    </row>
    <row r="563" spans="1:14" x14ac:dyDescent="0.25">
      <c r="A563">
        <v>218.53065000000001</v>
      </c>
      <c r="B563" s="1">
        <f>DATE(2010,12,5) + TIME(12,44,8)</f>
        <v>40517.530648148146</v>
      </c>
      <c r="C563">
        <v>80</v>
      </c>
      <c r="D563">
        <v>72.038825989000003</v>
      </c>
      <c r="E563">
        <v>50</v>
      </c>
      <c r="F563">
        <v>49.942752837999997</v>
      </c>
      <c r="G563">
        <v>1007.5093994</v>
      </c>
      <c r="H563">
        <v>876.69915771000001</v>
      </c>
      <c r="I563">
        <v>2002.4783935999999</v>
      </c>
      <c r="J563">
        <v>1810.7436522999999</v>
      </c>
      <c r="K563">
        <v>0</v>
      </c>
      <c r="L563">
        <v>2400</v>
      </c>
      <c r="M563">
        <v>2400</v>
      </c>
      <c r="N563">
        <v>0</v>
      </c>
    </row>
    <row r="564" spans="1:14" x14ac:dyDescent="0.25">
      <c r="A564">
        <v>219.50169199999999</v>
      </c>
      <c r="B564" s="1">
        <f>DATE(2010,12,6) + TIME(12,2,26)</f>
        <v>40518.501689814817</v>
      </c>
      <c r="C564">
        <v>80</v>
      </c>
      <c r="D564">
        <v>71.883773804</v>
      </c>
      <c r="E564">
        <v>50</v>
      </c>
      <c r="F564">
        <v>49.942745209000002</v>
      </c>
      <c r="G564">
        <v>1005.697937</v>
      </c>
      <c r="H564">
        <v>874.79382324000005</v>
      </c>
      <c r="I564">
        <v>2002.8237305</v>
      </c>
      <c r="J564">
        <v>1811.0905762</v>
      </c>
      <c r="K564">
        <v>0</v>
      </c>
      <c r="L564">
        <v>2400</v>
      </c>
      <c r="M564">
        <v>2400</v>
      </c>
      <c r="N564">
        <v>0</v>
      </c>
    </row>
    <row r="565" spans="1:14" x14ac:dyDescent="0.25">
      <c r="A565">
        <v>220.48027999999999</v>
      </c>
      <c r="B565" s="1">
        <f>DATE(2010,12,7) + TIME(11,31,36)</f>
        <v>40519.48027777778</v>
      </c>
      <c r="C565">
        <v>80</v>
      </c>
      <c r="D565">
        <v>71.727699279999996</v>
      </c>
      <c r="E565">
        <v>50</v>
      </c>
      <c r="F565">
        <v>49.942745209000002</v>
      </c>
      <c r="G565">
        <v>1003.9381104</v>
      </c>
      <c r="H565">
        <v>872.93627930000002</v>
      </c>
      <c r="I565">
        <v>2003.1002197</v>
      </c>
      <c r="J565">
        <v>1811.3685303</v>
      </c>
      <c r="K565">
        <v>0</v>
      </c>
      <c r="L565">
        <v>2400</v>
      </c>
      <c r="M565">
        <v>2400</v>
      </c>
      <c r="N565">
        <v>0</v>
      </c>
    </row>
    <row r="566" spans="1:14" x14ac:dyDescent="0.25">
      <c r="A566">
        <v>221.46736799999999</v>
      </c>
      <c r="B566" s="1">
        <f>DATE(2010,12,8) + TIME(11,13,0)</f>
        <v>40520.467361111114</v>
      </c>
      <c r="C566">
        <v>80</v>
      </c>
      <c r="D566">
        <v>71.571022033999995</v>
      </c>
      <c r="E566">
        <v>50</v>
      </c>
      <c r="F566">
        <v>49.942760468000003</v>
      </c>
      <c r="G566">
        <v>1002.2258911</v>
      </c>
      <c r="H566">
        <v>871.12268066000001</v>
      </c>
      <c r="I566">
        <v>2003.3155518000001</v>
      </c>
      <c r="J566">
        <v>1811.5852050999999</v>
      </c>
      <c r="K566">
        <v>0</v>
      </c>
      <c r="L566">
        <v>2400</v>
      </c>
      <c r="M566">
        <v>2400</v>
      </c>
      <c r="N566">
        <v>0</v>
      </c>
    </row>
    <row r="567" spans="1:14" x14ac:dyDescent="0.25">
      <c r="A567">
        <v>222.46456499999999</v>
      </c>
      <c r="B567" s="1">
        <f>DATE(2010,12,9) + TIME(11,8,58)</f>
        <v>40521.464560185188</v>
      </c>
      <c r="C567">
        <v>80</v>
      </c>
      <c r="D567">
        <v>71.413818359000004</v>
      </c>
      <c r="E567">
        <v>50</v>
      </c>
      <c r="F567">
        <v>49.942783356</v>
      </c>
      <c r="G567">
        <v>1000.5563965</v>
      </c>
      <c r="H567">
        <v>869.34790038999995</v>
      </c>
      <c r="I567">
        <v>2003.4752197</v>
      </c>
      <c r="J567">
        <v>1811.7462158000001</v>
      </c>
      <c r="K567">
        <v>0</v>
      </c>
      <c r="L567">
        <v>2400</v>
      </c>
      <c r="M567">
        <v>2400</v>
      </c>
      <c r="N567">
        <v>0</v>
      </c>
    </row>
    <row r="568" spans="1:14" x14ac:dyDescent="0.25">
      <c r="A568">
        <v>223.477259</v>
      </c>
      <c r="B568" s="1">
        <f>DATE(2010,12,10) + TIME(11,27,15)</f>
        <v>40522.477256944447</v>
      </c>
      <c r="C568">
        <v>80</v>
      </c>
      <c r="D568">
        <v>71.255691528</v>
      </c>
      <c r="E568">
        <v>50</v>
      </c>
      <c r="F568">
        <v>49.942817687999998</v>
      </c>
      <c r="G568">
        <v>998.91979979999996</v>
      </c>
      <c r="H568">
        <v>867.60174560999997</v>
      </c>
      <c r="I568">
        <v>2003.5848389</v>
      </c>
      <c r="J568">
        <v>1811.8569336</v>
      </c>
      <c r="K568">
        <v>0</v>
      </c>
      <c r="L568">
        <v>2400</v>
      </c>
      <c r="M568">
        <v>2400</v>
      </c>
      <c r="N568">
        <v>0</v>
      </c>
    </row>
    <row r="569" spans="1:14" x14ac:dyDescent="0.25">
      <c r="A569">
        <v>224.510976</v>
      </c>
      <c r="B569" s="1">
        <f>DATE(2010,12,11) + TIME(12,15,48)</f>
        <v>40523.510972222219</v>
      </c>
      <c r="C569">
        <v>80</v>
      </c>
      <c r="D569">
        <v>71.096008300999998</v>
      </c>
      <c r="E569">
        <v>50</v>
      </c>
      <c r="F569">
        <v>49.942859650000003</v>
      </c>
      <c r="G569">
        <v>997.30682373000002</v>
      </c>
      <c r="H569">
        <v>865.87420654000005</v>
      </c>
      <c r="I569">
        <v>2003.6475829999999</v>
      </c>
      <c r="J569">
        <v>1811.9207764</v>
      </c>
      <c r="K569">
        <v>0</v>
      </c>
      <c r="L569">
        <v>2400</v>
      </c>
      <c r="M569">
        <v>2400</v>
      </c>
      <c r="N569">
        <v>0</v>
      </c>
    </row>
    <row r="570" spans="1:14" x14ac:dyDescent="0.25">
      <c r="A570">
        <v>225.56757999999999</v>
      </c>
      <c r="B570" s="1">
        <f>DATE(2010,12,12) + TIME(13,37,18)</f>
        <v>40524.567569444444</v>
      </c>
      <c r="C570">
        <v>80</v>
      </c>
      <c r="D570">
        <v>70.934257506999998</v>
      </c>
      <c r="E570">
        <v>50</v>
      </c>
      <c r="F570">
        <v>49.942913054999998</v>
      </c>
      <c r="G570">
        <v>995.71313477000001</v>
      </c>
      <c r="H570">
        <v>864.16027831999997</v>
      </c>
      <c r="I570">
        <v>2003.6636963000001</v>
      </c>
      <c r="J570">
        <v>1811.9378661999999</v>
      </c>
      <c r="K570">
        <v>0</v>
      </c>
      <c r="L570">
        <v>2400</v>
      </c>
      <c r="M570">
        <v>2400</v>
      </c>
      <c r="N570">
        <v>0</v>
      </c>
    </row>
    <row r="571" spans="1:14" x14ac:dyDescent="0.25">
      <c r="A571">
        <v>226.65314000000001</v>
      </c>
      <c r="B571" s="1">
        <f>DATE(2010,12,13) + TIME(15,40,31)</f>
        <v>40525.653136574074</v>
      </c>
      <c r="C571">
        <v>80</v>
      </c>
      <c r="D571">
        <v>70.769798279</v>
      </c>
      <c r="E571">
        <v>50</v>
      </c>
      <c r="F571">
        <v>49.942970275999997</v>
      </c>
      <c r="G571">
        <v>994.13037109000004</v>
      </c>
      <c r="H571">
        <v>862.45074463000003</v>
      </c>
      <c r="I571">
        <v>2003.6348877</v>
      </c>
      <c r="J571">
        <v>1811.9101562000001</v>
      </c>
      <c r="K571">
        <v>0</v>
      </c>
      <c r="L571">
        <v>2400</v>
      </c>
      <c r="M571">
        <v>2400</v>
      </c>
      <c r="N571">
        <v>0</v>
      </c>
    </row>
    <row r="572" spans="1:14" x14ac:dyDescent="0.25">
      <c r="A572">
        <v>227.77443199999999</v>
      </c>
      <c r="B572" s="1">
        <f>DATE(2010,12,14) + TIME(18,35,10)</f>
        <v>40526.774421296293</v>
      </c>
      <c r="C572">
        <v>80</v>
      </c>
      <c r="D572">
        <v>70.601821899000001</v>
      </c>
      <c r="E572">
        <v>50</v>
      </c>
      <c r="F572">
        <v>49.943035125999998</v>
      </c>
      <c r="G572">
        <v>992.54974364999998</v>
      </c>
      <c r="H572">
        <v>860.73571776999995</v>
      </c>
      <c r="I572">
        <v>2003.5618896000001</v>
      </c>
      <c r="J572">
        <v>1811.8380127</v>
      </c>
      <c r="K572">
        <v>0</v>
      </c>
      <c r="L572">
        <v>2400</v>
      </c>
      <c r="M572">
        <v>2400</v>
      </c>
      <c r="N572">
        <v>0</v>
      </c>
    </row>
    <row r="573" spans="1:14" x14ac:dyDescent="0.25">
      <c r="A573">
        <v>228.919982</v>
      </c>
      <c r="B573" s="1">
        <f>DATE(2010,12,15) + TIME(22,4,46)</f>
        <v>40527.919976851852</v>
      </c>
      <c r="C573">
        <v>80</v>
      </c>
      <c r="D573">
        <v>70.430511475000003</v>
      </c>
      <c r="E573">
        <v>50</v>
      </c>
      <c r="F573">
        <v>49.943103790000002</v>
      </c>
      <c r="G573">
        <v>990.98181151999995</v>
      </c>
      <c r="H573">
        <v>859.02551270000004</v>
      </c>
      <c r="I573">
        <v>2003.4398193</v>
      </c>
      <c r="J573">
        <v>1811.7167969</v>
      </c>
      <c r="K573">
        <v>0</v>
      </c>
      <c r="L573">
        <v>2400</v>
      </c>
      <c r="M573">
        <v>2400</v>
      </c>
      <c r="N573">
        <v>0</v>
      </c>
    </row>
    <row r="574" spans="1:14" x14ac:dyDescent="0.25">
      <c r="A574">
        <v>230.071033</v>
      </c>
      <c r="B574" s="1">
        <f>DATE(2010,12,17) + TIME(1,42,17)</f>
        <v>40529.071030092593</v>
      </c>
      <c r="C574">
        <v>80</v>
      </c>
      <c r="D574">
        <v>70.257385253999999</v>
      </c>
      <c r="E574">
        <v>50</v>
      </c>
      <c r="F574">
        <v>49.943172455000003</v>
      </c>
      <c r="G574">
        <v>989.44561768000005</v>
      </c>
      <c r="H574">
        <v>857.33959961000005</v>
      </c>
      <c r="I574">
        <v>2003.2685547000001</v>
      </c>
      <c r="J574">
        <v>1811.5462646000001</v>
      </c>
      <c r="K574">
        <v>0</v>
      </c>
      <c r="L574">
        <v>2400</v>
      </c>
      <c r="M574">
        <v>2400</v>
      </c>
      <c r="N574">
        <v>0</v>
      </c>
    </row>
    <row r="575" spans="1:14" x14ac:dyDescent="0.25">
      <c r="A575">
        <v>231.231054</v>
      </c>
      <c r="B575" s="1">
        <f>DATE(2010,12,18) + TIME(5,32,43)</f>
        <v>40530.231053240743</v>
      </c>
      <c r="C575">
        <v>80</v>
      </c>
      <c r="D575">
        <v>70.083328246999997</v>
      </c>
      <c r="E575">
        <v>50</v>
      </c>
      <c r="F575">
        <v>49.943244933999999</v>
      </c>
      <c r="G575">
        <v>987.93817138999998</v>
      </c>
      <c r="H575">
        <v>855.67559814000003</v>
      </c>
      <c r="I575">
        <v>2003.0565185999999</v>
      </c>
      <c r="J575">
        <v>1811.3349608999999</v>
      </c>
      <c r="K575">
        <v>0</v>
      </c>
      <c r="L575">
        <v>2400</v>
      </c>
      <c r="M575">
        <v>2400</v>
      </c>
      <c r="N575">
        <v>0</v>
      </c>
    </row>
    <row r="576" spans="1:14" x14ac:dyDescent="0.25">
      <c r="A576">
        <v>232.403503</v>
      </c>
      <c r="B576" s="1">
        <f>DATE(2010,12,19) + TIME(9,41,2)</f>
        <v>40531.403495370374</v>
      </c>
      <c r="C576">
        <v>80</v>
      </c>
      <c r="D576">
        <v>69.908409118999998</v>
      </c>
      <c r="E576">
        <v>50</v>
      </c>
      <c r="F576">
        <v>49.943328856999997</v>
      </c>
      <c r="G576">
        <v>986.45373534999999</v>
      </c>
      <c r="H576">
        <v>854.02746581999997</v>
      </c>
      <c r="I576">
        <v>2002.8087158000001</v>
      </c>
      <c r="J576">
        <v>1811.0878906</v>
      </c>
      <c r="K576">
        <v>0</v>
      </c>
      <c r="L576">
        <v>2400</v>
      </c>
      <c r="M576">
        <v>2400</v>
      </c>
      <c r="N576">
        <v>0</v>
      </c>
    </row>
    <row r="577" spans="1:14" x14ac:dyDescent="0.25">
      <c r="A577">
        <v>233.59218100000001</v>
      </c>
      <c r="B577" s="1">
        <f>DATE(2010,12,20) + TIME(14,12,44)</f>
        <v>40532.592175925929</v>
      </c>
      <c r="C577">
        <v>80</v>
      </c>
      <c r="D577">
        <v>69.732284546000002</v>
      </c>
      <c r="E577">
        <v>50</v>
      </c>
      <c r="F577">
        <v>49.943420410000002</v>
      </c>
      <c r="G577">
        <v>984.98614501999998</v>
      </c>
      <c r="H577">
        <v>852.38836670000001</v>
      </c>
      <c r="I577">
        <v>2002.527832</v>
      </c>
      <c r="J577">
        <v>1810.8076172000001</v>
      </c>
      <c r="K577">
        <v>0</v>
      </c>
      <c r="L577">
        <v>2400</v>
      </c>
      <c r="M577">
        <v>2400</v>
      </c>
      <c r="N577">
        <v>0</v>
      </c>
    </row>
    <row r="578" spans="1:14" x14ac:dyDescent="0.25">
      <c r="A578">
        <v>234.80039500000001</v>
      </c>
      <c r="B578" s="1">
        <f>DATE(2010,12,21) + TIME(19,12,34)</f>
        <v>40533.800393518519</v>
      </c>
      <c r="C578">
        <v>80</v>
      </c>
      <c r="D578">
        <v>69.554573059000006</v>
      </c>
      <c r="E578">
        <v>50</v>
      </c>
      <c r="F578">
        <v>49.943515777999998</v>
      </c>
      <c r="G578">
        <v>983.52966308999999</v>
      </c>
      <c r="H578">
        <v>850.75177001999998</v>
      </c>
      <c r="I578">
        <v>2002.215332</v>
      </c>
      <c r="J578">
        <v>1810.4957274999999</v>
      </c>
      <c r="K578">
        <v>0</v>
      </c>
      <c r="L578">
        <v>2400</v>
      </c>
      <c r="M578">
        <v>2400</v>
      </c>
      <c r="N578">
        <v>0</v>
      </c>
    </row>
    <row r="579" spans="1:14" x14ac:dyDescent="0.25">
      <c r="A579">
        <v>236.03475</v>
      </c>
      <c r="B579" s="1">
        <f>DATE(2010,12,23) + TIME(0,50,2)</f>
        <v>40535.034745370373</v>
      </c>
      <c r="C579">
        <v>80</v>
      </c>
      <c r="D579">
        <v>69.374588012999993</v>
      </c>
      <c r="E579">
        <v>50</v>
      </c>
      <c r="F579">
        <v>49.943614959999998</v>
      </c>
      <c r="G579">
        <v>982.07617187999995</v>
      </c>
      <c r="H579">
        <v>849.10839843999997</v>
      </c>
      <c r="I579">
        <v>2001.8721923999999</v>
      </c>
      <c r="J579">
        <v>1810.1530762</v>
      </c>
      <c r="K579">
        <v>0</v>
      </c>
      <c r="L579">
        <v>2400</v>
      </c>
      <c r="M579">
        <v>2400</v>
      </c>
      <c r="N579">
        <v>0</v>
      </c>
    </row>
    <row r="580" spans="1:14" x14ac:dyDescent="0.25">
      <c r="A580">
        <v>237.30233200000001</v>
      </c>
      <c r="B580" s="1">
        <f>DATE(2010,12,24) + TIME(7,15,21)</f>
        <v>40536.30232638889</v>
      </c>
      <c r="C580">
        <v>80</v>
      </c>
      <c r="D580">
        <v>69.191459656000006</v>
      </c>
      <c r="E580">
        <v>50</v>
      </c>
      <c r="F580">
        <v>49.943725585999999</v>
      </c>
      <c r="G580">
        <v>980.61694336000005</v>
      </c>
      <c r="H580">
        <v>847.44812012</v>
      </c>
      <c r="I580">
        <v>2001.4980469</v>
      </c>
      <c r="J580">
        <v>1809.7794189000001</v>
      </c>
      <c r="K580">
        <v>0</v>
      </c>
      <c r="L580">
        <v>2400</v>
      </c>
      <c r="M580">
        <v>2400</v>
      </c>
      <c r="N580">
        <v>0</v>
      </c>
    </row>
    <row r="581" spans="1:14" x14ac:dyDescent="0.25">
      <c r="A581">
        <v>238.60634200000001</v>
      </c>
      <c r="B581" s="1">
        <f>DATE(2010,12,25) + TIME(14,33,7)</f>
        <v>40537.60633101852</v>
      </c>
      <c r="C581">
        <v>80</v>
      </c>
      <c r="D581">
        <v>69.004371642999999</v>
      </c>
      <c r="E581">
        <v>50</v>
      </c>
      <c r="F581">
        <v>49.943836212000001</v>
      </c>
      <c r="G581">
        <v>979.14636229999996</v>
      </c>
      <c r="H581">
        <v>845.76361083999996</v>
      </c>
      <c r="I581">
        <v>2001.0920410000001</v>
      </c>
      <c r="J581">
        <v>1809.3740233999999</v>
      </c>
      <c r="K581">
        <v>0</v>
      </c>
      <c r="L581">
        <v>2400</v>
      </c>
      <c r="M581">
        <v>2400</v>
      </c>
      <c r="N581">
        <v>0</v>
      </c>
    </row>
    <row r="582" spans="1:14" x14ac:dyDescent="0.25">
      <c r="A582">
        <v>239.94995599999999</v>
      </c>
      <c r="B582" s="1">
        <f>DATE(2010,12,26) + TIME(22,47,56)</f>
        <v>40538.949953703705</v>
      </c>
      <c r="C582">
        <v>80</v>
      </c>
      <c r="D582">
        <v>68.812698363999999</v>
      </c>
      <c r="E582">
        <v>50</v>
      </c>
      <c r="F582">
        <v>49.943958281999997</v>
      </c>
      <c r="G582">
        <v>977.65954590000001</v>
      </c>
      <c r="H582">
        <v>844.04858397999999</v>
      </c>
      <c r="I582">
        <v>2000.6539307</v>
      </c>
      <c r="J582">
        <v>1808.9362793</v>
      </c>
      <c r="K582">
        <v>0</v>
      </c>
      <c r="L582">
        <v>2400</v>
      </c>
      <c r="M582">
        <v>2400</v>
      </c>
      <c r="N582">
        <v>0</v>
      </c>
    </row>
    <row r="583" spans="1:14" x14ac:dyDescent="0.25">
      <c r="A583">
        <v>241.29637399999999</v>
      </c>
      <c r="B583" s="1">
        <f>DATE(2010,12,28) + TIME(7,6,46)</f>
        <v>40540.296365740738</v>
      </c>
      <c r="C583">
        <v>80</v>
      </c>
      <c r="D583">
        <v>68.618011475000003</v>
      </c>
      <c r="E583">
        <v>50</v>
      </c>
      <c r="F583">
        <v>49.944072722999998</v>
      </c>
      <c r="G583">
        <v>976.17913818</v>
      </c>
      <c r="H583">
        <v>842.32635498000002</v>
      </c>
      <c r="I583">
        <v>2000.1866454999999</v>
      </c>
      <c r="J583">
        <v>1808.4693603999999</v>
      </c>
      <c r="K583">
        <v>0</v>
      </c>
      <c r="L583">
        <v>2400</v>
      </c>
      <c r="M583">
        <v>2400</v>
      </c>
      <c r="N583">
        <v>0</v>
      </c>
    </row>
    <row r="584" spans="1:14" x14ac:dyDescent="0.25">
      <c r="A584">
        <v>242.65024399999999</v>
      </c>
      <c r="B584" s="1">
        <f>DATE(2010,12,29) + TIME(15,36,21)</f>
        <v>40541.650243055556</v>
      </c>
      <c r="C584">
        <v>80</v>
      </c>
      <c r="D584">
        <v>68.421897888000004</v>
      </c>
      <c r="E584">
        <v>50</v>
      </c>
      <c r="F584">
        <v>49.944190978999998</v>
      </c>
      <c r="G584">
        <v>974.70806885000002</v>
      </c>
      <c r="H584">
        <v>840.60144043000003</v>
      </c>
      <c r="I584">
        <v>1999.6976318</v>
      </c>
      <c r="J584">
        <v>1807.9808350000001</v>
      </c>
      <c r="K584">
        <v>0</v>
      </c>
      <c r="L584">
        <v>2400</v>
      </c>
      <c r="M584">
        <v>2400</v>
      </c>
      <c r="N584">
        <v>0</v>
      </c>
    </row>
    <row r="585" spans="1:14" x14ac:dyDescent="0.25">
      <c r="A585">
        <v>244.01802000000001</v>
      </c>
      <c r="B585" s="1">
        <f>DATE(2010,12,31) + TIME(0,25,56)</f>
        <v>40543.018009259256</v>
      </c>
      <c r="C585">
        <v>80</v>
      </c>
      <c r="D585">
        <v>68.224357604999994</v>
      </c>
      <c r="E585">
        <v>50</v>
      </c>
      <c r="F585">
        <v>49.944316864000001</v>
      </c>
      <c r="G585">
        <v>973.24017333999996</v>
      </c>
      <c r="H585">
        <v>838.86743163999995</v>
      </c>
      <c r="I585">
        <v>1999.1905518000001</v>
      </c>
      <c r="J585">
        <v>1807.4741211</v>
      </c>
      <c r="K585">
        <v>0</v>
      </c>
      <c r="L585">
        <v>2400</v>
      </c>
      <c r="M585">
        <v>2400</v>
      </c>
      <c r="N585">
        <v>0</v>
      </c>
    </row>
    <row r="586" spans="1:14" x14ac:dyDescent="0.25">
      <c r="A586">
        <v>245</v>
      </c>
      <c r="B586" s="1">
        <f>DATE(2011,1,1) + TIME(0,0,0)</f>
        <v>40544</v>
      </c>
      <c r="C586">
        <v>80</v>
      </c>
      <c r="D586">
        <v>68.051330566000004</v>
      </c>
      <c r="E586">
        <v>50</v>
      </c>
      <c r="F586">
        <v>49.944347381999997</v>
      </c>
      <c r="G586">
        <v>972.03814696999996</v>
      </c>
      <c r="H586">
        <v>837.41894531000003</v>
      </c>
      <c r="I586">
        <v>1998.7392577999999</v>
      </c>
      <c r="J586">
        <v>1807.0229492000001</v>
      </c>
      <c r="K586">
        <v>0</v>
      </c>
      <c r="L586">
        <v>2400</v>
      </c>
      <c r="M586">
        <v>2400</v>
      </c>
      <c r="N586">
        <v>0</v>
      </c>
    </row>
    <row r="587" spans="1:14" x14ac:dyDescent="0.25">
      <c r="A587">
        <v>246.383104</v>
      </c>
      <c r="B587" s="1">
        <f>DATE(2011,1,2) + TIME(9,11,40)</f>
        <v>40545.383101851854</v>
      </c>
      <c r="C587">
        <v>80</v>
      </c>
      <c r="D587">
        <v>67.870735167999996</v>
      </c>
      <c r="E587">
        <v>50</v>
      </c>
      <c r="F587">
        <v>49.944534302000001</v>
      </c>
      <c r="G587">
        <v>970.68603515999996</v>
      </c>
      <c r="H587">
        <v>835.80895996000004</v>
      </c>
      <c r="I587">
        <v>1998.2442627</v>
      </c>
      <c r="J587">
        <v>1806.5285644999999</v>
      </c>
      <c r="K587">
        <v>0</v>
      </c>
      <c r="L587">
        <v>2400</v>
      </c>
      <c r="M587">
        <v>2400</v>
      </c>
      <c r="N587">
        <v>0</v>
      </c>
    </row>
    <row r="588" spans="1:14" x14ac:dyDescent="0.25">
      <c r="A588">
        <v>247.811226</v>
      </c>
      <c r="B588" s="1">
        <f>DATE(2011,1,3) + TIME(19,28,9)</f>
        <v>40546.811215277776</v>
      </c>
      <c r="C588">
        <v>80</v>
      </c>
      <c r="D588">
        <v>67.674949646000002</v>
      </c>
      <c r="E588">
        <v>50</v>
      </c>
      <c r="F588">
        <v>49.944690704000003</v>
      </c>
      <c r="G588">
        <v>969.22259521000001</v>
      </c>
      <c r="H588">
        <v>834.05255126999998</v>
      </c>
      <c r="I588">
        <v>1997.7191161999999</v>
      </c>
      <c r="J588">
        <v>1806.0037841999999</v>
      </c>
      <c r="K588">
        <v>0</v>
      </c>
      <c r="L588">
        <v>2400</v>
      </c>
      <c r="M588">
        <v>2400</v>
      </c>
      <c r="N588">
        <v>0</v>
      </c>
    </row>
    <row r="589" spans="1:14" x14ac:dyDescent="0.25">
      <c r="A589">
        <v>249.27509599999999</v>
      </c>
      <c r="B589" s="1">
        <f>DATE(2011,1,5) + TIME(6,36,8)</f>
        <v>40548.275092592594</v>
      </c>
      <c r="C589">
        <v>80</v>
      </c>
      <c r="D589">
        <v>67.469657897999994</v>
      </c>
      <c r="E589">
        <v>50</v>
      </c>
      <c r="F589">
        <v>49.944831848</v>
      </c>
      <c r="G589">
        <v>967.71716308999999</v>
      </c>
      <c r="H589">
        <v>832.22760010000002</v>
      </c>
      <c r="I589">
        <v>1997.1607666</v>
      </c>
      <c r="J589">
        <v>1805.4456786999999</v>
      </c>
      <c r="K589">
        <v>0</v>
      </c>
      <c r="L589">
        <v>2400</v>
      </c>
      <c r="M589">
        <v>2400</v>
      </c>
      <c r="N589">
        <v>0</v>
      </c>
    </row>
    <row r="590" spans="1:14" x14ac:dyDescent="0.25">
      <c r="A590">
        <v>250.78129899999999</v>
      </c>
      <c r="B590" s="1">
        <f>DATE(2011,1,6) + TIME(18,45,4)</f>
        <v>40549.7812962963</v>
      </c>
      <c r="C590">
        <v>80</v>
      </c>
      <c r="D590">
        <v>67.257041931000003</v>
      </c>
      <c r="E590">
        <v>50</v>
      </c>
      <c r="F590">
        <v>49.944972991999997</v>
      </c>
      <c r="G590">
        <v>966.17370604999996</v>
      </c>
      <c r="H590">
        <v>830.34051513999998</v>
      </c>
      <c r="I590">
        <v>1996.5761719</v>
      </c>
      <c r="J590">
        <v>1804.8613281</v>
      </c>
      <c r="K590">
        <v>0</v>
      </c>
      <c r="L590">
        <v>2400</v>
      </c>
      <c r="M590">
        <v>2400</v>
      </c>
      <c r="N590">
        <v>0</v>
      </c>
    </row>
    <row r="591" spans="1:14" x14ac:dyDescent="0.25">
      <c r="A591">
        <v>252.33271099999999</v>
      </c>
      <c r="B591" s="1">
        <f>DATE(2011,1,8) + TIME(7,59,6)</f>
        <v>40551.332708333335</v>
      </c>
      <c r="C591">
        <v>80</v>
      </c>
      <c r="D591">
        <v>67.037368774000001</v>
      </c>
      <c r="E591">
        <v>50</v>
      </c>
      <c r="F591">
        <v>49.945121765000003</v>
      </c>
      <c r="G591">
        <v>964.58880614999998</v>
      </c>
      <c r="H591">
        <v>828.38708496000004</v>
      </c>
      <c r="I591">
        <v>1995.9683838000001</v>
      </c>
      <c r="J591">
        <v>1804.2539062000001</v>
      </c>
      <c r="K591">
        <v>0</v>
      </c>
      <c r="L591">
        <v>2400</v>
      </c>
      <c r="M591">
        <v>2400</v>
      </c>
      <c r="N591">
        <v>0</v>
      </c>
    </row>
    <row r="592" spans="1:14" x14ac:dyDescent="0.25">
      <c r="A592">
        <v>253.890254</v>
      </c>
      <c r="B592" s="1">
        <f>DATE(2011,1,9) + TIME(21,21,57)</f>
        <v>40552.890243055554</v>
      </c>
      <c r="C592">
        <v>80</v>
      </c>
      <c r="D592">
        <v>66.812393188000001</v>
      </c>
      <c r="E592">
        <v>50</v>
      </c>
      <c r="F592">
        <v>49.945266724</v>
      </c>
      <c r="G592">
        <v>962.97930908000001</v>
      </c>
      <c r="H592">
        <v>826.38537598000005</v>
      </c>
      <c r="I592">
        <v>1995.3468018000001</v>
      </c>
      <c r="J592">
        <v>1803.6325684000001</v>
      </c>
      <c r="K592">
        <v>0</v>
      </c>
      <c r="L592">
        <v>2400</v>
      </c>
      <c r="M592">
        <v>2400</v>
      </c>
      <c r="N592">
        <v>0</v>
      </c>
    </row>
    <row r="593" spans="1:14" x14ac:dyDescent="0.25">
      <c r="A593">
        <v>255.46124800000001</v>
      </c>
      <c r="B593" s="1">
        <f>DATE(2011,1,11) + TIME(11,4,11)</f>
        <v>40554.461238425924</v>
      </c>
      <c r="C593">
        <v>80</v>
      </c>
      <c r="D593">
        <v>66.584220885999997</v>
      </c>
      <c r="E593">
        <v>50</v>
      </c>
      <c r="F593">
        <v>49.945419311999999</v>
      </c>
      <c r="G593">
        <v>961.35308838000003</v>
      </c>
      <c r="H593">
        <v>824.34625243999994</v>
      </c>
      <c r="I593">
        <v>1994.7160644999999</v>
      </c>
      <c r="J593">
        <v>1803.0020752</v>
      </c>
      <c r="K593">
        <v>0</v>
      </c>
      <c r="L593">
        <v>2400</v>
      </c>
      <c r="M593">
        <v>2400</v>
      </c>
      <c r="N593">
        <v>0</v>
      </c>
    </row>
    <row r="594" spans="1:14" x14ac:dyDescent="0.25">
      <c r="A594">
        <v>257.04268000000002</v>
      </c>
      <c r="B594" s="1">
        <f>DATE(2011,1,13) + TIME(1,1,27)</f>
        <v>40556.042673611111</v>
      </c>
      <c r="C594">
        <v>80</v>
      </c>
      <c r="D594">
        <v>66.353179932000003</v>
      </c>
      <c r="E594">
        <v>50</v>
      </c>
      <c r="F594">
        <v>49.945571899000001</v>
      </c>
      <c r="G594">
        <v>959.70928954999999</v>
      </c>
      <c r="H594">
        <v>822.26885986000002</v>
      </c>
      <c r="I594">
        <v>1994.0803223</v>
      </c>
      <c r="J594">
        <v>1802.3665771000001</v>
      </c>
      <c r="K594">
        <v>0</v>
      </c>
      <c r="L594">
        <v>2400</v>
      </c>
      <c r="M594">
        <v>2400</v>
      </c>
      <c r="N594">
        <v>0</v>
      </c>
    </row>
    <row r="595" spans="1:14" x14ac:dyDescent="0.25">
      <c r="A595">
        <v>258.643103</v>
      </c>
      <c r="B595" s="1">
        <f>DATE(2011,1,14) + TIME(15,26,4)</f>
        <v>40557.643101851849</v>
      </c>
      <c r="C595">
        <v>80</v>
      </c>
      <c r="D595">
        <v>66.118988036999994</v>
      </c>
      <c r="E595">
        <v>50</v>
      </c>
      <c r="F595">
        <v>49.945728301999999</v>
      </c>
      <c r="G595">
        <v>958.04321288999995</v>
      </c>
      <c r="H595">
        <v>820.14758300999995</v>
      </c>
      <c r="I595">
        <v>1993.4398193</v>
      </c>
      <c r="J595">
        <v>1801.7263184000001</v>
      </c>
      <c r="K595">
        <v>0</v>
      </c>
      <c r="L595">
        <v>2400</v>
      </c>
      <c r="M595">
        <v>2400</v>
      </c>
      <c r="N595">
        <v>0</v>
      </c>
    </row>
    <row r="596" spans="1:14" x14ac:dyDescent="0.25">
      <c r="A596">
        <v>260.27142700000002</v>
      </c>
      <c r="B596" s="1">
        <f>DATE(2011,1,16) + TIME(6,30,51)</f>
        <v>40559.271423611113</v>
      </c>
      <c r="C596">
        <v>80</v>
      </c>
      <c r="D596">
        <v>65.880584717000005</v>
      </c>
      <c r="E596">
        <v>50</v>
      </c>
      <c r="F596">
        <v>49.945888519</v>
      </c>
      <c r="G596">
        <v>956.34558104999996</v>
      </c>
      <c r="H596">
        <v>817.97052001999998</v>
      </c>
      <c r="I596">
        <v>1992.7935791</v>
      </c>
      <c r="J596">
        <v>1801.0804443</v>
      </c>
      <c r="K596">
        <v>0</v>
      </c>
      <c r="L596">
        <v>2400</v>
      </c>
      <c r="M596">
        <v>2400</v>
      </c>
      <c r="N596">
        <v>0</v>
      </c>
    </row>
    <row r="597" spans="1:14" x14ac:dyDescent="0.25">
      <c r="A597">
        <v>261.93410899999998</v>
      </c>
      <c r="B597" s="1">
        <f>DATE(2011,1,17) + TIME(22,25,7)</f>
        <v>40560.934108796297</v>
      </c>
      <c r="C597">
        <v>80</v>
      </c>
      <c r="D597">
        <v>65.636734008999994</v>
      </c>
      <c r="E597">
        <v>50</v>
      </c>
      <c r="F597">
        <v>49.946052551000001</v>
      </c>
      <c r="G597">
        <v>954.60699463000003</v>
      </c>
      <c r="H597">
        <v>815.72485352000001</v>
      </c>
      <c r="I597">
        <v>1992.1402588000001</v>
      </c>
      <c r="J597">
        <v>1800.4272461</v>
      </c>
      <c r="K597">
        <v>0</v>
      </c>
      <c r="L597">
        <v>2400</v>
      </c>
      <c r="M597">
        <v>2400</v>
      </c>
      <c r="N597">
        <v>0</v>
      </c>
    </row>
    <row r="598" spans="1:14" x14ac:dyDescent="0.25">
      <c r="A598">
        <v>263.63662900000003</v>
      </c>
      <c r="B598" s="1">
        <f>DATE(2011,1,19) + TIME(15,16,44)</f>
        <v>40562.636620370373</v>
      </c>
      <c r="C598">
        <v>80</v>
      </c>
      <c r="D598">
        <v>65.386314392000003</v>
      </c>
      <c r="E598">
        <v>50</v>
      </c>
      <c r="F598">
        <v>49.946220398000001</v>
      </c>
      <c r="G598">
        <v>952.81884765999996</v>
      </c>
      <c r="H598">
        <v>813.39855956999997</v>
      </c>
      <c r="I598">
        <v>1991.4783935999999</v>
      </c>
      <c r="J598">
        <v>1799.7657471</v>
      </c>
      <c r="K598">
        <v>0</v>
      </c>
      <c r="L598">
        <v>2400</v>
      </c>
      <c r="M598">
        <v>2400</v>
      </c>
      <c r="N598">
        <v>0</v>
      </c>
    </row>
    <row r="599" spans="1:14" x14ac:dyDescent="0.25">
      <c r="A599">
        <v>265.389343</v>
      </c>
      <c r="B599" s="1">
        <f>DATE(2011,1,21) + TIME(9,20,39)</f>
        <v>40564.389340277776</v>
      </c>
      <c r="C599">
        <v>80</v>
      </c>
      <c r="D599">
        <v>65.127922057999996</v>
      </c>
      <c r="E599">
        <v>50</v>
      </c>
      <c r="F599">
        <v>49.946392058999997</v>
      </c>
      <c r="G599">
        <v>950.97076416000004</v>
      </c>
      <c r="H599">
        <v>810.97711182</v>
      </c>
      <c r="I599">
        <v>1990.8061522999999</v>
      </c>
      <c r="J599">
        <v>1799.0936279</v>
      </c>
      <c r="K599">
        <v>0</v>
      </c>
      <c r="L599">
        <v>2400</v>
      </c>
      <c r="M599">
        <v>2400</v>
      </c>
      <c r="N599">
        <v>0</v>
      </c>
    </row>
    <row r="600" spans="1:14" x14ac:dyDescent="0.25">
      <c r="A600">
        <v>267.15649999999999</v>
      </c>
      <c r="B600" s="1">
        <f>DATE(2011,1,23) + TIME(3,45,21)</f>
        <v>40566.156493055554</v>
      </c>
      <c r="C600">
        <v>80</v>
      </c>
      <c r="D600">
        <v>64.861854553000001</v>
      </c>
      <c r="E600">
        <v>50</v>
      </c>
      <c r="F600">
        <v>49.946563720999997</v>
      </c>
      <c r="G600">
        <v>949.06909180000002</v>
      </c>
      <c r="H600">
        <v>808.46582031000003</v>
      </c>
      <c r="I600">
        <v>1990.130249</v>
      </c>
      <c r="J600">
        <v>1798.4179687999999</v>
      </c>
      <c r="K600">
        <v>0</v>
      </c>
      <c r="L600">
        <v>2400</v>
      </c>
      <c r="M600">
        <v>2400</v>
      </c>
      <c r="N600">
        <v>0</v>
      </c>
    </row>
    <row r="601" spans="1:14" x14ac:dyDescent="0.25">
      <c r="A601">
        <v>268.93298900000002</v>
      </c>
      <c r="B601" s="1">
        <f>DATE(2011,1,24) + TIME(22,23,30)</f>
        <v>40567.932986111111</v>
      </c>
      <c r="C601">
        <v>80</v>
      </c>
      <c r="D601">
        <v>64.590232849000003</v>
      </c>
      <c r="E601">
        <v>50</v>
      </c>
      <c r="F601">
        <v>49.946735382</v>
      </c>
      <c r="G601">
        <v>947.12982178000004</v>
      </c>
      <c r="H601">
        <v>805.88519286999997</v>
      </c>
      <c r="I601">
        <v>1989.4553223</v>
      </c>
      <c r="J601">
        <v>1797.7432861</v>
      </c>
      <c r="K601">
        <v>0</v>
      </c>
      <c r="L601">
        <v>2400</v>
      </c>
      <c r="M601">
        <v>2400</v>
      </c>
      <c r="N601">
        <v>0</v>
      </c>
    </row>
    <row r="602" spans="1:14" x14ac:dyDescent="0.25">
      <c r="A602">
        <v>270.72603700000002</v>
      </c>
      <c r="B602" s="1">
        <f>DATE(2011,1,26) + TIME(17,25,29)</f>
        <v>40569.726030092592</v>
      </c>
      <c r="C602">
        <v>80</v>
      </c>
      <c r="D602">
        <v>64.313369750999996</v>
      </c>
      <c r="E602">
        <v>50</v>
      </c>
      <c r="F602">
        <v>49.946907043000003</v>
      </c>
      <c r="G602">
        <v>945.15319824000005</v>
      </c>
      <c r="H602">
        <v>803.23626708999996</v>
      </c>
      <c r="I602">
        <v>1988.7825928</v>
      </c>
      <c r="J602">
        <v>1797.0706786999999</v>
      </c>
      <c r="K602">
        <v>0</v>
      </c>
      <c r="L602">
        <v>2400</v>
      </c>
      <c r="M602">
        <v>2400</v>
      </c>
      <c r="N602">
        <v>0</v>
      </c>
    </row>
    <row r="603" spans="1:14" x14ac:dyDescent="0.25">
      <c r="A603">
        <v>272.54317900000001</v>
      </c>
      <c r="B603" s="1">
        <f>DATE(2011,1,28) + TIME(13,2,10)</f>
        <v>40571.543171296296</v>
      </c>
      <c r="C603">
        <v>80</v>
      </c>
      <c r="D603">
        <v>64.030319214000002</v>
      </c>
      <c r="E603">
        <v>50</v>
      </c>
      <c r="F603">
        <v>49.947082520000002</v>
      </c>
      <c r="G603">
        <v>943.13171387</v>
      </c>
      <c r="H603">
        <v>800.50915526999995</v>
      </c>
      <c r="I603">
        <v>1988.1115723</v>
      </c>
      <c r="J603">
        <v>1796.3997803</v>
      </c>
      <c r="K603">
        <v>0</v>
      </c>
      <c r="L603">
        <v>2400</v>
      </c>
      <c r="M603">
        <v>2400</v>
      </c>
      <c r="N603">
        <v>0</v>
      </c>
    </row>
    <row r="604" spans="1:14" x14ac:dyDescent="0.25">
      <c r="A604">
        <v>274.38529499999999</v>
      </c>
      <c r="B604" s="1">
        <f>DATE(2011,1,30) + TIME(9,14,49)</f>
        <v>40573.385289351849</v>
      </c>
      <c r="C604">
        <v>80</v>
      </c>
      <c r="D604">
        <v>63.740005492999998</v>
      </c>
      <c r="E604">
        <v>50</v>
      </c>
      <c r="F604">
        <v>49.947257995999998</v>
      </c>
      <c r="G604">
        <v>941.05859375</v>
      </c>
      <c r="H604">
        <v>797.69390868999994</v>
      </c>
      <c r="I604">
        <v>1987.4420166</v>
      </c>
      <c r="J604">
        <v>1795.7304687999999</v>
      </c>
      <c r="K604">
        <v>0</v>
      </c>
      <c r="L604">
        <v>2400</v>
      </c>
      <c r="M604">
        <v>2400</v>
      </c>
      <c r="N604">
        <v>0</v>
      </c>
    </row>
    <row r="605" spans="1:14" x14ac:dyDescent="0.25">
      <c r="A605">
        <v>276</v>
      </c>
      <c r="B605" s="1">
        <f>DATE(2011,2,1) + TIME(0,0,0)</f>
        <v>40575</v>
      </c>
      <c r="C605">
        <v>80</v>
      </c>
      <c r="D605">
        <v>63.454814911</v>
      </c>
      <c r="E605">
        <v>50</v>
      </c>
      <c r="F605">
        <v>49.947395325000002</v>
      </c>
      <c r="G605">
        <v>939.03521728999999</v>
      </c>
      <c r="H605">
        <v>794.92016602000001</v>
      </c>
      <c r="I605">
        <v>1986.828125</v>
      </c>
      <c r="J605">
        <v>1795.1166992000001</v>
      </c>
      <c r="K605">
        <v>0</v>
      </c>
      <c r="L605">
        <v>2400</v>
      </c>
      <c r="M605">
        <v>2400</v>
      </c>
      <c r="N605">
        <v>0</v>
      </c>
    </row>
    <row r="606" spans="1:14" x14ac:dyDescent="0.25">
      <c r="A606">
        <v>277.87732299999999</v>
      </c>
      <c r="B606" s="1">
        <f>DATE(2011,2,2) + TIME(21,3,20)</f>
        <v>40576.877314814818</v>
      </c>
      <c r="C606">
        <v>80</v>
      </c>
      <c r="D606">
        <v>63.168586730999998</v>
      </c>
      <c r="E606">
        <v>50</v>
      </c>
      <c r="F606">
        <v>49.947589874000002</v>
      </c>
      <c r="G606">
        <v>937.00927734000004</v>
      </c>
      <c r="H606">
        <v>792.13250731999995</v>
      </c>
      <c r="I606">
        <v>1986.1805420000001</v>
      </c>
      <c r="J606">
        <v>1794.4693603999999</v>
      </c>
      <c r="K606">
        <v>0</v>
      </c>
      <c r="L606">
        <v>2400</v>
      </c>
      <c r="M606">
        <v>2400</v>
      </c>
      <c r="N606">
        <v>0</v>
      </c>
    </row>
    <row r="607" spans="1:14" x14ac:dyDescent="0.25">
      <c r="A607">
        <v>279.85054000000002</v>
      </c>
      <c r="B607" s="1">
        <f>DATE(2011,2,4) + TIME(20,24,46)</f>
        <v>40578.850532407407</v>
      </c>
      <c r="C607">
        <v>80</v>
      </c>
      <c r="D607">
        <v>62.857986449999999</v>
      </c>
      <c r="E607">
        <v>50</v>
      </c>
      <c r="F607">
        <v>49.947784423999998</v>
      </c>
      <c r="G607">
        <v>934.77954102000001</v>
      </c>
      <c r="H607">
        <v>789.05737305000002</v>
      </c>
      <c r="I607">
        <v>1985.5172118999999</v>
      </c>
      <c r="J607">
        <v>1793.8062743999999</v>
      </c>
      <c r="K607">
        <v>0</v>
      </c>
      <c r="L607">
        <v>2400</v>
      </c>
      <c r="M607">
        <v>2400</v>
      </c>
      <c r="N607">
        <v>0</v>
      </c>
    </row>
    <row r="608" spans="1:14" x14ac:dyDescent="0.25">
      <c r="A608">
        <v>281.84164199999998</v>
      </c>
      <c r="B608" s="1">
        <f>DATE(2011,2,6) + TIME(20,11,57)</f>
        <v>40580.841631944444</v>
      </c>
      <c r="C608">
        <v>80</v>
      </c>
      <c r="D608">
        <v>62.528118134000003</v>
      </c>
      <c r="E608">
        <v>50</v>
      </c>
      <c r="F608">
        <v>49.947967529000003</v>
      </c>
      <c r="G608">
        <v>932.42950439000003</v>
      </c>
      <c r="H608">
        <v>785.79010010000002</v>
      </c>
      <c r="I608">
        <v>1984.8479004000001</v>
      </c>
      <c r="J608">
        <v>1793.1370850000001</v>
      </c>
      <c r="K608">
        <v>0</v>
      </c>
      <c r="L608">
        <v>2400</v>
      </c>
      <c r="M608">
        <v>2400</v>
      </c>
      <c r="N608">
        <v>0</v>
      </c>
    </row>
    <row r="609" spans="1:14" x14ac:dyDescent="0.25">
      <c r="A609">
        <v>283.84268600000001</v>
      </c>
      <c r="B609" s="1">
        <f>DATE(2011,2,8) + TIME(20,13,28)</f>
        <v>40582.842685185184</v>
      </c>
      <c r="C609">
        <v>80</v>
      </c>
      <c r="D609">
        <v>62.186313628999997</v>
      </c>
      <c r="E609">
        <v>50</v>
      </c>
      <c r="F609">
        <v>49.948150634999998</v>
      </c>
      <c r="G609">
        <v>930.01348876999998</v>
      </c>
      <c r="H609">
        <v>782.40521239999998</v>
      </c>
      <c r="I609">
        <v>1984.1801757999999</v>
      </c>
      <c r="J609">
        <v>1792.4694824000001</v>
      </c>
      <c r="K609">
        <v>0</v>
      </c>
      <c r="L609">
        <v>2400</v>
      </c>
      <c r="M609">
        <v>2400</v>
      </c>
      <c r="N609">
        <v>0</v>
      </c>
    </row>
    <row r="610" spans="1:14" x14ac:dyDescent="0.25">
      <c r="A610">
        <v>285.86499400000002</v>
      </c>
      <c r="B610" s="1">
        <f>DATE(2011,2,10) + TIME(20,45,35)</f>
        <v>40584.864988425928</v>
      </c>
      <c r="C610">
        <v>80</v>
      </c>
      <c r="D610">
        <v>61.834499358999999</v>
      </c>
      <c r="E610">
        <v>50</v>
      </c>
      <c r="F610">
        <v>49.948333740000002</v>
      </c>
      <c r="G610">
        <v>927.53894043000003</v>
      </c>
      <c r="H610">
        <v>778.91589354999996</v>
      </c>
      <c r="I610">
        <v>1983.5163574000001</v>
      </c>
      <c r="J610">
        <v>1791.8057861</v>
      </c>
      <c r="K610">
        <v>0</v>
      </c>
      <c r="L610">
        <v>2400</v>
      </c>
      <c r="M610">
        <v>2400</v>
      </c>
      <c r="N610">
        <v>0</v>
      </c>
    </row>
    <row r="611" spans="1:14" x14ac:dyDescent="0.25">
      <c r="A611">
        <v>287.91000000000003</v>
      </c>
      <c r="B611" s="1">
        <f>DATE(2011,2,12) + TIME(21,50,24)</f>
        <v>40586.910000000003</v>
      </c>
      <c r="C611">
        <v>80</v>
      </c>
      <c r="D611">
        <v>61.472023010000001</v>
      </c>
      <c r="E611">
        <v>50</v>
      </c>
      <c r="F611">
        <v>49.94852066</v>
      </c>
      <c r="G611">
        <v>924.99902343999997</v>
      </c>
      <c r="H611">
        <v>775.31304932</v>
      </c>
      <c r="I611">
        <v>1982.8574219</v>
      </c>
      <c r="J611">
        <v>1791.1470947</v>
      </c>
      <c r="K611">
        <v>0</v>
      </c>
      <c r="L611">
        <v>2400</v>
      </c>
      <c r="M611">
        <v>2400</v>
      </c>
      <c r="N611">
        <v>0</v>
      </c>
    </row>
    <row r="612" spans="1:14" x14ac:dyDescent="0.25">
      <c r="A612">
        <v>289.98518200000001</v>
      </c>
      <c r="B612" s="1">
        <f>DATE(2011,2,14) + TIME(23,38,39)</f>
        <v>40588.985173611109</v>
      </c>
      <c r="C612">
        <v>80</v>
      </c>
      <c r="D612">
        <v>61.097805022999999</v>
      </c>
      <c r="E612">
        <v>50</v>
      </c>
      <c r="F612">
        <v>49.948711394999997</v>
      </c>
      <c r="G612">
        <v>922.38818359000004</v>
      </c>
      <c r="H612">
        <v>771.58795166000004</v>
      </c>
      <c r="I612">
        <v>1982.2025146000001</v>
      </c>
      <c r="J612">
        <v>1790.4923096</v>
      </c>
      <c r="K612">
        <v>0</v>
      </c>
      <c r="L612">
        <v>2400</v>
      </c>
      <c r="M612">
        <v>2400</v>
      </c>
      <c r="N612">
        <v>0</v>
      </c>
    </row>
    <row r="613" spans="1:14" x14ac:dyDescent="0.25">
      <c r="A613">
        <v>292.10232500000001</v>
      </c>
      <c r="B613" s="1">
        <f>DATE(2011,2,17) + TIME(2,27,20)</f>
        <v>40591.102314814816</v>
      </c>
      <c r="C613">
        <v>80</v>
      </c>
      <c r="D613">
        <v>60.709903717000003</v>
      </c>
      <c r="E613">
        <v>50</v>
      </c>
      <c r="F613">
        <v>49.94890213</v>
      </c>
      <c r="G613">
        <v>919.69488524999997</v>
      </c>
      <c r="H613">
        <v>767.72314453000001</v>
      </c>
      <c r="I613">
        <v>1981.5493164</v>
      </c>
      <c r="J613">
        <v>1789.8393555</v>
      </c>
      <c r="K613">
        <v>0</v>
      </c>
      <c r="L613">
        <v>2400</v>
      </c>
      <c r="M613">
        <v>2400</v>
      </c>
      <c r="N613">
        <v>0</v>
      </c>
    </row>
    <row r="614" spans="1:14" x14ac:dyDescent="0.25">
      <c r="A614">
        <v>294.27396900000002</v>
      </c>
      <c r="B614" s="1">
        <f>DATE(2011,2,19) + TIME(6,34,30)</f>
        <v>40593.273958333331</v>
      </c>
      <c r="C614">
        <v>80</v>
      </c>
      <c r="D614">
        <v>60.305648804</v>
      </c>
      <c r="E614">
        <v>50</v>
      </c>
      <c r="F614">
        <v>49.949096679999997</v>
      </c>
      <c r="G614">
        <v>916.90270996000004</v>
      </c>
      <c r="H614">
        <v>763.69378661999997</v>
      </c>
      <c r="I614">
        <v>1980.8951416</v>
      </c>
      <c r="J614">
        <v>1789.1853027</v>
      </c>
      <c r="K614">
        <v>0</v>
      </c>
      <c r="L614">
        <v>2400</v>
      </c>
      <c r="M614">
        <v>2400</v>
      </c>
      <c r="N614">
        <v>0</v>
      </c>
    </row>
    <row r="615" spans="1:14" x14ac:dyDescent="0.25">
      <c r="A615">
        <v>296.499459</v>
      </c>
      <c r="B615" s="1">
        <f>DATE(2011,2,21) + TIME(11,59,13)</f>
        <v>40595.499456018515</v>
      </c>
      <c r="C615">
        <v>80</v>
      </c>
      <c r="D615">
        <v>59.882514954000001</v>
      </c>
      <c r="E615">
        <v>50</v>
      </c>
      <c r="F615">
        <v>49.949295044000003</v>
      </c>
      <c r="G615">
        <v>913.99743651999995</v>
      </c>
      <c r="H615">
        <v>759.47753906000003</v>
      </c>
      <c r="I615">
        <v>1980.2392577999999</v>
      </c>
      <c r="J615">
        <v>1788.5295410000001</v>
      </c>
      <c r="K615">
        <v>0</v>
      </c>
      <c r="L615">
        <v>2400</v>
      </c>
      <c r="M615">
        <v>2400</v>
      </c>
      <c r="N615">
        <v>0</v>
      </c>
    </row>
    <row r="616" spans="1:14" x14ac:dyDescent="0.25">
      <c r="A616">
        <v>298.73230899999999</v>
      </c>
      <c r="B616" s="1">
        <f>DATE(2011,2,23) + TIME(17,34,31)</f>
        <v>40597.732303240744</v>
      </c>
      <c r="C616">
        <v>80</v>
      </c>
      <c r="D616">
        <v>59.441120148000003</v>
      </c>
      <c r="E616">
        <v>50</v>
      </c>
      <c r="F616">
        <v>49.949485779</v>
      </c>
      <c r="G616">
        <v>910.99017333999996</v>
      </c>
      <c r="H616">
        <v>755.08703613</v>
      </c>
      <c r="I616">
        <v>1979.5893555</v>
      </c>
      <c r="J616">
        <v>1787.8797606999999</v>
      </c>
      <c r="K616">
        <v>0</v>
      </c>
      <c r="L616">
        <v>2400</v>
      </c>
      <c r="M616">
        <v>2400</v>
      </c>
      <c r="N616">
        <v>0</v>
      </c>
    </row>
    <row r="617" spans="1:14" x14ac:dyDescent="0.25">
      <c r="A617">
        <v>300.985074</v>
      </c>
      <c r="B617" s="1">
        <f>DATE(2011,2,25) + TIME(23,38,30)</f>
        <v>40599.985069444447</v>
      </c>
      <c r="C617">
        <v>80</v>
      </c>
      <c r="D617">
        <v>58.985610962000003</v>
      </c>
      <c r="E617">
        <v>50</v>
      </c>
      <c r="F617">
        <v>49.949680327999999</v>
      </c>
      <c r="G617">
        <v>907.91357421999999</v>
      </c>
      <c r="H617">
        <v>750.56726074000005</v>
      </c>
      <c r="I617">
        <v>1978.9456786999999</v>
      </c>
      <c r="J617">
        <v>1787.2362060999999</v>
      </c>
      <c r="K617">
        <v>0</v>
      </c>
      <c r="L617">
        <v>2400</v>
      </c>
      <c r="M617">
        <v>2400</v>
      </c>
      <c r="N617">
        <v>0</v>
      </c>
    </row>
    <row r="618" spans="1:14" x14ac:dyDescent="0.25">
      <c r="A618">
        <v>303.26025399999997</v>
      </c>
      <c r="B618" s="1">
        <f>DATE(2011,2,28) + TIME(6,14,45)</f>
        <v>40602.260243055556</v>
      </c>
      <c r="C618">
        <v>80</v>
      </c>
      <c r="D618">
        <v>58.515544890999998</v>
      </c>
      <c r="E618">
        <v>50</v>
      </c>
      <c r="F618">
        <v>49.949878693000002</v>
      </c>
      <c r="G618">
        <v>904.76055908000001</v>
      </c>
      <c r="H618">
        <v>745.90942383000004</v>
      </c>
      <c r="I618">
        <v>1978.3084716999999</v>
      </c>
      <c r="J618">
        <v>1786.5992432</v>
      </c>
      <c r="K618">
        <v>0</v>
      </c>
      <c r="L618">
        <v>2400</v>
      </c>
      <c r="M618">
        <v>2400</v>
      </c>
      <c r="N618">
        <v>0</v>
      </c>
    </row>
    <row r="619" spans="1:14" x14ac:dyDescent="0.25">
      <c r="A619">
        <v>304</v>
      </c>
      <c r="B619" s="1">
        <f>DATE(2011,3,1) + TIME(0,0,0)</f>
        <v>40603</v>
      </c>
      <c r="C619">
        <v>80</v>
      </c>
      <c r="D619">
        <v>58.195919037000003</v>
      </c>
      <c r="E619">
        <v>50</v>
      </c>
      <c r="F619">
        <v>49.949886321999998</v>
      </c>
      <c r="G619">
        <v>902.36175536999997</v>
      </c>
      <c r="H619">
        <v>742.43975829999999</v>
      </c>
      <c r="I619">
        <v>1978.0345459</v>
      </c>
      <c r="J619">
        <v>1786.3251952999999</v>
      </c>
      <c r="K619">
        <v>0</v>
      </c>
      <c r="L619">
        <v>2400</v>
      </c>
      <c r="M619">
        <v>2400</v>
      </c>
      <c r="N619">
        <v>0</v>
      </c>
    </row>
    <row r="620" spans="1:14" x14ac:dyDescent="0.25">
      <c r="A620">
        <v>306.30435299999999</v>
      </c>
      <c r="B620" s="1">
        <f>DATE(2011,3,3) + TIME(7,18,16)</f>
        <v>40605.304351851853</v>
      </c>
      <c r="C620">
        <v>80</v>
      </c>
      <c r="D620">
        <v>57.827369689999998</v>
      </c>
      <c r="E620">
        <v>50</v>
      </c>
      <c r="F620">
        <v>49.950130463000001</v>
      </c>
      <c r="G620">
        <v>900.30639647999999</v>
      </c>
      <c r="H620">
        <v>739.21765137</v>
      </c>
      <c r="I620">
        <v>1977.4263916</v>
      </c>
      <c r="J620">
        <v>1785.7172852000001</v>
      </c>
      <c r="K620">
        <v>0</v>
      </c>
      <c r="L620">
        <v>2400</v>
      </c>
      <c r="M620">
        <v>2400</v>
      </c>
      <c r="N620">
        <v>0</v>
      </c>
    </row>
    <row r="621" spans="1:14" x14ac:dyDescent="0.25">
      <c r="A621">
        <v>308.67009999999999</v>
      </c>
      <c r="B621" s="1">
        <f>DATE(2011,3,5) + TIME(16,4,56)</f>
        <v>40607.670092592591</v>
      </c>
      <c r="C621">
        <v>80</v>
      </c>
      <c r="D621">
        <v>57.350643157999997</v>
      </c>
      <c r="E621">
        <v>50</v>
      </c>
      <c r="F621">
        <v>49.950344086000001</v>
      </c>
      <c r="G621">
        <v>897.07183838000003</v>
      </c>
      <c r="H621">
        <v>734.43176270000004</v>
      </c>
      <c r="I621">
        <v>1976.8249512</v>
      </c>
      <c r="J621">
        <v>1785.1160889</v>
      </c>
      <c r="K621">
        <v>0</v>
      </c>
      <c r="L621">
        <v>2400</v>
      </c>
      <c r="M621">
        <v>2400</v>
      </c>
      <c r="N621">
        <v>0</v>
      </c>
    </row>
    <row r="622" spans="1:14" x14ac:dyDescent="0.25">
      <c r="A622">
        <v>311.07989300000003</v>
      </c>
      <c r="B622" s="1">
        <f>DATE(2011,3,8) + TIME(1,55,2)</f>
        <v>40610.079884259256</v>
      </c>
      <c r="C622">
        <v>80</v>
      </c>
      <c r="D622">
        <v>56.827907562</v>
      </c>
      <c r="E622">
        <v>50</v>
      </c>
      <c r="F622">
        <v>49.950546265</v>
      </c>
      <c r="G622">
        <v>893.62219238</v>
      </c>
      <c r="H622">
        <v>729.25897216999999</v>
      </c>
      <c r="I622">
        <v>1976.2106934000001</v>
      </c>
      <c r="J622">
        <v>1784.5019531</v>
      </c>
      <c r="K622">
        <v>0</v>
      </c>
      <c r="L622">
        <v>2400</v>
      </c>
      <c r="M622">
        <v>2400</v>
      </c>
      <c r="N622">
        <v>0</v>
      </c>
    </row>
    <row r="623" spans="1:14" x14ac:dyDescent="0.25">
      <c r="A623">
        <v>313.54881399999999</v>
      </c>
      <c r="B623" s="1">
        <f>DATE(2011,3,10) + TIME(13,10,17)</f>
        <v>40612.548807870371</v>
      </c>
      <c r="C623">
        <v>80</v>
      </c>
      <c r="D623">
        <v>56.276947020999998</v>
      </c>
      <c r="E623">
        <v>50</v>
      </c>
      <c r="F623">
        <v>49.950744628999999</v>
      </c>
      <c r="G623">
        <v>890.03515625</v>
      </c>
      <c r="H623">
        <v>723.83795166000004</v>
      </c>
      <c r="I623">
        <v>1975.5881348</v>
      </c>
      <c r="J623">
        <v>1783.8795166</v>
      </c>
      <c r="K623">
        <v>0</v>
      </c>
      <c r="L623">
        <v>2400</v>
      </c>
      <c r="M623">
        <v>2400</v>
      </c>
      <c r="N623">
        <v>0</v>
      </c>
    </row>
    <row r="624" spans="1:14" x14ac:dyDescent="0.25">
      <c r="A624">
        <v>316.03526199999999</v>
      </c>
      <c r="B624" s="1">
        <f>DATE(2011,3,13) + TIME(0,50,46)</f>
        <v>40615.035254629627</v>
      </c>
      <c r="C624">
        <v>80</v>
      </c>
      <c r="D624">
        <v>55.702247620000001</v>
      </c>
      <c r="E624">
        <v>50</v>
      </c>
      <c r="F624">
        <v>49.950946807999998</v>
      </c>
      <c r="G624">
        <v>886.32000731999995</v>
      </c>
      <c r="H624">
        <v>718.19134521000001</v>
      </c>
      <c r="I624">
        <v>1974.9670410000001</v>
      </c>
      <c r="J624">
        <v>1783.2585449000001</v>
      </c>
      <c r="K624">
        <v>0</v>
      </c>
      <c r="L624">
        <v>2400</v>
      </c>
      <c r="M624">
        <v>2400</v>
      </c>
      <c r="N624">
        <v>0</v>
      </c>
    </row>
    <row r="625" spans="1:14" x14ac:dyDescent="0.25">
      <c r="A625">
        <v>318.53490299999999</v>
      </c>
      <c r="B625" s="1">
        <f>DATE(2011,3,15) + TIME(12,50,15)</f>
        <v>40617.534895833334</v>
      </c>
      <c r="C625">
        <v>80</v>
      </c>
      <c r="D625">
        <v>55.110427856000001</v>
      </c>
      <c r="E625">
        <v>50</v>
      </c>
      <c r="F625">
        <v>49.951145171999997</v>
      </c>
      <c r="G625">
        <v>882.52239989999998</v>
      </c>
      <c r="H625">
        <v>712.38531493999994</v>
      </c>
      <c r="I625">
        <v>1974.3509521000001</v>
      </c>
      <c r="J625">
        <v>1782.6427002</v>
      </c>
      <c r="K625">
        <v>0</v>
      </c>
      <c r="L625">
        <v>2400</v>
      </c>
      <c r="M625">
        <v>2400</v>
      </c>
      <c r="N625">
        <v>0</v>
      </c>
    </row>
    <row r="626" spans="1:14" x14ac:dyDescent="0.25">
      <c r="A626">
        <v>321.06163500000002</v>
      </c>
      <c r="B626" s="1">
        <f>DATE(2011,3,18) + TIME(1,28,45)</f>
        <v>40620.061631944445</v>
      </c>
      <c r="C626">
        <v>80</v>
      </c>
      <c r="D626">
        <v>54.503307343000003</v>
      </c>
      <c r="E626">
        <v>50</v>
      </c>
      <c r="F626">
        <v>49.951347351000003</v>
      </c>
      <c r="G626">
        <v>878.64941406000003</v>
      </c>
      <c r="H626">
        <v>706.43176270000004</v>
      </c>
      <c r="I626">
        <v>1973.739624</v>
      </c>
      <c r="J626">
        <v>1782.0314940999999</v>
      </c>
      <c r="K626">
        <v>0</v>
      </c>
      <c r="L626">
        <v>2400</v>
      </c>
      <c r="M626">
        <v>2400</v>
      </c>
      <c r="N626">
        <v>0</v>
      </c>
    </row>
    <row r="627" spans="1:14" x14ac:dyDescent="0.25">
      <c r="A627">
        <v>323.61299300000002</v>
      </c>
      <c r="B627" s="1">
        <f>DATE(2011,3,20) + TIME(14,42,42)</f>
        <v>40622.612986111111</v>
      </c>
      <c r="C627">
        <v>80</v>
      </c>
      <c r="D627">
        <v>53.880111694</v>
      </c>
      <c r="E627">
        <v>50</v>
      </c>
      <c r="F627">
        <v>49.951549530000001</v>
      </c>
      <c r="G627">
        <v>874.69067383000004</v>
      </c>
      <c r="H627">
        <v>700.31542968999997</v>
      </c>
      <c r="I627">
        <v>1973.1334228999999</v>
      </c>
      <c r="J627">
        <v>1781.425293</v>
      </c>
      <c r="K627">
        <v>0</v>
      </c>
      <c r="L627">
        <v>2400</v>
      </c>
      <c r="M627">
        <v>2400</v>
      </c>
      <c r="N627">
        <v>0</v>
      </c>
    </row>
    <row r="628" spans="1:14" x14ac:dyDescent="0.25">
      <c r="A628">
        <v>326.175139</v>
      </c>
      <c r="B628" s="1">
        <f>DATE(2011,3,23) + TIME(4,12,11)</f>
        <v>40625.175127314818</v>
      </c>
      <c r="C628">
        <v>80</v>
      </c>
      <c r="D628">
        <v>53.242290496999999</v>
      </c>
      <c r="E628">
        <v>50</v>
      </c>
      <c r="F628">
        <v>49.951747894</v>
      </c>
      <c r="G628">
        <v>870.65368651999995</v>
      </c>
      <c r="H628">
        <v>694.04608154000005</v>
      </c>
      <c r="I628">
        <v>1972.5338135</v>
      </c>
      <c r="J628">
        <v>1780.8258057</v>
      </c>
      <c r="K628">
        <v>0</v>
      </c>
      <c r="L628">
        <v>2400</v>
      </c>
      <c r="M628">
        <v>2400</v>
      </c>
      <c r="N628">
        <v>0</v>
      </c>
    </row>
    <row r="629" spans="1:14" x14ac:dyDescent="0.25">
      <c r="A629">
        <v>328.753289</v>
      </c>
      <c r="B629" s="1">
        <f>DATE(2011,3,25) + TIME(18,4,44)</f>
        <v>40627.753287037034</v>
      </c>
      <c r="C629">
        <v>80</v>
      </c>
      <c r="D629">
        <v>52.592540741000001</v>
      </c>
      <c r="E629">
        <v>50</v>
      </c>
      <c r="F629">
        <v>49.951946259000003</v>
      </c>
      <c r="G629">
        <v>866.55493163999995</v>
      </c>
      <c r="H629">
        <v>687.64666748000002</v>
      </c>
      <c r="I629">
        <v>1971.9403076000001</v>
      </c>
      <c r="J629">
        <v>1780.2325439000001</v>
      </c>
      <c r="K629">
        <v>0</v>
      </c>
      <c r="L629">
        <v>2400</v>
      </c>
      <c r="M629">
        <v>2400</v>
      </c>
      <c r="N629">
        <v>0</v>
      </c>
    </row>
    <row r="630" spans="1:14" x14ac:dyDescent="0.25">
      <c r="A630">
        <v>331.34081800000001</v>
      </c>
      <c r="B630" s="1">
        <f>DATE(2011,3,28) + TIME(8,10,46)</f>
        <v>40630.340810185182</v>
      </c>
      <c r="C630">
        <v>80</v>
      </c>
      <c r="D630">
        <v>51.931991576999998</v>
      </c>
      <c r="E630">
        <v>50</v>
      </c>
      <c r="F630">
        <v>49.952144623000002</v>
      </c>
      <c r="G630">
        <v>862.39520263999998</v>
      </c>
      <c r="H630">
        <v>681.11938477000001</v>
      </c>
      <c r="I630">
        <v>1971.3537598</v>
      </c>
      <c r="J630">
        <v>1779.6461182</v>
      </c>
      <c r="K630">
        <v>0</v>
      </c>
      <c r="L630">
        <v>2400</v>
      </c>
      <c r="M630">
        <v>2400</v>
      </c>
      <c r="N630">
        <v>0</v>
      </c>
    </row>
    <row r="631" spans="1:14" x14ac:dyDescent="0.25">
      <c r="A631">
        <v>333.944975</v>
      </c>
      <c r="B631" s="1">
        <f>DATE(2011,3,30) + TIME(22,40,45)</f>
        <v>40632.944965277777</v>
      </c>
      <c r="C631">
        <v>80</v>
      </c>
      <c r="D631">
        <v>51.262470245000003</v>
      </c>
      <c r="E631">
        <v>50</v>
      </c>
      <c r="F631">
        <v>49.952342987000002</v>
      </c>
      <c r="G631">
        <v>858.18304443</v>
      </c>
      <c r="H631">
        <v>674.47644043000003</v>
      </c>
      <c r="I631">
        <v>1970.7728271000001</v>
      </c>
      <c r="J631">
        <v>1779.0651855000001</v>
      </c>
      <c r="K631">
        <v>0</v>
      </c>
      <c r="L631">
        <v>2400</v>
      </c>
      <c r="M631">
        <v>2400</v>
      </c>
      <c r="N631">
        <v>0</v>
      </c>
    </row>
    <row r="632" spans="1:14" x14ac:dyDescent="0.25">
      <c r="A632">
        <v>335</v>
      </c>
      <c r="B632" s="1">
        <f>DATE(2011,4,1) + TIME(0,0,0)</f>
        <v>40634</v>
      </c>
      <c r="C632">
        <v>80</v>
      </c>
      <c r="D632">
        <v>50.749279022000003</v>
      </c>
      <c r="E632">
        <v>50</v>
      </c>
      <c r="F632">
        <v>49.952381133999999</v>
      </c>
      <c r="G632">
        <v>854.62677001999998</v>
      </c>
      <c r="H632">
        <v>669.01666260000002</v>
      </c>
      <c r="I632">
        <v>1970.4770507999999</v>
      </c>
      <c r="J632">
        <v>1778.7694091999999</v>
      </c>
      <c r="K632">
        <v>0</v>
      </c>
      <c r="L632">
        <v>2400</v>
      </c>
      <c r="M632">
        <v>2400</v>
      </c>
      <c r="N632">
        <v>0</v>
      </c>
    </row>
    <row r="633" spans="1:14" x14ac:dyDescent="0.25">
      <c r="A633">
        <v>337.61861699999997</v>
      </c>
      <c r="B633" s="1">
        <f>DATE(2011,4,3) + TIME(14,50,48)</f>
        <v>40636.618611111109</v>
      </c>
      <c r="C633">
        <v>80</v>
      </c>
      <c r="D633">
        <v>50.254631042</v>
      </c>
      <c r="E633">
        <v>50</v>
      </c>
      <c r="F633">
        <v>49.952613831000001</v>
      </c>
      <c r="G633">
        <v>851.99963378999996</v>
      </c>
      <c r="H633">
        <v>664.55773925999995</v>
      </c>
      <c r="I633">
        <v>1969.921875</v>
      </c>
      <c r="J633">
        <v>1778.2144774999999</v>
      </c>
      <c r="K633">
        <v>0</v>
      </c>
      <c r="L633">
        <v>2400</v>
      </c>
      <c r="M633">
        <v>2400</v>
      </c>
      <c r="N633">
        <v>0</v>
      </c>
    </row>
    <row r="634" spans="1:14" x14ac:dyDescent="0.25">
      <c r="A634">
        <v>340.26704899999999</v>
      </c>
      <c r="B634" s="1">
        <f>DATE(2011,4,6) + TIME(6,24,32)</f>
        <v>40639.26703703704</v>
      </c>
      <c r="C634">
        <v>80</v>
      </c>
      <c r="D634">
        <v>49.609386444000002</v>
      </c>
      <c r="E634">
        <v>50</v>
      </c>
      <c r="F634">
        <v>49.952823639000002</v>
      </c>
      <c r="G634">
        <v>847.80975341999999</v>
      </c>
      <c r="H634">
        <v>657.95721435999997</v>
      </c>
      <c r="I634">
        <v>1969.3747559000001</v>
      </c>
      <c r="J634">
        <v>1777.6674805</v>
      </c>
      <c r="K634">
        <v>0</v>
      </c>
      <c r="L634">
        <v>2400</v>
      </c>
      <c r="M634">
        <v>2400</v>
      </c>
      <c r="N634">
        <v>0</v>
      </c>
    </row>
    <row r="635" spans="1:14" x14ac:dyDescent="0.25">
      <c r="A635">
        <v>342.94119999999998</v>
      </c>
      <c r="B635" s="1">
        <f>DATE(2011,4,8) + TIME(22,35,19)</f>
        <v>40641.941192129627</v>
      </c>
      <c r="C635">
        <v>80</v>
      </c>
      <c r="D635">
        <v>48.922725677000003</v>
      </c>
      <c r="E635">
        <v>50</v>
      </c>
      <c r="F635">
        <v>49.953018188000001</v>
      </c>
      <c r="G635">
        <v>843.44384765999996</v>
      </c>
      <c r="H635">
        <v>650.97766113</v>
      </c>
      <c r="I635">
        <v>1968.8183594</v>
      </c>
      <c r="J635">
        <v>1777.1113281</v>
      </c>
      <c r="K635">
        <v>0</v>
      </c>
      <c r="L635">
        <v>2400</v>
      </c>
      <c r="M635">
        <v>2400</v>
      </c>
      <c r="N635">
        <v>0</v>
      </c>
    </row>
    <row r="636" spans="1:14" x14ac:dyDescent="0.25">
      <c r="A636">
        <v>345.64232800000002</v>
      </c>
      <c r="B636" s="1">
        <f>DATE(2011,4,11) + TIME(15,24,57)</f>
        <v>40644.642326388886</v>
      </c>
      <c r="C636">
        <v>80</v>
      </c>
      <c r="D636">
        <v>48.222614288000003</v>
      </c>
      <c r="E636">
        <v>50</v>
      </c>
      <c r="F636">
        <v>49.953208922999998</v>
      </c>
      <c r="G636">
        <v>839.00158691000001</v>
      </c>
      <c r="H636">
        <v>643.82434081999997</v>
      </c>
      <c r="I636">
        <v>1968.2575684000001</v>
      </c>
      <c r="J636">
        <v>1776.5505370999999</v>
      </c>
      <c r="K636">
        <v>0</v>
      </c>
      <c r="L636">
        <v>2400</v>
      </c>
      <c r="M636">
        <v>2400</v>
      </c>
      <c r="N636">
        <v>0</v>
      </c>
    </row>
    <row r="637" spans="1:14" x14ac:dyDescent="0.25">
      <c r="A637">
        <v>348.376058</v>
      </c>
      <c r="B637" s="1">
        <f>DATE(2011,4,14) + TIME(9,1,31)</f>
        <v>40647.37605324074</v>
      </c>
      <c r="C637">
        <v>80</v>
      </c>
      <c r="D637">
        <v>47.515422821000001</v>
      </c>
      <c r="E637">
        <v>50</v>
      </c>
      <c r="F637">
        <v>49.953403473000002</v>
      </c>
      <c r="G637">
        <v>834.49877930000002</v>
      </c>
      <c r="H637">
        <v>636.53582763999998</v>
      </c>
      <c r="I637">
        <v>1967.6944579999999</v>
      </c>
      <c r="J637">
        <v>1775.9875488</v>
      </c>
      <c r="K637">
        <v>0</v>
      </c>
      <c r="L637">
        <v>2400</v>
      </c>
      <c r="M637">
        <v>2400</v>
      </c>
      <c r="N637">
        <v>0</v>
      </c>
    </row>
    <row r="638" spans="1:14" x14ac:dyDescent="0.25">
      <c r="A638">
        <v>351.151837</v>
      </c>
      <c r="B638" s="1">
        <f>DATE(2011,4,17) + TIME(3,38,38)</f>
        <v>40650.151828703703</v>
      </c>
      <c r="C638">
        <v>80</v>
      </c>
      <c r="D638">
        <v>46.802616119</v>
      </c>
      <c r="E638">
        <v>50</v>
      </c>
      <c r="F638">
        <v>49.953601837000001</v>
      </c>
      <c r="G638">
        <v>829.93560791000004</v>
      </c>
      <c r="H638">
        <v>629.11462401999995</v>
      </c>
      <c r="I638">
        <v>1967.1286620999999</v>
      </c>
      <c r="J638">
        <v>1775.4219971</v>
      </c>
      <c r="K638">
        <v>0</v>
      </c>
      <c r="L638">
        <v>2400</v>
      </c>
      <c r="M638">
        <v>2400</v>
      </c>
      <c r="N638">
        <v>0</v>
      </c>
    </row>
    <row r="639" spans="1:14" x14ac:dyDescent="0.25">
      <c r="A639">
        <v>353.97926699999999</v>
      </c>
      <c r="B639" s="1">
        <f>DATE(2011,4,19) + TIME(23,30,8)</f>
        <v>40652.979259259257</v>
      </c>
      <c r="C639">
        <v>80</v>
      </c>
      <c r="D639">
        <v>46.084011078000003</v>
      </c>
      <c r="E639">
        <v>50</v>
      </c>
      <c r="F639">
        <v>49.953796386999997</v>
      </c>
      <c r="G639">
        <v>825.30438231999995</v>
      </c>
      <c r="H639">
        <v>621.54797363</v>
      </c>
      <c r="I639">
        <v>1966.5589600000001</v>
      </c>
      <c r="J639">
        <v>1774.8524170000001</v>
      </c>
      <c r="K639">
        <v>0</v>
      </c>
      <c r="L639">
        <v>2400</v>
      </c>
      <c r="M639">
        <v>2400</v>
      </c>
      <c r="N639">
        <v>0</v>
      </c>
    </row>
    <row r="640" spans="1:14" x14ac:dyDescent="0.25">
      <c r="A640">
        <v>356.86692599999998</v>
      </c>
      <c r="B640" s="1">
        <f>DATE(2011,4,22) + TIME(20,48,22)</f>
        <v>40655.8669212963</v>
      </c>
      <c r="C640">
        <v>80</v>
      </c>
      <c r="D640">
        <v>45.359291077000002</v>
      </c>
      <c r="E640">
        <v>50</v>
      </c>
      <c r="F640">
        <v>49.953998566000003</v>
      </c>
      <c r="G640">
        <v>820.59741211000005</v>
      </c>
      <c r="H640">
        <v>613.82177734000004</v>
      </c>
      <c r="I640">
        <v>1965.9836425999999</v>
      </c>
      <c r="J640">
        <v>1774.2770995999999</v>
      </c>
      <c r="K640">
        <v>0</v>
      </c>
      <c r="L640">
        <v>2400</v>
      </c>
      <c r="M640">
        <v>2400</v>
      </c>
      <c r="N640">
        <v>0</v>
      </c>
    </row>
    <row r="641" spans="1:14" x14ac:dyDescent="0.25">
      <c r="A641">
        <v>359.80815999999999</v>
      </c>
      <c r="B641" s="1">
        <f>DATE(2011,4,25) + TIME(19,23,45)</f>
        <v>40658.808159722219</v>
      </c>
      <c r="C641">
        <v>80</v>
      </c>
      <c r="D641">
        <v>44.629146575999997</v>
      </c>
      <c r="E641">
        <v>50</v>
      </c>
      <c r="F641">
        <v>49.954200745000001</v>
      </c>
      <c r="G641">
        <v>815.81219481999995</v>
      </c>
      <c r="H641">
        <v>605.93121338000003</v>
      </c>
      <c r="I641">
        <v>1965.4027100000001</v>
      </c>
      <c r="J641">
        <v>1773.6964111</v>
      </c>
      <c r="K641">
        <v>0</v>
      </c>
      <c r="L641">
        <v>2400</v>
      </c>
      <c r="M641">
        <v>2400</v>
      </c>
      <c r="N641">
        <v>0</v>
      </c>
    </row>
    <row r="642" spans="1:14" x14ac:dyDescent="0.25">
      <c r="A642">
        <v>362.81250699999998</v>
      </c>
      <c r="B642" s="1">
        <f>DATE(2011,4,28) + TIME(19,30,0)</f>
        <v>40661.8125</v>
      </c>
      <c r="C642">
        <v>80</v>
      </c>
      <c r="D642">
        <v>43.896114349000001</v>
      </c>
      <c r="E642">
        <v>50</v>
      </c>
      <c r="F642">
        <v>49.954402924</v>
      </c>
      <c r="G642">
        <v>810.96270751999998</v>
      </c>
      <c r="H642">
        <v>597.89575194999998</v>
      </c>
      <c r="I642">
        <v>1964.8146973</v>
      </c>
      <c r="J642">
        <v>1773.1085204999999</v>
      </c>
      <c r="K642">
        <v>0</v>
      </c>
      <c r="L642">
        <v>2400</v>
      </c>
      <c r="M642">
        <v>2400</v>
      </c>
      <c r="N642">
        <v>0</v>
      </c>
    </row>
    <row r="643" spans="1:14" x14ac:dyDescent="0.25">
      <c r="A643">
        <v>365</v>
      </c>
      <c r="B643" s="1">
        <f>DATE(2011,5,1) + TIME(0,0,0)</f>
        <v>40664</v>
      </c>
      <c r="C643">
        <v>80</v>
      </c>
      <c r="D643">
        <v>43.212894439999999</v>
      </c>
      <c r="E643">
        <v>50</v>
      </c>
      <c r="F643">
        <v>49.954528809000003</v>
      </c>
      <c r="G643">
        <v>806.28759765999996</v>
      </c>
      <c r="H643">
        <v>590.18585204999999</v>
      </c>
      <c r="I643">
        <v>1964.3421631000001</v>
      </c>
      <c r="J643">
        <v>1772.6359863</v>
      </c>
      <c r="K643">
        <v>0</v>
      </c>
      <c r="L643">
        <v>2400</v>
      </c>
      <c r="M643">
        <v>2400</v>
      </c>
      <c r="N643">
        <v>0</v>
      </c>
    </row>
    <row r="644" spans="1:14" x14ac:dyDescent="0.25">
      <c r="A644">
        <v>365.000001</v>
      </c>
      <c r="B644" s="1">
        <f>DATE(2011,5,1) + TIME(0,0,0)</f>
        <v>40664</v>
      </c>
      <c r="C644">
        <v>80</v>
      </c>
      <c r="D644">
        <v>43.212959290000001</v>
      </c>
      <c r="E644">
        <v>50</v>
      </c>
      <c r="F644">
        <v>49.954513550000001</v>
      </c>
      <c r="G644">
        <v>1022.3319092</v>
      </c>
      <c r="H644">
        <v>806.29742432</v>
      </c>
      <c r="I644">
        <v>1772.6260986</v>
      </c>
      <c r="J644">
        <v>1580.9176024999999</v>
      </c>
      <c r="K644">
        <v>2400</v>
      </c>
      <c r="L644">
        <v>0</v>
      </c>
      <c r="M644">
        <v>0</v>
      </c>
      <c r="N644">
        <v>2400</v>
      </c>
    </row>
    <row r="645" spans="1:14" x14ac:dyDescent="0.25">
      <c r="A645">
        <v>365.00000399999999</v>
      </c>
      <c r="B645" s="1">
        <f>DATE(2011,5,1) + TIME(0,0,0)</f>
        <v>40664</v>
      </c>
      <c r="C645">
        <v>80</v>
      </c>
      <c r="D645">
        <v>43.213150024000001</v>
      </c>
      <c r="E645">
        <v>50</v>
      </c>
      <c r="F645">
        <v>49.954471587999997</v>
      </c>
      <c r="G645">
        <v>1022.3607178</v>
      </c>
      <c r="H645">
        <v>806.32690430000002</v>
      </c>
      <c r="I645">
        <v>1772.5966797000001</v>
      </c>
      <c r="J645">
        <v>1580.8879394999999</v>
      </c>
      <c r="K645">
        <v>2400</v>
      </c>
      <c r="L645">
        <v>0</v>
      </c>
      <c r="M645">
        <v>0</v>
      </c>
      <c r="N645">
        <v>2400</v>
      </c>
    </row>
    <row r="646" spans="1:14" x14ac:dyDescent="0.25">
      <c r="A646">
        <v>365.00001300000002</v>
      </c>
      <c r="B646" s="1">
        <f>DATE(2011,5,1) + TIME(0,0,1)</f>
        <v>40664.000011574077</v>
      </c>
      <c r="C646">
        <v>80</v>
      </c>
      <c r="D646">
        <v>43.213726043999998</v>
      </c>
      <c r="E646">
        <v>50</v>
      </c>
      <c r="F646">
        <v>49.954338073999999</v>
      </c>
      <c r="G646">
        <v>1022.4469604</v>
      </c>
      <c r="H646">
        <v>806.41534423999997</v>
      </c>
      <c r="I646">
        <v>1772.5083007999999</v>
      </c>
      <c r="J646">
        <v>1580.7991943</v>
      </c>
      <c r="K646">
        <v>2400</v>
      </c>
      <c r="L646">
        <v>0</v>
      </c>
      <c r="M646">
        <v>0</v>
      </c>
      <c r="N646">
        <v>2400</v>
      </c>
    </row>
    <row r="647" spans="1:14" x14ac:dyDescent="0.25">
      <c r="A647">
        <v>365.00004000000001</v>
      </c>
      <c r="B647" s="1">
        <f>DATE(2011,5,1) + TIME(0,0,3)</f>
        <v>40664.000034722223</v>
      </c>
      <c r="C647">
        <v>80</v>
      </c>
      <c r="D647">
        <v>43.215457915999998</v>
      </c>
      <c r="E647">
        <v>50</v>
      </c>
      <c r="F647">
        <v>49.953937531000001</v>
      </c>
      <c r="G647">
        <v>1022.7053833</v>
      </c>
      <c r="H647">
        <v>806.68054199000005</v>
      </c>
      <c r="I647">
        <v>1772.2435303</v>
      </c>
      <c r="J647">
        <v>1580.5329589999999</v>
      </c>
      <c r="K647">
        <v>2400</v>
      </c>
      <c r="L647">
        <v>0</v>
      </c>
      <c r="M647">
        <v>0</v>
      </c>
      <c r="N647">
        <v>2400</v>
      </c>
    </row>
    <row r="648" spans="1:14" x14ac:dyDescent="0.25">
      <c r="A648">
        <v>365.00012099999998</v>
      </c>
      <c r="B648" s="1">
        <f>DATE(2011,5,1) + TIME(0,0,10)</f>
        <v>40664.000115740739</v>
      </c>
      <c r="C648">
        <v>80</v>
      </c>
      <c r="D648">
        <v>43.220642089999998</v>
      </c>
      <c r="E648">
        <v>50</v>
      </c>
      <c r="F648">
        <v>49.952743529999999</v>
      </c>
      <c r="G648">
        <v>1023.4780273</v>
      </c>
      <c r="H648">
        <v>807.47485352000001</v>
      </c>
      <c r="I648">
        <v>1771.4521483999999</v>
      </c>
      <c r="J648">
        <v>1579.7375488</v>
      </c>
      <c r="K648">
        <v>2400</v>
      </c>
      <c r="L648">
        <v>0</v>
      </c>
      <c r="M648">
        <v>0</v>
      </c>
      <c r="N648">
        <v>2400</v>
      </c>
    </row>
    <row r="649" spans="1:14" x14ac:dyDescent="0.25">
      <c r="A649">
        <v>365.00036399999999</v>
      </c>
      <c r="B649" s="1">
        <f>DATE(2011,5,1) + TIME(0,0,31)</f>
        <v>40664.000358796293</v>
      </c>
      <c r="C649">
        <v>80</v>
      </c>
      <c r="D649">
        <v>43.236190796000002</v>
      </c>
      <c r="E649">
        <v>50</v>
      </c>
      <c r="F649">
        <v>49.949199677000003</v>
      </c>
      <c r="G649">
        <v>1025.7722168</v>
      </c>
      <c r="H649">
        <v>809.84509276999995</v>
      </c>
      <c r="I649">
        <v>1769.1048584</v>
      </c>
      <c r="J649">
        <v>1577.3782959</v>
      </c>
      <c r="K649">
        <v>2400</v>
      </c>
      <c r="L649">
        <v>0</v>
      </c>
      <c r="M649">
        <v>0</v>
      </c>
      <c r="N649">
        <v>2400</v>
      </c>
    </row>
    <row r="650" spans="1:14" x14ac:dyDescent="0.25">
      <c r="A650">
        <v>365.00109300000003</v>
      </c>
      <c r="B650" s="1">
        <f>DATE(2011,5,1) + TIME(0,1,34)</f>
        <v>40664.001087962963</v>
      </c>
      <c r="C650">
        <v>80</v>
      </c>
      <c r="D650">
        <v>43.282688141000001</v>
      </c>
      <c r="E650">
        <v>50</v>
      </c>
      <c r="F650">
        <v>49.938915252999998</v>
      </c>
      <c r="G650">
        <v>1032.4501952999999</v>
      </c>
      <c r="H650">
        <v>816.80975341999999</v>
      </c>
      <c r="I650">
        <v>1762.293457</v>
      </c>
      <c r="J650">
        <v>1570.5328368999999</v>
      </c>
      <c r="K650">
        <v>2400</v>
      </c>
      <c r="L650">
        <v>0</v>
      </c>
      <c r="M650">
        <v>0</v>
      </c>
      <c r="N650">
        <v>2400</v>
      </c>
    </row>
    <row r="651" spans="1:14" x14ac:dyDescent="0.25">
      <c r="A651">
        <v>365.00328000000002</v>
      </c>
      <c r="B651" s="1">
        <f>DATE(2011,5,1) + TIME(0,4,43)</f>
        <v>40664.003275462965</v>
      </c>
      <c r="C651">
        <v>80</v>
      </c>
      <c r="D651">
        <v>43.419483184999997</v>
      </c>
      <c r="E651">
        <v>50</v>
      </c>
      <c r="F651">
        <v>49.910823821999998</v>
      </c>
      <c r="G651">
        <v>1050.8472899999999</v>
      </c>
      <c r="H651">
        <v>836.19909668000003</v>
      </c>
      <c r="I651">
        <v>1743.6901855000001</v>
      </c>
      <c r="J651">
        <v>1551.8398437999999</v>
      </c>
      <c r="K651">
        <v>2400</v>
      </c>
      <c r="L651">
        <v>0</v>
      </c>
      <c r="M651">
        <v>0</v>
      </c>
      <c r="N651">
        <v>2400</v>
      </c>
    </row>
    <row r="652" spans="1:14" x14ac:dyDescent="0.25">
      <c r="A652">
        <v>365.00984099999999</v>
      </c>
      <c r="B652" s="1">
        <f>DATE(2011,5,1) + TIME(0,14,10)</f>
        <v>40664.009837962964</v>
      </c>
      <c r="C652">
        <v>80</v>
      </c>
      <c r="D652">
        <v>43.809986115000001</v>
      </c>
      <c r="E652">
        <v>50</v>
      </c>
      <c r="F652">
        <v>49.844486236999998</v>
      </c>
      <c r="G652">
        <v>1095.0889893000001</v>
      </c>
      <c r="H652">
        <v>882.94134521000001</v>
      </c>
      <c r="I652">
        <v>1699.7863769999999</v>
      </c>
      <c r="J652">
        <v>1507.7303466999999</v>
      </c>
      <c r="K652">
        <v>2400</v>
      </c>
      <c r="L652">
        <v>0</v>
      </c>
      <c r="M652">
        <v>0</v>
      </c>
      <c r="N652">
        <v>2400</v>
      </c>
    </row>
    <row r="653" spans="1:14" x14ac:dyDescent="0.25">
      <c r="A653">
        <v>365.02664199999998</v>
      </c>
      <c r="B653" s="1">
        <f>DATE(2011,5,1) + TIME(0,38,21)</f>
        <v>40664.026631944442</v>
      </c>
      <c r="C653">
        <v>80</v>
      </c>
      <c r="D653">
        <v>44.731906891000001</v>
      </c>
      <c r="E653">
        <v>50</v>
      </c>
      <c r="F653">
        <v>49.736583709999998</v>
      </c>
      <c r="G653">
        <v>1168.4360352000001</v>
      </c>
      <c r="H653">
        <v>960.22570800999995</v>
      </c>
      <c r="I653">
        <v>1628.534668</v>
      </c>
      <c r="J653">
        <v>1436.1527100000001</v>
      </c>
      <c r="K653">
        <v>2400</v>
      </c>
      <c r="L653">
        <v>0</v>
      </c>
      <c r="M653">
        <v>0</v>
      </c>
      <c r="N653">
        <v>2400</v>
      </c>
    </row>
    <row r="654" spans="1:14" x14ac:dyDescent="0.25">
      <c r="A654">
        <v>365.04486700000001</v>
      </c>
      <c r="B654" s="1">
        <f>DATE(2011,5,1) + TIME(1,4,36)</f>
        <v>40664.044861111113</v>
      </c>
      <c r="C654">
        <v>80</v>
      </c>
      <c r="D654">
        <v>45.655876159999998</v>
      </c>
      <c r="E654">
        <v>50</v>
      </c>
      <c r="F654">
        <v>49.658981322999999</v>
      </c>
      <c r="G654">
        <v>1221.1641846</v>
      </c>
      <c r="H654">
        <v>1015.9689941</v>
      </c>
      <c r="I654">
        <v>1577.2318115</v>
      </c>
      <c r="J654">
        <v>1384.6212158000001</v>
      </c>
      <c r="K654">
        <v>2400</v>
      </c>
      <c r="L654">
        <v>0</v>
      </c>
      <c r="M654">
        <v>0</v>
      </c>
      <c r="N654">
        <v>2400</v>
      </c>
    </row>
    <row r="655" spans="1:14" x14ac:dyDescent="0.25">
      <c r="A655">
        <v>365.06459100000001</v>
      </c>
      <c r="B655" s="1">
        <f>DATE(2011,5,1) + TIME(1,33,0)</f>
        <v>40664.064583333333</v>
      </c>
      <c r="C655">
        <v>80</v>
      </c>
      <c r="D655">
        <v>46.596630095999998</v>
      </c>
      <c r="E655">
        <v>50</v>
      </c>
      <c r="F655">
        <v>49.600910186999997</v>
      </c>
      <c r="G655">
        <v>1260.3327637</v>
      </c>
      <c r="H655">
        <v>1057.9091797000001</v>
      </c>
      <c r="I655">
        <v>1538.4538574000001</v>
      </c>
      <c r="J655">
        <v>1345.6750488</v>
      </c>
      <c r="K655">
        <v>2400</v>
      </c>
      <c r="L655">
        <v>0</v>
      </c>
      <c r="M655">
        <v>0</v>
      </c>
      <c r="N655">
        <v>2400</v>
      </c>
    </row>
    <row r="656" spans="1:14" x14ac:dyDescent="0.25">
      <c r="A656">
        <v>365.08555699999999</v>
      </c>
      <c r="B656" s="1">
        <f>DATE(2011,5,1) + TIME(2,3,12)</f>
        <v>40664.085555555554</v>
      </c>
      <c r="C656">
        <v>80</v>
      </c>
      <c r="D656">
        <v>47.547512054000002</v>
      </c>
      <c r="E656">
        <v>50</v>
      </c>
      <c r="F656">
        <v>49.556163787999999</v>
      </c>
      <c r="G656">
        <v>1290.1513672000001</v>
      </c>
      <c r="H656">
        <v>1090.4573975000001</v>
      </c>
      <c r="I656">
        <v>1508.1035156</v>
      </c>
      <c r="J656">
        <v>1315.1973877</v>
      </c>
      <c r="K656">
        <v>2400</v>
      </c>
      <c r="L656">
        <v>0</v>
      </c>
      <c r="M656">
        <v>0</v>
      </c>
      <c r="N656">
        <v>2400</v>
      </c>
    </row>
    <row r="657" spans="1:14" x14ac:dyDescent="0.25">
      <c r="A657">
        <v>365.10760599999998</v>
      </c>
      <c r="B657" s="1">
        <f>DATE(2011,5,1) + TIME(2,34,57)</f>
        <v>40664.107604166667</v>
      </c>
      <c r="C657">
        <v>80</v>
      </c>
      <c r="D657">
        <v>48.504261016999997</v>
      </c>
      <c r="E657">
        <v>50</v>
      </c>
      <c r="F657">
        <v>49.520519256999997</v>
      </c>
      <c r="G657">
        <v>1313.5762939000001</v>
      </c>
      <c r="H657">
        <v>1116.6156006000001</v>
      </c>
      <c r="I657">
        <v>1483.4639893000001</v>
      </c>
      <c r="J657">
        <v>1290.4586182</v>
      </c>
      <c r="K657">
        <v>2400</v>
      </c>
      <c r="L657">
        <v>0</v>
      </c>
      <c r="M657">
        <v>0</v>
      </c>
      <c r="N657">
        <v>2400</v>
      </c>
    </row>
    <row r="658" spans="1:14" x14ac:dyDescent="0.25">
      <c r="A658">
        <v>365.130652</v>
      </c>
      <c r="B658" s="1">
        <f>DATE(2011,5,1) + TIME(3,8,8)</f>
        <v>40664.130648148152</v>
      </c>
      <c r="C658">
        <v>80</v>
      </c>
      <c r="D658">
        <v>49.464282990000001</v>
      </c>
      <c r="E658">
        <v>50</v>
      </c>
      <c r="F658">
        <v>49.491214751999998</v>
      </c>
      <c r="G658">
        <v>1332.5679932</v>
      </c>
      <c r="H658">
        <v>1138.3371582</v>
      </c>
      <c r="I658">
        <v>1462.7965088000001</v>
      </c>
      <c r="J658">
        <v>1269.7114257999999</v>
      </c>
      <c r="K658">
        <v>2400</v>
      </c>
      <c r="L658">
        <v>0</v>
      </c>
      <c r="M658">
        <v>0</v>
      </c>
      <c r="N658">
        <v>2400</v>
      </c>
    </row>
    <row r="659" spans="1:14" x14ac:dyDescent="0.25">
      <c r="A659">
        <v>365.15461900000003</v>
      </c>
      <c r="B659" s="1">
        <f>DATE(2011,5,1) + TIME(3,42,39)</f>
        <v>40664.154618055552</v>
      </c>
      <c r="C659">
        <v>80</v>
      </c>
      <c r="D659">
        <v>50.424285888999997</v>
      </c>
      <c r="E659">
        <v>50</v>
      </c>
      <c r="F659">
        <v>49.466514586999999</v>
      </c>
      <c r="G659">
        <v>1348.3846435999999</v>
      </c>
      <c r="H659">
        <v>1156.8592529</v>
      </c>
      <c r="I659">
        <v>1445.0098877</v>
      </c>
      <c r="J659">
        <v>1251.859375</v>
      </c>
      <c r="K659">
        <v>2400</v>
      </c>
      <c r="L659">
        <v>0</v>
      </c>
      <c r="M659">
        <v>0</v>
      </c>
      <c r="N659">
        <v>2400</v>
      </c>
    </row>
    <row r="660" spans="1:14" x14ac:dyDescent="0.25">
      <c r="A660">
        <v>365.17935899999998</v>
      </c>
      <c r="B660" s="1">
        <f>DATE(2011,5,1) + TIME(4,18,16)</f>
        <v>40664.179351851853</v>
      </c>
      <c r="C660">
        <v>80</v>
      </c>
      <c r="D660">
        <v>51.378139496000003</v>
      </c>
      <c r="E660">
        <v>50</v>
      </c>
      <c r="F660">
        <v>49.445316314999999</v>
      </c>
      <c r="G660">
        <v>1361.8148193</v>
      </c>
      <c r="H660">
        <v>1172.942749</v>
      </c>
      <c r="I660">
        <v>1429.4379882999999</v>
      </c>
      <c r="J660">
        <v>1236.2330322</v>
      </c>
      <c r="K660">
        <v>2400</v>
      </c>
      <c r="L660">
        <v>0</v>
      </c>
      <c r="M660">
        <v>0</v>
      </c>
      <c r="N660">
        <v>2400</v>
      </c>
    </row>
    <row r="661" spans="1:14" x14ac:dyDescent="0.25">
      <c r="A661">
        <v>365.20486199999999</v>
      </c>
      <c r="B661" s="1">
        <f>DATE(2011,5,1) + TIME(4,55,0)</f>
        <v>40664.204861111109</v>
      </c>
      <c r="C661">
        <v>80</v>
      </c>
      <c r="D661">
        <v>52.325080872000001</v>
      </c>
      <c r="E661">
        <v>50</v>
      </c>
      <c r="F661">
        <v>49.426792145</v>
      </c>
      <c r="G661">
        <v>1373.4495850000001</v>
      </c>
      <c r="H661">
        <v>1187.1704102000001</v>
      </c>
      <c r="I661">
        <v>1415.5645752</v>
      </c>
      <c r="J661">
        <v>1222.3137207</v>
      </c>
      <c r="K661">
        <v>2400</v>
      </c>
      <c r="L661">
        <v>0</v>
      </c>
      <c r="M661">
        <v>0</v>
      </c>
      <c r="N661">
        <v>2400</v>
      </c>
    </row>
    <row r="662" spans="1:14" x14ac:dyDescent="0.25">
      <c r="A662">
        <v>365.23112900000001</v>
      </c>
      <c r="B662" s="1">
        <f>DATE(2011,5,1) + TIME(5,32,49)</f>
        <v>40664.231122685182</v>
      </c>
      <c r="C662">
        <v>80</v>
      </c>
      <c r="D662">
        <v>53.264392852999997</v>
      </c>
      <c r="E662">
        <v>50</v>
      </c>
      <c r="F662">
        <v>49.410358428999999</v>
      </c>
      <c r="G662">
        <v>1383.6992187999999</v>
      </c>
      <c r="H662">
        <v>1199.9471435999999</v>
      </c>
      <c r="I662">
        <v>1403.0288086</v>
      </c>
      <c r="J662">
        <v>1209.7386475000001</v>
      </c>
      <c r="K662">
        <v>2400</v>
      </c>
      <c r="L662">
        <v>0</v>
      </c>
      <c r="M662">
        <v>0</v>
      </c>
      <c r="N662">
        <v>2400</v>
      </c>
    </row>
    <row r="663" spans="1:14" x14ac:dyDescent="0.25">
      <c r="A663">
        <v>365.258173</v>
      </c>
      <c r="B663" s="1">
        <f>DATE(2011,5,1) + TIME(6,11,46)</f>
        <v>40664.258171296293</v>
      </c>
      <c r="C663">
        <v>80</v>
      </c>
      <c r="D663">
        <v>54.195545197000001</v>
      </c>
      <c r="E663">
        <v>50</v>
      </c>
      <c r="F663">
        <v>49.395584106000001</v>
      </c>
      <c r="G663">
        <v>1392.8571777</v>
      </c>
      <c r="H663">
        <v>1211.5639647999999</v>
      </c>
      <c r="I663">
        <v>1391.5700684000001</v>
      </c>
      <c r="J663">
        <v>1198.2460937999999</v>
      </c>
      <c r="K663">
        <v>2400</v>
      </c>
      <c r="L663">
        <v>0</v>
      </c>
      <c r="M663">
        <v>0</v>
      </c>
      <c r="N663">
        <v>2400</v>
      </c>
    </row>
    <row r="664" spans="1:14" x14ac:dyDescent="0.25">
      <c r="A664">
        <v>365.28601600000002</v>
      </c>
      <c r="B664" s="1">
        <f>DATE(2011,5,1) + TIME(6,51,51)</f>
        <v>40664.286006944443</v>
      </c>
      <c r="C664">
        <v>80</v>
      </c>
      <c r="D664">
        <v>55.118118285999998</v>
      </c>
      <c r="E664">
        <v>50</v>
      </c>
      <c r="F664">
        <v>49.382156371999997</v>
      </c>
      <c r="G664">
        <v>1401.1398925999999</v>
      </c>
      <c r="H664">
        <v>1222.2362060999999</v>
      </c>
      <c r="I664">
        <v>1380.9945068</v>
      </c>
      <c r="J664">
        <v>1187.6409911999999</v>
      </c>
      <c r="K664">
        <v>2400</v>
      </c>
      <c r="L664">
        <v>0</v>
      </c>
      <c r="M664">
        <v>0</v>
      </c>
      <c r="N664">
        <v>2400</v>
      </c>
    </row>
    <row r="665" spans="1:14" x14ac:dyDescent="0.25">
      <c r="A665">
        <v>365.31468699999999</v>
      </c>
      <c r="B665" s="1">
        <f>DATE(2011,5,1) + TIME(7,33,8)</f>
        <v>40664.314675925925</v>
      </c>
      <c r="C665">
        <v>80</v>
      </c>
      <c r="D665">
        <v>56.031768798999998</v>
      </c>
      <c r="E665">
        <v>50</v>
      </c>
      <c r="F665">
        <v>49.369827270999998</v>
      </c>
      <c r="G665">
        <v>1408.7113036999999</v>
      </c>
      <c r="H665">
        <v>1232.1279297000001</v>
      </c>
      <c r="I665">
        <v>1371.1535644999999</v>
      </c>
      <c r="J665">
        <v>1177.7741699000001</v>
      </c>
      <c r="K665">
        <v>2400</v>
      </c>
      <c r="L665">
        <v>0</v>
      </c>
      <c r="M665">
        <v>0</v>
      </c>
      <c r="N665">
        <v>2400</v>
      </c>
    </row>
    <row r="666" spans="1:14" x14ac:dyDescent="0.25">
      <c r="A666">
        <v>365.34422000000001</v>
      </c>
      <c r="B666" s="1">
        <f>DATE(2011,5,1) + TIME(8,15,40)</f>
        <v>40664.344212962962</v>
      </c>
      <c r="C666">
        <v>80</v>
      </c>
      <c r="D666">
        <v>56.936203003000003</v>
      </c>
      <c r="E666">
        <v>50</v>
      </c>
      <c r="F666">
        <v>49.358409881999997</v>
      </c>
      <c r="G666">
        <v>1415.6984863</v>
      </c>
      <c r="H666">
        <v>1241.3673096</v>
      </c>
      <c r="I666">
        <v>1361.9313964999999</v>
      </c>
      <c r="J666">
        <v>1168.5292969</v>
      </c>
      <c r="K666">
        <v>2400</v>
      </c>
      <c r="L666">
        <v>0</v>
      </c>
      <c r="M666">
        <v>0</v>
      </c>
      <c r="N666">
        <v>2400</v>
      </c>
    </row>
    <row r="667" spans="1:14" x14ac:dyDescent="0.25">
      <c r="A667">
        <v>365.37465600000002</v>
      </c>
      <c r="B667" s="1">
        <f>DATE(2011,5,1) + TIME(8,59,30)</f>
        <v>40664.374652777777</v>
      </c>
      <c r="C667">
        <v>80</v>
      </c>
      <c r="D667">
        <v>57.831130981000001</v>
      </c>
      <c r="E667">
        <v>50</v>
      </c>
      <c r="F667">
        <v>49.347740172999998</v>
      </c>
      <c r="G667">
        <v>1422.2019043</v>
      </c>
      <c r="H667">
        <v>1250.0557861</v>
      </c>
      <c r="I667">
        <v>1353.2358397999999</v>
      </c>
      <c r="J667">
        <v>1159.8135986</v>
      </c>
      <c r="K667">
        <v>2400</v>
      </c>
      <c r="L667">
        <v>0</v>
      </c>
      <c r="M667">
        <v>0</v>
      </c>
      <c r="N667">
        <v>2400</v>
      </c>
    </row>
    <row r="668" spans="1:14" x14ac:dyDescent="0.25">
      <c r="A668">
        <v>365.40603800000002</v>
      </c>
      <c r="B668" s="1">
        <f>DATE(2011,5,1) + TIME(9,44,41)</f>
        <v>40664.406030092592</v>
      </c>
      <c r="C668">
        <v>80</v>
      </c>
      <c r="D668">
        <v>58.716236115000001</v>
      </c>
      <c r="E668">
        <v>50</v>
      </c>
      <c r="F668">
        <v>49.337699890000003</v>
      </c>
      <c r="G668">
        <v>1428.302124</v>
      </c>
      <c r="H668">
        <v>1258.2751464999999</v>
      </c>
      <c r="I668">
        <v>1344.9925536999999</v>
      </c>
      <c r="J668">
        <v>1151.5523682</v>
      </c>
      <c r="K668">
        <v>2400</v>
      </c>
      <c r="L668">
        <v>0</v>
      </c>
      <c r="M668">
        <v>0</v>
      </c>
      <c r="N668">
        <v>2400</v>
      </c>
    </row>
    <row r="669" spans="1:14" x14ac:dyDescent="0.25">
      <c r="A669">
        <v>365.43843399999997</v>
      </c>
      <c r="B669" s="1">
        <f>DATE(2011,5,1) + TIME(10,31,20)</f>
        <v>40664.438425925924</v>
      </c>
      <c r="C669">
        <v>80</v>
      </c>
      <c r="D669">
        <v>59.591632842999999</v>
      </c>
      <c r="E669">
        <v>50</v>
      </c>
      <c r="F669">
        <v>49.328174591</v>
      </c>
      <c r="G669">
        <v>1434.0670166</v>
      </c>
      <c r="H669">
        <v>1266.0963135</v>
      </c>
      <c r="I669">
        <v>1337.1364745999999</v>
      </c>
      <c r="J669">
        <v>1143.6801757999999</v>
      </c>
      <c r="K669">
        <v>2400</v>
      </c>
      <c r="L669">
        <v>0</v>
      </c>
      <c r="M669">
        <v>0</v>
      </c>
      <c r="N669">
        <v>2400</v>
      </c>
    </row>
    <row r="670" spans="1:14" x14ac:dyDescent="0.25">
      <c r="A670">
        <v>365.47189400000002</v>
      </c>
      <c r="B670" s="1">
        <f>DATE(2011,5,1) + TIME(11,19,31)</f>
        <v>40664.471886574072</v>
      </c>
      <c r="C670">
        <v>80</v>
      </c>
      <c r="D670">
        <v>60.456592559999997</v>
      </c>
      <c r="E670">
        <v>50</v>
      </c>
      <c r="F670">
        <v>49.319080352999997</v>
      </c>
      <c r="G670">
        <v>1439.5501709</v>
      </c>
      <c r="H670">
        <v>1273.5738524999999</v>
      </c>
      <c r="I670">
        <v>1329.6176757999999</v>
      </c>
      <c r="J670">
        <v>1136.1470947</v>
      </c>
      <c r="K670">
        <v>2400</v>
      </c>
      <c r="L670">
        <v>0</v>
      </c>
      <c r="M670">
        <v>0</v>
      </c>
      <c r="N670">
        <v>2400</v>
      </c>
    </row>
    <row r="671" spans="1:14" x14ac:dyDescent="0.25">
      <c r="A671">
        <v>365.506483</v>
      </c>
      <c r="B671" s="1">
        <f>DATE(2011,5,1) + TIME(12,9,20)</f>
        <v>40664.506481481483</v>
      </c>
      <c r="C671">
        <v>80</v>
      </c>
      <c r="D671">
        <v>61.310844420999999</v>
      </c>
      <c r="E671">
        <v>50</v>
      </c>
      <c r="F671">
        <v>49.310333252</v>
      </c>
      <c r="G671">
        <v>1444.7972411999999</v>
      </c>
      <c r="H671">
        <v>1280.7551269999999</v>
      </c>
      <c r="I671">
        <v>1322.3928223</v>
      </c>
      <c r="J671">
        <v>1128.9094238</v>
      </c>
      <c r="K671">
        <v>2400</v>
      </c>
      <c r="L671">
        <v>0</v>
      </c>
      <c r="M671">
        <v>0</v>
      </c>
      <c r="N671">
        <v>2400</v>
      </c>
    </row>
    <row r="672" spans="1:14" x14ac:dyDescent="0.25">
      <c r="A672">
        <v>365.54227700000001</v>
      </c>
      <c r="B672" s="1">
        <f>DATE(2011,5,1) + TIME(13,0,52)</f>
        <v>40664.542268518519</v>
      </c>
      <c r="C672">
        <v>80</v>
      </c>
      <c r="D672">
        <v>62.154449462999999</v>
      </c>
      <c r="E672">
        <v>50</v>
      </c>
      <c r="F672">
        <v>49.301868439000003</v>
      </c>
      <c r="G672">
        <v>1449.8475341999999</v>
      </c>
      <c r="H672">
        <v>1287.6812743999999</v>
      </c>
      <c r="I672">
        <v>1315.4240723</v>
      </c>
      <c r="J672">
        <v>1121.9289550999999</v>
      </c>
      <c r="K672">
        <v>2400</v>
      </c>
      <c r="L672">
        <v>0</v>
      </c>
      <c r="M672">
        <v>0</v>
      </c>
      <c r="N672">
        <v>2400</v>
      </c>
    </row>
    <row r="673" spans="1:14" x14ac:dyDescent="0.25">
      <c r="A673">
        <v>365.57936000000001</v>
      </c>
      <c r="B673" s="1">
        <f>DATE(2011,5,1) + TIME(13,54,16)</f>
        <v>40664.579351851855</v>
      </c>
      <c r="C673">
        <v>80</v>
      </c>
      <c r="D673">
        <v>62.987209319999998</v>
      </c>
      <c r="E673">
        <v>50</v>
      </c>
      <c r="F673">
        <v>49.293621063000003</v>
      </c>
      <c r="G673">
        <v>1454.7348632999999</v>
      </c>
      <c r="H673">
        <v>1294.3883057</v>
      </c>
      <c r="I673">
        <v>1308.6781006000001</v>
      </c>
      <c r="J673">
        <v>1115.1723632999999</v>
      </c>
      <c r="K673">
        <v>2400</v>
      </c>
      <c r="L673">
        <v>0</v>
      </c>
      <c r="M673">
        <v>0</v>
      </c>
      <c r="N673">
        <v>2400</v>
      </c>
    </row>
    <row r="674" spans="1:14" x14ac:dyDescent="0.25">
      <c r="A674">
        <v>365.61782899999997</v>
      </c>
      <c r="B674" s="1">
        <f>DATE(2011,5,1) + TIME(14,49,40)</f>
        <v>40664.617824074077</v>
      </c>
      <c r="C674">
        <v>80</v>
      </c>
      <c r="D674">
        <v>63.808929442999997</v>
      </c>
      <c r="E674">
        <v>50</v>
      </c>
      <c r="F674">
        <v>49.285533905000001</v>
      </c>
      <c r="G674">
        <v>1459.4890137</v>
      </c>
      <c r="H674">
        <v>1300.9075928</v>
      </c>
      <c r="I674">
        <v>1302.1258545000001</v>
      </c>
      <c r="J674">
        <v>1108.6104736</v>
      </c>
      <c r="K674">
        <v>2400</v>
      </c>
      <c r="L674">
        <v>0</v>
      </c>
      <c r="M674">
        <v>0</v>
      </c>
      <c r="N674">
        <v>2400</v>
      </c>
    </row>
    <row r="675" spans="1:14" x14ac:dyDescent="0.25">
      <c r="A675">
        <v>365.65778999999998</v>
      </c>
      <c r="B675" s="1">
        <f>DATE(2011,5,1) + TIME(15,47,13)</f>
        <v>40664.657789351855</v>
      </c>
      <c r="C675">
        <v>80</v>
      </c>
      <c r="D675">
        <v>64.619400024000001</v>
      </c>
      <c r="E675">
        <v>50</v>
      </c>
      <c r="F675">
        <v>49.277561188</v>
      </c>
      <c r="G675">
        <v>1464.1365966999999</v>
      </c>
      <c r="H675">
        <v>1307.2675781</v>
      </c>
      <c r="I675">
        <v>1295.7409668</v>
      </c>
      <c r="J675">
        <v>1102.2167969</v>
      </c>
      <c r="K675">
        <v>2400</v>
      </c>
      <c r="L675">
        <v>0</v>
      </c>
      <c r="M675">
        <v>0</v>
      </c>
      <c r="N675">
        <v>2400</v>
      </c>
    </row>
    <row r="676" spans="1:14" x14ac:dyDescent="0.25">
      <c r="A676">
        <v>365.699364</v>
      </c>
      <c r="B676" s="1">
        <f>DATE(2011,5,1) + TIME(16,47,5)</f>
        <v>40664.699363425927</v>
      </c>
      <c r="C676">
        <v>80</v>
      </c>
      <c r="D676">
        <v>65.418510436999995</v>
      </c>
      <c r="E676">
        <v>50</v>
      </c>
      <c r="F676">
        <v>49.269645691000001</v>
      </c>
      <c r="G676">
        <v>1468.7014160000001</v>
      </c>
      <c r="H676">
        <v>1313.4938964999999</v>
      </c>
      <c r="I676">
        <v>1289.4998779</v>
      </c>
      <c r="J676">
        <v>1095.9674072</v>
      </c>
      <c r="K676">
        <v>2400</v>
      </c>
      <c r="L676">
        <v>0</v>
      </c>
      <c r="M676">
        <v>0</v>
      </c>
      <c r="N676">
        <v>2400</v>
      </c>
    </row>
    <row r="677" spans="1:14" x14ac:dyDescent="0.25">
      <c r="A677">
        <v>365.74268799999999</v>
      </c>
      <c r="B677" s="1">
        <f>DATE(2011,5,1) + TIME(17,49,28)</f>
        <v>40664.742685185185</v>
      </c>
      <c r="C677">
        <v>80</v>
      </c>
      <c r="D677">
        <v>66.206016540999997</v>
      </c>
      <c r="E677">
        <v>50</v>
      </c>
      <c r="F677">
        <v>49.261745453000003</v>
      </c>
      <c r="G677">
        <v>1473.2054443</v>
      </c>
      <c r="H677">
        <v>1319.6101074000001</v>
      </c>
      <c r="I677">
        <v>1283.3806152</v>
      </c>
      <c r="J677">
        <v>1089.8405762</v>
      </c>
      <c r="K677">
        <v>2400</v>
      </c>
      <c r="L677">
        <v>0</v>
      </c>
      <c r="M677">
        <v>0</v>
      </c>
      <c r="N677">
        <v>2400</v>
      </c>
    </row>
    <row r="678" spans="1:14" x14ac:dyDescent="0.25">
      <c r="A678">
        <v>365.78791899999999</v>
      </c>
      <c r="B678" s="1">
        <f>DATE(2011,5,1) + TIME(18,54,36)</f>
        <v>40664.787916666668</v>
      </c>
      <c r="C678">
        <v>80</v>
      </c>
      <c r="D678">
        <v>66.981613159000005</v>
      </c>
      <c r="E678">
        <v>50</v>
      </c>
      <c r="F678">
        <v>49.253807068</v>
      </c>
      <c r="G678">
        <v>1477.6693115</v>
      </c>
      <c r="H678">
        <v>1325.6381836</v>
      </c>
      <c r="I678">
        <v>1277.3626709</v>
      </c>
      <c r="J678">
        <v>1083.8155518000001</v>
      </c>
      <c r="K678">
        <v>2400</v>
      </c>
      <c r="L678">
        <v>0</v>
      </c>
      <c r="M678">
        <v>0</v>
      </c>
      <c r="N678">
        <v>2400</v>
      </c>
    </row>
    <row r="679" spans="1:14" x14ac:dyDescent="0.25">
      <c r="A679">
        <v>365.83524899999998</v>
      </c>
      <c r="B679" s="1">
        <f>DATE(2011,5,1) + TIME(20,2,45)</f>
        <v>40664.835243055553</v>
      </c>
      <c r="C679">
        <v>80</v>
      </c>
      <c r="D679">
        <v>67.745262146000002</v>
      </c>
      <c r="E679">
        <v>50</v>
      </c>
      <c r="F679">
        <v>49.245784759999999</v>
      </c>
      <c r="G679">
        <v>1482.1138916</v>
      </c>
      <c r="H679">
        <v>1331.6011963000001</v>
      </c>
      <c r="I679">
        <v>1271.4249268000001</v>
      </c>
      <c r="J679">
        <v>1077.8710937999999</v>
      </c>
      <c r="K679">
        <v>2400</v>
      </c>
      <c r="L679">
        <v>0</v>
      </c>
      <c r="M679">
        <v>0</v>
      </c>
      <c r="N679">
        <v>2400</v>
      </c>
    </row>
    <row r="680" spans="1:14" x14ac:dyDescent="0.25">
      <c r="A680">
        <v>365.88489499999997</v>
      </c>
      <c r="B680" s="1">
        <f>DATE(2011,5,1) + TIME(21,14,14)</f>
        <v>40664.884884259256</v>
      </c>
      <c r="C680">
        <v>80</v>
      </c>
      <c r="D680">
        <v>68.496803283999995</v>
      </c>
      <c r="E680">
        <v>50</v>
      </c>
      <c r="F680">
        <v>49.237628936999997</v>
      </c>
      <c r="G680">
        <v>1486.5588379000001</v>
      </c>
      <c r="H680">
        <v>1337.5201416</v>
      </c>
      <c r="I680">
        <v>1265.5474853999999</v>
      </c>
      <c r="J680">
        <v>1071.9873047000001</v>
      </c>
      <c r="K680">
        <v>2400</v>
      </c>
      <c r="L680">
        <v>0</v>
      </c>
      <c r="M680">
        <v>0</v>
      </c>
      <c r="N680">
        <v>2400</v>
      </c>
    </row>
    <row r="681" spans="1:14" x14ac:dyDescent="0.25">
      <c r="A681">
        <v>365.937074</v>
      </c>
      <c r="B681" s="1">
        <f>DATE(2011,5,1) + TIME(22,29,23)</f>
        <v>40664.937071759261</v>
      </c>
      <c r="C681">
        <v>80</v>
      </c>
      <c r="D681">
        <v>69.235603333</v>
      </c>
      <c r="E681">
        <v>50</v>
      </c>
      <c r="F681">
        <v>49.229293822999999</v>
      </c>
      <c r="G681">
        <v>1491.0216064000001</v>
      </c>
      <c r="H681">
        <v>1343.4130858999999</v>
      </c>
      <c r="I681">
        <v>1259.7142334</v>
      </c>
      <c r="J681">
        <v>1066.1478271000001</v>
      </c>
      <c r="K681">
        <v>2400</v>
      </c>
      <c r="L681">
        <v>0</v>
      </c>
      <c r="M681">
        <v>0</v>
      </c>
      <c r="N681">
        <v>2400</v>
      </c>
    </row>
    <row r="682" spans="1:14" x14ac:dyDescent="0.25">
      <c r="A682">
        <v>365.99206400000003</v>
      </c>
      <c r="B682" s="1">
        <f>DATE(2011,5,1) + TIME(23,48,34)</f>
        <v>40664.992060185185</v>
      </c>
      <c r="C682">
        <v>80</v>
      </c>
      <c r="D682">
        <v>69.961341857999997</v>
      </c>
      <c r="E682">
        <v>50</v>
      </c>
      <c r="F682">
        <v>49.220722197999997</v>
      </c>
      <c r="G682">
        <v>1495.5211182</v>
      </c>
      <c r="H682">
        <v>1349.300293</v>
      </c>
      <c r="I682">
        <v>1253.9063721</v>
      </c>
      <c r="J682">
        <v>1060.3337402</v>
      </c>
      <c r="K682">
        <v>2400</v>
      </c>
      <c r="L682">
        <v>0</v>
      </c>
      <c r="M682">
        <v>0</v>
      </c>
      <c r="N682">
        <v>2400</v>
      </c>
    </row>
    <row r="683" spans="1:14" x14ac:dyDescent="0.25">
      <c r="A683">
        <v>366.05018999999999</v>
      </c>
      <c r="B683" s="1">
        <f>DATE(2011,5,2) + TIME(1,12,16)</f>
        <v>40665.050185185188</v>
      </c>
      <c r="C683">
        <v>80</v>
      </c>
      <c r="D683">
        <v>70.673171996999997</v>
      </c>
      <c r="E683">
        <v>50</v>
      </c>
      <c r="F683">
        <v>49.211856842000003</v>
      </c>
      <c r="G683">
        <v>1500.0775146000001</v>
      </c>
      <c r="H683">
        <v>1355.2030029</v>
      </c>
      <c r="I683">
        <v>1248.1044922000001</v>
      </c>
      <c r="J683">
        <v>1054.5257568</v>
      </c>
      <c r="K683">
        <v>2400</v>
      </c>
      <c r="L683">
        <v>0</v>
      </c>
      <c r="M683">
        <v>0</v>
      </c>
      <c r="N683">
        <v>2400</v>
      </c>
    </row>
    <row r="684" spans="1:14" x14ac:dyDescent="0.25">
      <c r="A684">
        <v>366.11183299999999</v>
      </c>
      <c r="B684" s="1">
        <f>DATE(2011,5,2) + TIME(2,41,2)</f>
        <v>40665.111828703702</v>
      </c>
      <c r="C684">
        <v>80</v>
      </c>
      <c r="D684">
        <v>71.371078491000006</v>
      </c>
      <c r="E684">
        <v>50</v>
      </c>
      <c r="F684">
        <v>49.202629088999998</v>
      </c>
      <c r="G684">
        <v>1504.7116699000001</v>
      </c>
      <c r="H684">
        <v>1361.1431885</v>
      </c>
      <c r="I684">
        <v>1242.2883300999999</v>
      </c>
      <c r="J684">
        <v>1048.7036132999999</v>
      </c>
      <c r="K684">
        <v>2400</v>
      </c>
      <c r="L684">
        <v>0</v>
      </c>
      <c r="M684">
        <v>0</v>
      </c>
      <c r="N684">
        <v>2400</v>
      </c>
    </row>
    <row r="685" spans="1:14" x14ac:dyDescent="0.25">
      <c r="A685">
        <v>366.17743899999999</v>
      </c>
      <c r="B685" s="1">
        <f>DATE(2011,5,2) + TIME(4,15,30)</f>
        <v>40665.177430555559</v>
      </c>
      <c r="C685">
        <v>80</v>
      </c>
      <c r="D685">
        <v>72.054504394999995</v>
      </c>
      <c r="E685">
        <v>50</v>
      </c>
      <c r="F685">
        <v>49.192977904999999</v>
      </c>
      <c r="G685">
        <v>1509.4458007999999</v>
      </c>
      <c r="H685">
        <v>1367.1436768000001</v>
      </c>
      <c r="I685">
        <v>1236.4372559000001</v>
      </c>
      <c r="J685">
        <v>1042.8461914</v>
      </c>
      <c r="K685">
        <v>2400</v>
      </c>
      <c r="L685">
        <v>0</v>
      </c>
      <c r="M685">
        <v>0</v>
      </c>
      <c r="N685">
        <v>2400</v>
      </c>
    </row>
    <row r="686" spans="1:14" x14ac:dyDescent="0.25">
      <c r="A686">
        <v>366.24757299999999</v>
      </c>
      <c r="B686" s="1">
        <f>DATE(2011,5,2) + TIME(5,56,30)</f>
        <v>40665.247569444444</v>
      </c>
      <c r="C686">
        <v>80</v>
      </c>
      <c r="D686">
        <v>72.723068237000007</v>
      </c>
      <c r="E686">
        <v>50</v>
      </c>
      <c r="F686">
        <v>49.182807922000002</v>
      </c>
      <c r="G686">
        <v>1514.3063964999999</v>
      </c>
      <c r="H686">
        <v>1373.2320557</v>
      </c>
      <c r="I686">
        <v>1230.526001</v>
      </c>
      <c r="J686">
        <v>1036.9284668</v>
      </c>
      <c r="K686">
        <v>2400</v>
      </c>
      <c r="L686">
        <v>0</v>
      </c>
      <c r="M686">
        <v>0</v>
      </c>
      <c r="N686">
        <v>2400</v>
      </c>
    </row>
    <row r="687" spans="1:14" x14ac:dyDescent="0.25">
      <c r="A687">
        <v>366.32290799999998</v>
      </c>
      <c r="B687" s="1">
        <f>DATE(2011,5,2) + TIME(7,44,59)</f>
        <v>40665.322905092595</v>
      </c>
      <c r="C687">
        <v>80</v>
      </c>
      <c r="D687">
        <v>73.376174926999994</v>
      </c>
      <c r="E687">
        <v>50</v>
      </c>
      <c r="F687">
        <v>49.172027587999999</v>
      </c>
      <c r="G687">
        <v>1519.3226318</v>
      </c>
      <c r="H687">
        <v>1379.4383545000001</v>
      </c>
      <c r="I687">
        <v>1224.5274658000001</v>
      </c>
      <c r="J687">
        <v>1030.9229736</v>
      </c>
      <c r="K687">
        <v>2400</v>
      </c>
      <c r="L687">
        <v>0</v>
      </c>
      <c r="M687">
        <v>0</v>
      </c>
      <c r="N687">
        <v>2400</v>
      </c>
    </row>
    <row r="688" spans="1:14" x14ac:dyDescent="0.25">
      <c r="A688">
        <v>366.40427599999998</v>
      </c>
      <c r="B688" s="1">
        <f>DATE(2011,5,2) + TIME(9,42,9)</f>
        <v>40665.404270833336</v>
      </c>
      <c r="C688">
        <v>80</v>
      </c>
      <c r="D688">
        <v>74.013122558999996</v>
      </c>
      <c r="E688">
        <v>50</v>
      </c>
      <c r="F688">
        <v>49.160522460999999</v>
      </c>
      <c r="G688">
        <v>1524.5281981999999</v>
      </c>
      <c r="H688">
        <v>1385.796875</v>
      </c>
      <c r="I688">
        <v>1218.4106445</v>
      </c>
      <c r="J688">
        <v>1024.7988281</v>
      </c>
      <c r="K688">
        <v>2400</v>
      </c>
      <c r="L688">
        <v>0</v>
      </c>
      <c r="M688">
        <v>0</v>
      </c>
      <c r="N688">
        <v>2400</v>
      </c>
    </row>
    <row r="689" spans="1:14" x14ac:dyDescent="0.25">
      <c r="A689">
        <v>366.49272100000002</v>
      </c>
      <c r="B689" s="1">
        <f>DATE(2011,5,2) + TIME(11,49,31)</f>
        <v>40665.492719907408</v>
      </c>
      <c r="C689">
        <v>80</v>
      </c>
      <c r="D689">
        <v>74.633094787999994</v>
      </c>
      <c r="E689">
        <v>50</v>
      </c>
      <c r="F689">
        <v>49.148147582999997</v>
      </c>
      <c r="G689">
        <v>1529.9633789</v>
      </c>
      <c r="H689">
        <v>1392.3480225000001</v>
      </c>
      <c r="I689">
        <v>1212.1390381000001</v>
      </c>
      <c r="J689">
        <v>1018.519043</v>
      </c>
      <c r="K689">
        <v>2400</v>
      </c>
      <c r="L689">
        <v>0</v>
      </c>
      <c r="M689">
        <v>0</v>
      </c>
      <c r="N689">
        <v>2400</v>
      </c>
    </row>
    <row r="690" spans="1:14" x14ac:dyDescent="0.25">
      <c r="A690">
        <v>366.54091799999998</v>
      </c>
      <c r="B690" s="1">
        <f>DATE(2011,5,2) + TIME(12,58,55)</f>
        <v>40665.540914351855</v>
      </c>
      <c r="C690">
        <v>80</v>
      </c>
      <c r="D690">
        <v>74.950393676999994</v>
      </c>
      <c r="E690">
        <v>50</v>
      </c>
      <c r="F690">
        <v>49.140933990000001</v>
      </c>
      <c r="G690">
        <v>1532.7941894999999</v>
      </c>
      <c r="H690">
        <v>1395.7266846</v>
      </c>
      <c r="I690">
        <v>1208.8190918</v>
      </c>
      <c r="J690">
        <v>1015.1951294</v>
      </c>
      <c r="K690">
        <v>2400</v>
      </c>
      <c r="L690">
        <v>0</v>
      </c>
      <c r="M690">
        <v>0</v>
      </c>
      <c r="N690">
        <v>2400</v>
      </c>
    </row>
    <row r="691" spans="1:14" x14ac:dyDescent="0.25">
      <c r="A691">
        <v>366.589114</v>
      </c>
      <c r="B691" s="1">
        <f>DATE(2011,5,2) + TIME(14,8,19)</f>
        <v>40665.589108796295</v>
      </c>
      <c r="C691">
        <v>80</v>
      </c>
      <c r="D691">
        <v>75.248603821000003</v>
      </c>
      <c r="E691">
        <v>50</v>
      </c>
      <c r="F691">
        <v>49.133750915999997</v>
      </c>
      <c r="G691">
        <v>1535.5598144999999</v>
      </c>
      <c r="H691">
        <v>1399.0294189000001</v>
      </c>
      <c r="I691">
        <v>1205.6005858999999</v>
      </c>
      <c r="J691">
        <v>1011.9715576</v>
      </c>
      <c r="K691">
        <v>2400</v>
      </c>
      <c r="L691">
        <v>0</v>
      </c>
      <c r="M691">
        <v>0</v>
      </c>
      <c r="N691">
        <v>2400</v>
      </c>
    </row>
    <row r="692" spans="1:14" x14ac:dyDescent="0.25">
      <c r="A692">
        <v>366.63731100000001</v>
      </c>
      <c r="B692" s="1">
        <f>DATE(2011,5,2) + TIME(15,17,43)</f>
        <v>40665.637303240743</v>
      </c>
      <c r="C692">
        <v>80</v>
      </c>
      <c r="D692">
        <v>75.529022217000005</v>
      </c>
      <c r="E692">
        <v>50</v>
      </c>
      <c r="F692">
        <v>49.126590729</v>
      </c>
      <c r="G692">
        <v>1538.2932129000001</v>
      </c>
      <c r="H692">
        <v>1402.2648925999999</v>
      </c>
      <c r="I692">
        <v>1202.4748535000001</v>
      </c>
      <c r="J692">
        <v>1008.8406982</v>
      </c>
      <c r="K692">
        <v>2400</v>
      </c>
      <c r="L692">
        <v>0</v>
      </c>
      <c r="M692">
        <v>0</v>
      </c>
      <c r="N692">
        <v>2400</v>
      </c>
    </row>
    <row r="693" spans="1:14" x14ac:dyDescent="0.25">
      <c r="A693">
        <v>366.73370399999999</v>
      </c>
      <c r="B693" s="1">
        <f>DATE(2011,5,2) + TIME(17,36,32)</f>
        <v>40665.733703703707</v>
      </c>
      <c r="C693">
        <v>80</v>
      </c>
      <c r="D693">
        <v>76.027320861999996</v>
      </c>
      <c r="E693">
        <v>50</v>
      </c>
      <c r="F693">
        <v>49.113307953000003</v>
      </c>
      <c r="G693">
        <v>1543.7216797000001</v>
      </c>
      <c r="H693">
        <v>1408.5985106999999</v>
      </c>
      <c r="I693">
        <v>1196.5596923999999</v>
      </c>
      <c r="J693">
        <v>1002.9153442</v>
      </c>
      <c r="K693">
        <v>2400</v>
      </c>
      <c r="L693">
        <v>0</v>
      </c>
      <c r="M693">
        <v>0</v>
      </c>
      <c r="N693">
        <v>2400</v>
      </c>
    </row>
    <row r="694" spans="1:14" x14ac:dyDescent="0.25">
      <c r="A694">
        <v>366.83023400000002</v>
      </c>
      <c r="B694" s="1">
        <f>DATE(2011,5,2) + TIME(19,55,32)</f>
        <v>40665.830231481479</v>
      </c>
      <c r="C694">
        <v>80</v>
      </c>
      <c r="D694">
        <v>76.469879149999997</v>
      </c>
      <c r="E694">
        <v>50</v>
      </c>
      <c r="F694">
        <v>49.099925995</v>
      </c>
      <c r="G694">
        <v>1548.9244385</v>
      </c>
      <c r="H694">
        <v>1414.5888672000001</v>
      </c>
      <c r="I694">
        <v>1190.9228516000001</v>
      </c>
      <c r="J694">
        <v>997.26922606999995</v>
      </c>
      <c r="K694">
        <v>2400</v>
      </c>
      <c r="L694">
        <v>0</v>
      </c>
      <c r="M694">
        <v>0</v>
      </c>
      <c r="N694">
        <v>2400</v>
      </c>
    </row>
    <row r="695" spans="1:14" x14ac:dyDescent="0.25">
      <c r="A695">
        <v>366.92761300000001</v>
      </c>
      <c r="B695" s="1">
        <f>DATE(2011,5,2) + TIME(22,15,45)</f>
        <v>40665.927604166667</v>
      </c>
      <c r="C695">
        <v>80</v>
      </c>
      <c r="D695">
        <v>76.865562439000001</v>
      </c>
      <c r="E695">
        <v>50</v>
      </c>
      <c r="F695">
        <v>49.086383820000002</v>
      </c>
      <c r="G695">
        <v>1553.9613036999999</v>
      </c>
      <c r="H695">
        <v>1420.3339844</v>
      </c>
      <c r="I695">
        <v>1185.5025635</v>
      </c>
      <c r="J695">
        <v>991.83923340000001</v>
      </c>
      <c r="K695">
        <v>2400</v>
      </c>
      <c r="L695">
        <v>0</v>
      </c>
      <c r="M695">
        <v>0</v>
      </c>
      <c r="N695">
        <v>2400</v>
      </c>
    </row>
    <row r="696" spans="1:14" x14ac:dyDescent="0.25">
      <c r="A696">
        <v>367.02607599999999</v>
      </c>
      <c r="B696" s="1">
        <f>DATE(2011,5,3) + TIME(0,37,32)</f>
        <v>40666.026064814818</v>
      </c>
      <c r="C696">
        <v>80</v>
      </c>
      <c r="D696">
        <v>77.219795227000006</v>
      </c>
      <c r="E696">
        <v>50</v>
      </c>
      <c r="F696">
        <v>49.072650908999996</v>
      </c>
      <c r="G696">
        <v>1558.8742675999999</v>
      </c>
      <c r="H696">
        <v>1425.8839111</v>
      </c>
      <c r="I696">
        <v>1180.2680664</v>
      </c>
      <c r="J696">
        <v>986.59472656000003</v>
      </c>
      <c r="K696">
        <v>2400</v>
      </c>
      <c r="L696">
        <v>0</v>
      </c>
      <c r="M696">
        <v>0</v>
      </c>
      <c r="N696">
        <v>2400</v>
      </c>
    </row>
    <row r="697" spans="1:14" x14ac:dyDescent="0.25">
      <c r="A697">
        <v>367.12592000000001</v>
      </c>
      <c r="B697" s="1">
        <f>DATE(2011,5,3) + TIME(3,1,19)</f>
        <v>40666.125914351855</v>
      </c>
      <c r="C697">
        <v>80</v>
      </c>
      <c r="D697">
        <v>77.537376404</v>
      </c>
      <c r="E697">
        <v>50</v>
      </c>
      <c r="F697">
        <v>49.058704376000001</v>
      </c>
      <c r="G697">
        <v>1563.6914062000001</v>
      </c>
      <c r="H697">
        <v>1431.2755127</v>
      </c>
      <c r="I697">
        <v>1175.1898193</v>
      </c>
      <c r="J697">
        <v>981.50592041000004</v>
      </c>
      <c r="K697">
        <v>2400</v>
      </c>
      <c r="L697">
        <v>0</v>
      </c>
      <c r="M697">
        <v>0</v>
      </c>
      <c r="N697">
        <v>2400</v>
      </c>
    </row>
    <row r="698" spans="1:14" x14ac:dyDescent="0.25">
      <c r="A698">
        <v>367.227396</v>
      </c>
      <c r="B698" s="1">
        <f>DATE(2011,5,3) + TIME(5,27,27)</f>
        <v>40666.227395833332</v>
      </c>
      <c r="C698">
        <v>80</v>
      </c>
      <c r="D698">
        <v>77.822250366000006</v>
      </c>
      <c r="E698">
        <v>50</v>
      </c>
      <c r="F698">
        <v>49.044517517000003</v>
      </c>
      <c r="G698">
        <v>1568.4311522999999</v>
      </c>
      <c r="H698">
        <v>1436.5343018000001</v>
      </c>
      <c r="I698">
        <v>1170.2440185999999</v>
      </c>
      <c r="J698">
        <v>976.54931640999996</v>
      </c>
      <c r="K698">
        <v>2400</v>
      </c>
      <c r="L698">
        <v>0</v>
      </c>
      <c r="M698">
        <v>0</v>
      </c>
      <c r="N698">
        <v>2400</v>
      </c>
    </row>
    <row r="699" spans="1:14" x14ac:dyDescent="0.25">
      <c r="A699">
        <v>367.33075200000002</v>
      </c>
      <c r="B699" s="1">
        <f>DATE(2011,5,3) + TIME(7,56,16)</f>
        <v>40666.330740740741</v>
      </c>
      <c r="C699">
        <v>80</v>
      </c>
      <c r="D699">
        <v>78.077812195000007</v>
      </c>
      <c r="E699">
        <v>50</v>
      </c>
      <c r="F699">
        <v>49.030071259000003</v>
      </c>
      <c r="G699">
        <v>1573.1079102000001</v>
      </c>
      <c r="H699">
        <v>1441.6807861</v>
      </c>
      <c r="I699">
        <v>1165.4105225000001</v>
      </c>
      <c r="J699">
        <v>971.70452881000006</v>
      </c>
      <c r="K699">
        <v>2400</v>
      </c>
      <c r="L699">
        <v>0</v>
      </c>
      <c r="M699">
        <v>0</v>
      </c>
      <c r="N699">
        <v>2400</v>
      </c>
    </row>
    <row r="700" spans="1:14" x14ac:dyDescent="0.25">
      <c r="A700">
        <v>367.43626399999999</v>
      </c>
      <c r="B700" s="1">
        <f>DATE(2011,5,3) + TIME(10,28,13)</f>
        <v>40666.436261574076</v>
      </c>
      <c r="C700">
        <v>80</v>
      </c>
      <c r="D700">
        <v>78.307075499999996</v>
      </c>
      <c r="E700">
        <v>50</v>
      </c>
      <c r="F700">
        <v>49.015331267999997</v>
      </c>
      <c r="G700">
        <v>1577.7352295000001</v>
      </c>
      <c r="H700">
        <v>1446.7335204999999</v>
      </c>
      <c r="I700">
        <v>1160.6704102000001</v>
      </c>
      <c r="J700">
        <v>966.95281981999995</v>
      </c>
      <c r="K700">
        <v>2400</v>
      </c>
      <c r="L700">
        <v>0</v>
      </c>
      <c r="M700">
        <v>0</v>
      </c>
      <c r="N700">
        <v>2400</v>
      </c>
    </row>
    <row r="701" spans="1:14" x14ac:dyDescent="0.25">
      <c r="A701">
        <v>367.544219</v>
      </c>
      <c r="B701" s="1">
        <f>DATE(2011,5,3) + TIME(13,3,40)</f>
        <v>40666.544212962966</v>
      </c>
      <c r="C701">
        <v>80</v>
      </c>
      <c r="D701">
        <v>78.512657165999997</v>
      </c>
      <c r="E701">
        <v>50</v>
      </c>
      <c r="F701">
        <v>49.000274658000002</v>
      </c>
      <c r="G701">
        <v>1582.3245850000001</v>
      </c>
      <c r="H701">
        <v>1451.7091064000001</v>
      </c>
      <c r="I701">
        <v>1156.0069579999999</v>
      </c>
      <c r="J701">
        <v>962.27734375</v>
      </c>
      <c r="K701">
        <v>2400</v>
      </c>
      <c r="L701">
        <v>0</v>
      </c>
      <c r="M701">
        <v>0</v>
      </c>
      <c r="N701">
        <v>2400</v>
      </c>
    </row>
    <row r="702" spans="1:14" x14ac:dyDescent="0.25">
      <c r="A702">
        <v>367.654922</v>
      </c>
      <c r="B702" s="1">
        <f>DATE(2011,5,3) + TIME(15,43,5)</f>
        <v>40666.654918981483</v>
      </c>
      <c r="C702">
        <v>80</v>
      </c>
      <c r="D702">
        <v>78.696853637999993</v>
      </c>
      <c r="E702">
        <v>50</v>
      </c>
      <c r="F702">
        <v>48.984867096000002</v>
      </c>
      <c r="G702">
        <v>1586.8870850000001</v>
      </c>
      <c r="H702">
        <v>1456.6221923999999</v>
      </c>
      <c r="I702">
        <v>1151.4049072</v>
      </c>
      <c r="J702">
        <v>957.66278076000003</v>
      </c>
      <c r="K702">
        <v>2400</v>
      </c>
      <c r="L702">
        <v>0</v>
      </c>
      <c r="M702">
        <v>0</v>
      </c>
      <c r="N702">
        <v>2400</v>
      </c>
    </row>
    <row r="703" spans="1:14" x14ac:dyDescent="0.25">
      <c r="A703">
        <v>367.76870100000002</v>
      </c>
      <c r="B703" s="1">
        <f>DATE(2011,5,3) + TIME(18,26,55)</f>
        <v>40666.768692129626</v>
      </c>
      <c r="C703">
        <v>80</v>
      </c>
      <c r="D703">
        <v>78.861701964999995</v>
      </c>
      <c r="E703">
        <v>50</v>
      </c>
      <c r="F703">
        <v>48.969081879000001</v>
      </c>
      <c r="G703">
        <v>1591.4326172000001</v>
      </c>
      <c r="H703">
        <v>1461.4863281</v>
      </c>
      <c r="I703">
        <v>1146.8499756000001</v>
      </c>
      <c r="J703">
        <v>953.09503173999997</v>
      </c>
      <c r="K703">
        <v>2400</v>
      </c>
      <c r="L703">
        <v>0</v>
      </c>
      <c r="M703">
        <v>0</v>
      </c>
      <c r="N703">
        <v>2400</v>
      </c>
    </row>
    <row r="704" spans="1:14" x14ac:dyDescent="0.25">
      <c r="A704">
        <v>367.88591400000001</v>
      </c>
      <c r="B704" s="1">
        <f>DATE(2011,5,3) + TIME(21,15,42)</f>
        <v>40666.88590277778</v>
      </c>
      <c r="C704">
        <v>80</v>
      </c>
      <c r="D704">
        <v>79.009025574000006</v>
      </c>
      <c r="E704">
        <v>50</v>
      </c>
      <c r="F704">
        <v>48.952873230000002</v>
      </c>
      <c r="G704">
        <v>1595.9708252</v>
      </c>
      <c r="H704">
        <v>1466.3140868999999</v>
      </c>
      <c r="I704">
        <v>1142.3289795000001</v>
      </c>
      <c r="J704">
        <v>948.56072998000002</v>
      </c>
      <c r="K704">
        <v>2400</v>
      </c>
      <c r="L704">
        <v>0</v>
      </c>
      <c r="M704">
        <v>0</v>
      </c>
      <c r="N704">
        <v>2400</v>
      </c>
    </row>
    <row r="705" spans="1:14" x14ac:dyDescent="0.25">
      <c r="A705">
        <v>368.00695100000002</v>
      </c>
      <c r="B705" s="1">
        <f>DATE(2011,5,4) + TIME(0,10,0)</f>
        <v>40667.006944444445</v>
      </c>
      <c r="C705">
        <v>80</v>
      </c>
      <c r="D705">
        <v>79.140441894999995</v>
      </c>
      <c r="E705">
        <v>50</v>
      </c>
      <c r="F705">
        <v>48.936210631999998</v>
      </c>
      <c r="G705">
        <v>1600.5108643000001</v>
      </c>
      <c r="H705">
        <v>1471.1174315999999</v>
      </c>
      <c r="I705">
        <v>1137.8292236</v>
      </c>
      <c r="J705">
        <v>944.04724121000004</v>
      </c>
      <c r="K705">
        <v>2400</v>
      </c>
      <c r="L705">
        <v>0</v>
      </c>
      <c r="M705">
        <v>0</v>
      </c>
      <c r="N705">
        <v>2400</v>
      </c>
    </row>
    <row r="706" spans="1:14" x14ac:dyDescent="0.25">
      <c r="A706">
        <v>368.13224600000001</v>
      </c>
      <c r="B706" s="1">
        <f>DATE(2011,5,4) + TIME(3,10,26)</f>
        <v>40667.132245370369</v>
      </c>
      <c r="C706">
        <v>80</v>
      </c>
      <c r="D706">
        <v>79.257400512999993</v>
      </c>
      <c r="E706">
        <v>50</v>
      </c>
      <c r="F706">
        <v>48.919040680000002</v>
      </c>
      <c r="G706">
        <v>1605.0621338000001</v>
      </c>
      <c r="H706">
        <v>1475.9082031</v>
      </c>
      <c r="I706">
        <v>1133.3383789</v>
      </c>
      <c r="J706">
        <v>939.54217529000005</v>
      </c>
      <c r="K706">
        <v>2400</v>
      </c>
      <c r="L706">
        <v>0</v>
      </c>
      <c r="M706">
        <v>0</v>
      </c>
      <c r="N706">
        <v>2400</v>
      </c>
    </row>
    <row r="707" spans="1:14" x14ac:dyDescent="0.25">
      <c r="A707">
        <v>368.26232099999999</v>
      </c>
      <c r="B707" s="1">
        <f>DATE(2011,5,4) + TIME(6,17,44)</f>
        <v>40667.262314814812</v>
      </c>
      <c r="C707">
        <v>80</v>
      </c>
      <c r="D707">
        <v>79.361236571999996</v>
      </c>
      <c r="E707">
        <v>50</v>
      </c>
      <c r="F707">
        <v>48.901313782000003</v>
      </c>
      <c r="G707">
        <v>1609.6352539</v>
      </c>
      <c r="H707">
        <v>1480.6989745999999</v>
      </c>
      <c r="I707">
        <v>1128.8431396000001</v>
      </c>
      <c r="J707">
        <v>935.03222656000003</v>
      </c>
      <c r="K707">
        <v>2400</v>
      </c>
      <c r="L707">
        <v>0</v>
      </c>
      <c r="M707">
        <v>0</v>
      </c>
      <c r="N707">
        <v>2400</v>
      </c>
    </row>
    <row r="708" spans="1:14" x14ac:dyDescent="0.25">
      <c r="A708">
        <v>368.39775300000002</v>
      </c>
      <c r="B708" s="1">
        <f>DATE(2011,5,4) + TIME(9,32,45)</f>
        <v>40667.397743055553</v>
      </c>
      <c r="C708">
        <v>80</v>
      </c>
      <c r="D708">
        <v>79.453147888000004</v>
      </c>
      <c r="E708">
        <v>50</v>
      </c>
      <c r="F708">
        <v>48.882968902999998</v>
      </c>
      <c r="G708">
        <v>1614.2403564000001</v>
      </c>
      <c r="H708">
        <v>1485.5023193</v>
      </c>
      <c r="I708">
        <v>1124.3305664</v>
      </c>
      <c r="J708">
        <v>930.50427246000004</v>
      </c>
      <c r="K708">
        <v>2400</v>
      </c>
      <c r="L708">
        <v>0</v>
      </c>
      <c r="M708">
        <v>0</v>
      </c>
      <c r="N708">
        <v>2400</v>
      </c>
    </row>
    <row r="709" spans="1:14" x14ac:dyDescent="0.25">
      <c r="A709">
        <v>368.53859999999997</v>
      </c>
      <c r="B709" s="1">
        <f>DATE(2011,5,4) + TIME(12,55,35)</f>
        <v>40667.538599537038</v>
      </c>
      <c r="C709">
        <v>80</v>
      </c>
      <c r="D709">
        <v>79.533920288000004</v>
      </c>
      <c r="E709">
        <v>50</v>
      </c>
      <c r="F709">
        <v>48.864002227999997</v>
      </c>
      <c r="G709">
        <v>1618.8680420000001</v>
      </c>
      <c r="H709">
        <v>1490.3095702999999</v>
      </c>
      <c r="I709">
        <v>1119.8055420000001</v>
      </c>
      <c r="J709">
        <v>925.96350098000005</v>
      </c>
      <c r="K709">
        <v>2400</v>
      </c>
      <c r="L709">
        <v>0</v>
      </c>
      <c r="M709">
        <v>0</v>
      </c>
      <c r="N709">
        <v>2400</v>
      </c>
    </row>
    <row r="710" spans="1:14" x14ac:dyDescent="0.25">
      <c r="A710">
        <v>368.68527599999999</v>
      </c>
      <c r="B710" s="1">
        <f>DATE(2011,5,4) + TIME(16,26,47)</f>
        <v>40667.685266203705</v>
      </c>
      <c r="C710">
        <v>80</v>
      </c>
      <c r="D710">
        <v>79.604530334000003</v>
      </c>
      <c r="E710">
        <v>50</v>
      </c>
      <c r="F710">
        <v>48.844379425</v>
      </c>
      <c r="G710">
        <v>1623.5213623</v>
      </c>
      <c r="H710">
        <v>1495.1254882999999</v>
      </c>
      <c r="I710">
        <v>1115.2628173999999</v>
      </c>
      <c r="J710">
        <v>921.40435791000004</v>
      </c>
      <c r="K710">
        <v>2400</v>
      </c>
      <c r="L710">
        <v>0</v>
      </c>
      <c r="M710">
        <v>0</v>
      </c>
      <c r="N710">
        <v>2400</v>
      </c>
    </row>
    <row r="711" spans="1:14" x14ac:dyDescent="0.25">
      <c r="A711">
        <v>368.83835800000003</v>
      </c>
      <c r="B711" s="1">
        <f>DATE(2011,5,4) + TIME(20,7,14)</f>
        <v>40667.838356481479</v>
      </c>
      <c r="C711">
        <v>80</v>
      </c>
      <c r="D711">
        <v>79.665946959999999</v>
      </c>
      <c r="E711">
        <v>50</v>
      </c>
      <c r="F711">
        <v>48.824035645000002</v>
      </c>
      <c r="G711">
        <v>1628.2071533000001</v>
      </c>
      <c r="H711">
        <v>1499.9584961</v>
      </c>
      <c r="I711">
        <v>1110.6929932</v>
      </c>
      <c r="J711">
        <v>916.81762694999998</v>
      </c>
      <c r="K711">
        <v>2400</v>
      </c>
      <c r="L711">
        <v>0</v>
      </c>
      <c r="M711">
        <v>0</v>
      </c>
      <c r="N711">
        <v>2400</v>
      </c>
    </row>
    <row r="712" spans="1:14" x14ac:dyDescent="0.25">
      <c r="A712">
        <v>368.99859800000002</v>
      </c>
      <c r="B712" s="1">
        <f>DATE(2011,5,4) + TIME(23,57,58)</f>
        <v>40667.99858796296</v>
      </c>
      <c r="C712">
        <v>80</v>
      </c>
      <c r="D712">
        <v>79.719108582000004</v>
      </c>
      <c r="E712">
        <v>50</v>
      </c>
      <c r="F712">
        <v>48.802902222</v>
      </c>
      <c r="G712">
        <v>1632.9354248</v>
      </c>
      <c r="H712">
        <v>1504.8200684000001</v>
      </c>
      <c r="I712">
        <v>1106.0839844</v>
      </c>
      <c r="J712">
        <v>912.19116211000005</v>
      </c>
      <c r="K712">
        <v>2400</v>
      </c>
      <c r="L712">
        <v>0</v>
      </c>
      <c r="M712">
        <v>0</v>
      </c>
      <c r="N712">
        <v>2400</v>
      </c>
    </row>
    <row r="713" spans="1:14" x14ac:dyDescent="0.25">
      <c r="A713">
        <v>369.16686700000002</v>
      </c>
      <c r="B713" s="1">
        <f>DATE(2011,5,5) + TIME(4,0,17)</f>
        <v>40668.166863425926</v>
      </c>
      <c r="C713">
        <v>80</v>
      </c>
      <c r="D713">
        <v>79.764839171999995</v>
      </c>
      <c r="E713">
        <v>50</v>
      </c>
      <c r="F713">
        <v>48.780883789000001</v>
      </c>
      <c r="G713">
        <v>1637.7167969</v>
      </c>
      <c r="H713">
        <v>1509.7220459</v>
      </c>
      <c r="I713">
        <v>1101.4232178</v>
      </c>
      <c r="J713">
        <v>907.51202393000005</v>
      </c>
      <c r="K713">
        <v>2400</v>
      </c>
      <c r="L713">
        <v>0</v>
      </c>
      <c r="M713">
        <v>0</v>
      </c>
      <c r="N713">
        <v>2400</v>
      </c>
    </row>
    <row r="714" spans="1:14" x14ac:dyDescent="0.25">
      <c r="A714">
        <v>369.344179</v>
      </c>
      <c r="B714" s="1">
        <f>DATE(2011,5,5) + TIME(8,15,37)</f>
        <v>40668.344178240739</v>
      </c>
      <c r="C714">
        <v>80</v>
      </c>
      <c r="D714">
        <v>79.803909301999994</v>
      </c>
      <c r="E714">
        <v>50</v>
      </c>
      <c r="F714">
        <v>48.757884979000004</v>
      </c>
      <c r="G714">
        <v>1642.5626221</v>
      </c>
      <c r="H714">
        <v>1514.6773682</v>
      </c>
      <c r="I714">
        <v>1096.6965332</v>
      </c>
      <c r="J714">
        <v>902.76635741999996</v>
      </c>
      <c r="K714">
        <v>2400</v>
      </c>
      <c r="L714">
        <v>0</v>
      </c>
      <c r="M714">
        <v>0</v>
      </c>
      <c r="N714">
        <v>2400</v>
      </c>
    </row>
    <row r="715" spans="1:14" x14ac:dyDescent="0.25">
      <c r="A715">
        <v>369.53169700000001</v>
      </c>
      <c r="B715" s="1">
        <f>DATE(2011,5,5) + TIME(12,45,38)</f>
        <v>40668.531689814816</v>
      </c>
      <c r="C715">
        <v>80</v>
      </c>
      <c r="D715">
        <v>79.837013244999994</v>
      </c>
      <c r="E715">
        <v>50</v>
      </c>
      <c r="F715">
        <v>48.733787536999998</v>
      </c>
      <c r="G715">
        <v>1647.4847411999999</v>
      </c>
      <c r="H715">
        <v>1519.6987305</v>
      </c>
      <c r="I715">
        <v>1091.8896483999999</v>
      </c>
      <c r="J715">
        <v>897.93975829999999</v>
      </c>
      <c r="K715">
        <v>2400</v>
      </c>
      <c r="L715">
        <v>0</v>
      </c>
      <c r="M715">
        <v>0</v>
      </c>
      <c r="N715">
        <v>2400</v>
      </c>
    </row>
    <row r="716" spans="1:14" x14ac:dyDescent="0.25">
      <c r="A716">
        <v>369.73085600000002</v>
      </c>
      <c r="B716" s="1">
        <f>DATE(2011,5,5) + TIME(17,32,25)</f>
        <v>40668.730844907404</v>
      </c>
      <c r="C716">
        <v>80</v>
      </c>
      <c r="D716">
        <v>79.864799500000004</v>
      </c>
      <c r="E716">
        <v>50</v>
      </c>
      <c r="F716">
        <v>48.708446502999998</v>
      </c>
      <c r="G716">
        <v>1652.4980469</v>
      </c>
      <c r="H716">
        <v>1524.8022461</v>
      </c>
      <c r="I716">
        <v>1086.9853516000001</v>
      </c>
      <c r="J716">
        <v>893.01477050999995</v>
      </c>
      <c r="K716">
        <v>2400</v>
      </c>
      <c r="L716">
        <v>0</v>
      </c>
      <c r="M716">
        <v>0</v>
      </c>
      <c r="N716">
        <v>2400</v>
      </c>
    </row>
    <row r="717" spans="1:14" x14ac:dyDescent="0.25">
      <c r="A717">
        <v>369.93328200000002</v>
      </c>
      <c r="B717" s="1">
        <f>DATE(2011,5,5) + TIME(22,23,55)</f>
        <v>40668.933275462965</v>
      </c>
      <c r="C717">
        <v>80</v>
      </c>
      <c r="D717">
        <v>79.886947632000002</v>
      </c>
      <c r="E717">
        <v>50</v>
      </c>
      <c r="F717">
        <v>48.682689666999998</v>
      </c>
      <c r="G717">
        <v>1657.3645019999999</v>
      </c>
      <c r="H717">
        <v>1529.7487793</v>
      </c>
      <c r="I717">
        <v>1082.1926269999999</v>
      </c>
      <c r="J717">
        <v>888.20117187999995</v>
      </c>
      <c r="K717">
        <v>2400</v>
      </c>
      <c r="L717">
        <v>0</v>
      </c>
      <c r="M717">
        <v>0</v>
      </c>
      <c r="N717">
        <v>2400</v>
      </c>
    </row>
    <row r="718" spans="1:14" x14ac:dyDescent="0.25">
      <c r="A718">
        <v>370.13612699999999</v>
      </c>
      <c r="B718" s="1">
        <f>DATE(2011,5,6) + TIME(3,16,1)</f>
        <v>40669.136122685188</v>
      </c>
      <c r="C718">
        <v>80</v>
      </c>
      <c r="D718">
        <v>79.904304503999995</v>
      </c>
      <c r="E718">
        <v>50</v>
      </c>
      <c r="F718">
        <v>48.656829834</v>
      </c>
      <c r="G718">
        <v>1662.0306396000001</v>
      </c>
      <c r="H718">
        <v>1534.4851074000001</v>
      </c>
      <c r="I718">
        <v>1077.5700684000001</v>
      </c>
      <c r="J718">
        <v>883.55786133000004</v>
      </c>
      <c r="K718">
        <v>2400</v>
      </c>
      <c r="L718">
        <v>0</v>
      </c>
      <c r="M718">
        <v>0</v>
      </c>
      <c r="N718">
        <v>2400</v>
      </c>
    </row>
    <row r="719" spans="1:14" x14ac:dyDescent="0.25">
      <c r="A719">
        <v>370.34001000000001</v>
      </c>
      <c r="B719" s="1">
        <f>DATE(2011,5,6) + TIME(8,9,36)</f>
        <v>40669.339999999997</v>
      </c>
      <c r="C719">
        <v>80</v>
      </c>
      <c r="D719">
        <v>79.917907714999998</v>
      </c>
      <c r="E719">
        <v>50</v>
      </c>
      <c r="F719">
        <v>48.630855560000001</v>
      </c>
      <c r="G719">
        <v>1666.5300293</v>
      </c>
      <c r="H719">
        <v>1539.0460204999999</v>
      </c>
      <c r="I719">
        <v>1073.0944824000001</v>
      </c>
      <c r="J719">
        <v>879.06146239999998</v>
      </c>
      <c r="K719">
        <v>2400</v>
      </c>
      <c r="L719">
        <v>0</v>
      </c>
      <c r="M719">
        <v>0</v>
      </c>
      <c r="N719">
        <v>2400</v>
      </c>
    </row>
    <row r="720" spans="1:14" x14ac:dyDescent="0.25">
      <c r="A720">
        <v>370.54554300000001</v>
      </c>
      <c r="B720" s="1">
        <f>DATE(2011,5,6) + TIME(13,5,34)</f>
        <v>40669.545532407406</v>
      </c>
      <c r="C720">
        <v>80</v>
      </c>
      <c r="D720">
        <v>79.928527832</v>
      </c>
      <c r="E720">
        <v>50</v>
      </c>
      <c r="F720">
        <v>48.604728698999999</v>
      </c>
      <c r="G720">
        <v>1670.8863524999999</v>
      </c>
      <c r="H720">
        <v>1543.4567870999999</v>
      </c>
      <c r="I720">
        <v>1068.7451172000001</v>
      </c>
      <c r="J720">
        <v>874.69134521000001</v>
      </c>
      <c r="K720">
        <v>2400</v>
      </c>
      <c r="L720">
        <v>0</v>
      </c>
      <c r="M720">
        <v>0</v>
      </c>
      <c r="N720">
        <v>2400</v>
      </c>
    </row>
    <row r="721" spans="1:14" x14ac:dyDescent="0.25">
      <c r="A721">
        <v>370.75333799999999</v>
      </c>
      <c r="B721" s="1">
        <f>DATE(2011,5,6) + TIME(18,4,48)</f>
        <v>40669.753333333334</v>
      </c>
      <c r="C721">
        <v>80</v>
      </c>
      <c r="D721">
        <v>79.936782836999996</v>
      </c>
      <c r="E721">
        <v>50</v>
      </c>
      <c r="F721">
        <v>48.578414917000003</v>
      </c>
      <c r="G721">
        <v>1675.1190185999999</v>
      </c>
      <c r="H721">
        <v>1547.7380370999999</v>
      </c>
      <c r="I721">
        <v>1064.5039062000001</v>
      </c>
      <c r="J721">
        <v>870.42913818</v>
      </c>
      <c r="K721">
        <v>2400</v>
      </c>
      <c r="L721">
        <v>0</v>
      </c>
      <c r="M721">
        <v>0</v>
      </c>
      <c r="N721">
        <v>2400</v>
      </c>
    </row>
    <row r="722" spans="1:14" x14ac:dyDescent="0.25">
      <c r="A722">
        <v>370.96386799999999</v>
      </c>
      <c r="B722" s="1">
        <f>DATE(2011,5,6) + TIME(23,7,58)</f>
        <v>40669.963865740741</v>
      </c>
      <c r="C722">
        <v>80</v>
      </c>
      <c r="D722">
        <v>79.943153381000002</v>
      </c>
      <c r="E722">
        <v>50</v>
      </c>
      <c r="F722">
        <v>48.551872252999999</v>
      </c>
      <c r="G722">
        <v>1679.2414550999999</v>
      </c>
      <c r="H722">
        <v>1551.9041748</v>
      </c>
      <c r="I722">
        <v>1060.3570557</v>
      </c>
      <c r="J722">
        <v>866.26135253999996</v>
      </c>
      <c r="K722">
        <v>2400</v>
      </c>
      <c r="L722">
        <v>0</v>
      </c>
      <c r="M722">
        <v>0</v>
      </c>
      <c r="N722">
        <v>2400</v>
      </c>
    </row>
    <row r="723" spans="1:14" x14ac:dyDescent="0.25">
      <c r="A723">
        <v>371.17767900000001</v>
      </c>
      <c r="B723" s="1">
        <f>DATE(2011,5,7) + TIME(4,15,51)</f>
        <v>40670.177673611113</v>
      </c>
      <c r="C723">
        <v>80</v>
      </c>
      <c r="D723">
        <v>79.947998046999999</v>
      </c>
      <c r="E723">
        <v>50</v>
      </c>
      <c r="F723">
        <v>48.525062560999999</v>
      </c>
      <c r="G723">
        <v>1683.2669678</v>
      </c>
      <c r="H723">
        <v>1555.9693603999999</v>
      </c>
      <c r="I723">
        <v>1056.2913818</v>
      </c>
      <c r="J723">
        <v>862.17456055000002</v>
      </c>
      <c r="K723">
        <v>2400</v>
      </c>
      <c r="L723">
        <v>0</v>
      </c>
      <c r="M723">
        <v>0</v>
      </c>
      <c r="N723">
        <v>2400</v>
      </c>
    </row>
    <row r="724" spans="1:14" x14ac:dyDescent="0.25">
      <c r="A724">
        <v>371.395332</v>
      </c>
      <c r="B724" s="1">
        <f>DATE(2011,5,7) + TIME(9,29,16)</f>
        <v>40670.395324074074</v>
      </c>
      <c r="C724">
        <v>80</v>
      </c>
      <c r="D724">
        <v>79.951622009000005</v>
      </c>
      <c r="E724">
        <v>50</v>
      </c>
      <c r="F724">
        <v>48.497932433999999</v>
      </c>
      <c r="G724">
        <v>1687.2076416</v>
      </c>
      <c r="H724">
        <v>1559.9462891000001</v>
      </c>
      <c r="I724">
        <v>1052.2947998</v>
      </c>
      <c r="J724">
        <v>858.15667725000003</v>
      </c>
      <c r="K724">
        <v>2400</v>
      </c>
      <c r="L724">
        <v>0</v>
      </c>
      <c r="M724">
        <v>0</v>
      </c>
      <c r="N724">
        <v>2400</v>
      </c>
    </row>
    <row r="725" spans="1:14" x14ac:dyDescent="0.25">
      <c r="A725">
        <v>371.61740900000001</v>
      </c>
      <c r="B725" s="1">
        <f>DATE(2011,5,7) + TIME(14,49,4)</f>
        <v>40670.617407407408</v>
      </c>
      <c r="C725">
        <v>80</v>
      </c>
      <c r="D725">
        <v>79.954269409000005</v>
      </c>
      <c r="E725">
        <v>50</v>
      </c>
      <c r="F725">
        <v>48.470428466999998</v>
      </c>
      <c r="G725">
        <v>1691.0740966999999</v>
      </c>
      <c r="H725">
        <v>1563.8460693</v>
      </c>
      <c r="I725">
        <v>1048.3564452999999</v>
      </c>
      <c r="J725">
        <v>854.19677734000004</v>
      </c>
      <c r="K725">
        <v>2400</v>
      </c>
      <c r="L725">
        <v>0</v>
      </c>
      <c r="M725">
        <v>0</v>
      </c>
      <c r="N725">
        <v>2400</v>
      </c>
    </row>
    <row r="726" spans="1:14" x14ac:dyDescent="0.25">
      <c r="A726">
        <v>371.84452499999998</v>
      </c>
      <c r="B726" s="1">
        <f>DATE(2011,5,7) + TIME(20,16,6)</f>
        <v>40670.844513888886</v>
      </c>
      <c r="C726">
        <v>80</v>
      </c>
      <c r="D726">
        <v>79.956130981000001</v>
      </c>
      <c r="E726">
        <v>50</v>
      </c>
      <c r="F726">
        <v>48.442497252999999</v>
      </c>
      <c r="G726">
        <v>1694.8759766000001</v>
      </c>
      <c r="H726">
        <v>1567.6789550999999</v>
      </c>
      <c r="I726">
        <v>1044.4659423999999</v>
      </c>
      <c r="J726">
        <v>850.28454590000001</v>
      </c>
      <c r="K726">
        <v>2400</v>
      </c>
      <c r="L726">
        <v>0</v>
      </c>
      <c r="M726">
        <v>0</v>
      </c>
      <c r="N726">
        <v>2400</v>
      </c>
    </row>
    <row r="727" spans="1:14" x14ac:dyDescent="0.25">
      <c r="A727">
        <v>372.07733899999999</v>
      </c>
      <c r="B727" s="1">
        <f>DATE(2011,5,8) + TIME(1,51,22)</f>
        <v>40671.077337962961</v>
      </c>
      <c r="C727">
        <v>80</v>
      </c>
      <c r="D727">
        <v>79.957359314000001</v>
      </c>
      <c r="E727">
        <v>50</v>
      </c>
      <c r="F727">
        <v>48.414066314999999</v>
      </c>
      <c r="G727">
        <v>1698.6224365</v>
      </c>
      <c r="H727">
        <v>1571.4544678</v>
      </c>
      <c r="I727">
        <v>1040.6138916</v>
      </c>
      <c r="J727">
        <v>846.41052246000004</v>
      </c>
      <c r="K727">
        <v>2400</v>
      </c>
      <c r="L727">
        <v>0</v>
      </c>
      <c r="M727">
        <v>0</v>
      </c>
      <c r="N727">
        <v>2400</v>
      </c>
    </row>
    <row r="728" spans="1:14" x14ac:dyDescent="0.25">
      <c r="A728">
        <v>372.31656500000003</v>
      </c>
      <c r="B728" s="1">
        <f>DATE(2011,5,8) + TIME(7,35,51)</f>
        <v>40671.316562499997</v>
      </c>
      <c r="C728">
        <v>80</v>
      </c>
      <c r="D728">
        <v>79.958084106000001</v>
      </c>
      <c r="E728">
        <v>50</v>
      </c>
      <c r="F728">
        <v>48.385066985999998</v>
      </c>
      <c r="G728">
        <v>1702.3221435999999</v>
      </c>
      <c r="H728">
        <v>1575.1812743999999</v>
      </c>
      <c r="I728">
        <v>1036.7912598</v>
      </c>
      <c r="J728">
        <v>842.56549071999996</v>
      </c>
      <c r="K728">
        <v>2400</v>
      </c>
      <c r="L728">
        <v>0</v>
      </c>
      <c r="M728">
        <v>0</v>
      </c>
      <c r="N728">
        <v>2400</v>
      </c>
    </row>
    <row r="729" spans="1:14" x14ac:dyDescent="0.25">
      <c r="A729">
        <v>372.56298900000002</v>
      </c>
      <c r="B729" s="1">
        <f>DATE(2011,5,8) + TIME(13,30,42)</f>
        <v>40671.562986111108</v>
      </c>
      <c r="C729">
        <v>80</v>
      </c>
      <c r="D729">
        <v>79.958396911999998</v>
      </c>
      <c r="E729">
        <v>50</v>
      </c>
      <c r="F729">
        <v>48.355430603000002</v>
      </c>
      <c r="G729">
        <v>1705.9832764</v>
      </c>
      <c r="H729">
        <v>1578.8680420000001</v>
      </c>
      <c r="I729">
        <v>1032.9890137</v>
      </c>
      <c r="J729">
        <v>838.74060058999999</v>
      </c>
      <c r="K729">
        <v>2400</v>
      </c>
      <c r="L729">
        <v>0</v>
      </c>
      <c r="M729">
        <v>0</v>
      </c>
      <c r="N729">
        <v>2400</v>
      </c>
    </row>
    <row r="730" spans="1:14" x14ac:dyDescent="0.25">
      <c r="A730">
        <v>372.81749000000002</v>
      </c>
      <c r="B730" s="1">
        <f>DATE(2011,5,8) + TIME(19,37,11)</f>
        <v>40671.817488425928</v>
      </c>
      <c r="C730">
        <v>80</v>
      </c>
      <c r="D730">
        <v>79.958389281999999</v>
      </c>
      <c r="E730">
        <v>50</v>
      </c>
      <c r="F730">
        <v>48.325061798</v>
      </c>
      <c r="G730">
        <v>1709.6137695</v>
      </c>
      <c r="H730">
        <v>1582.5230713000001</v>
      </c>
      <c r="I730">
        <v>1029.1986084</v>
      </c>
      <c r="J730">
        <v>834.92694091999999</v>
      </c>
      <c r="K730">
        <v>2400</v>
      </c>
      <c r="L730">
        <v>0</v>
      </c>
      <c r="M730">
        <v>0</v>
      </c>
      <c r="N730">
        <v>2400</v>
      </c>
    </row>
    <row r="731" spans="1:14" x14ac:dyDescent="0.25">
      <c r="A731">
        <v>373.08123599999999</v>
      </c>
      <c r="B731" s="1">
        <f>DATE(2011,5,9) + TIME(1,56,58)</f>
        <v>40672.081226851849</v>
      </c>
      <c r="C731">
        <v>80</v>
      </c>
      <c r="D731">
        <v>79.958114624000004</v>
      </c>
      <c r="E731">
        <v>50</v>
      </c>
      <c r="F731">
        <v>48.293857574</v>
      </c>
      <c r="G731">
        <v>1713.2244873</v>
      </c>
      <c r="H731">
        <v>1586.1569824000001</v>
      </c>
      <c r="I731">
        <v>1025.4086914</v>
      </c>
      <c r="J731">
        <v>831.11322021000001</v>
      </c>
      <c r="K731">
        <v>2400</v>
      </c>
      <c r="L731">
        <v>0</v>
      </c>
      <c r="M731">
        <v>0</v>
      </c>
      <c r="N731">
        <v>2400</v>
      </c>
    </row>
    <row r="732" spans="1:14" x14ac:dyDescent="0.25">
      <c r="A732">
        <v>373.35515900000001</v>
      </c>
      <c r="B732" s="1">
        <f>DATE(2011,5,9) + TIME(8,31,25)</f>
        <v>40672.355150462965</v>
      </c>
      <c r="C732">
        <v>80</v>
      </c>
      <c r="D732">
        <v>79.957633971999996</v>
      </c>
      <c r="E732">
        <v>50</v>
      </c>
      <c r="F732">
        <v>48.261722564999999</v>
      </c>
      <c r="G732">
        <v>1716.8200684000001</v>
      </c>
      <c r="H732">
        <v>1589.7749022999999</v>
      </c>
      <c r="I732">
        <v>1021.6127319</v>
      </c>
      <c r="J732">
        <v>827.29296875</v>
      </c>
      <c r="K732">
        <v>2400</v>
      </c>
      <c r="L732">
        <v>0</v>
      </c>
      <c r="M732">
        <v>0</v>
      </c>
      <c r="N732">
        <v>2400</v>
      </c>
    </row>
    <row r="733" spans="1:14" x14ac:dyDescent="0.25">
      <c r="A733">
        <v>373.64053999999999</v>
      </c>
      <c r="B733" s="1">
        <f>DATE(2011,5,9) + TIME(15,22,22)</f>
        <v>40672.640532407408</v>
      </c>
      <c r="C733">
        <v>80</v>
      </c>
      <c r="D733">
        <v>79.956993103000002</v>
      </c>
      <c r="E733">
        <v>50</v>
      </c>
      <c r="F733">
        <v>48.228530884000001</v>
      </c>
      <c r="G733">
        <v>1720.4088135</v>
      </c>
      <c r="H733">
        <v>1593.385376</v>
      </c>
      <c r="I733">
        <v>1017.8015746999999</v>
      </c>
      <c r="J733">
        <v>823.45678711000005</v>
      </c>
      <c r="K733">
        <v>2400</v>
      </c>
      <c r="L733">
        <v>0</v>
      </c>
      <c r="M733">
        <v>0</v>
      </c>
      <c r="N733">
        <v>2400</v>
      </c>
    </row>
    <row r="734" spans="1:14" x14ac:dyDescent="0.25">
      <c r="A734">
        <v>373.93684200000001</v>
      </c>
      <c r="B734" s="1">
        <f>DATE(2011,5,9) + TIME(22,29,3)</f>
        <v>40672.936840277776</v>
      </c>
      <c r="C734">
        <v>80</v>
      </c>
      <c r="D734">
        <v>79.956214904999996</v>
      </c>
      <c r="E734">
        <v>50</v>
      </c>
      <c r="F734">
        <v>48.194320679</v>
      </c>
      <c r="G734">
        <v>1723.9736327999999</v>
      </c>
      <c r="H734">
        <v>1596.9710693</v>
      </c>
      <c r="I734">
        <v>1013.9900513</v>
      </c>
      <c r="J734">
        <v>819.61962890999996</v>
      </c>
      <c r="K734">
        <v>2400</v>
      </c>
      <c r="L734">
        <v>0</v>
      </c>
      <c r="M734">
        <v>0</v>
      </c>
      <c r="N734">
        <v>2400</v>
      </c>
    </row>
    <row r="735" spans="1:14" x14ac:dyDescent="0.25">
      <c r="A735">
        <v>374.24492600000002</v>
      </c>
      <c r="B735" s="1">
        <f>DATE(2011,5,10) + TIME(5,52,41)</f>
        <v>40673.24491898148</v>
      </c>
      <c r="C735">
        <v>80</v>
      </c>
      <c r="D735">
        <v>79.955345154</v>
      </c>
      <c r="E735">
        <v>50</v>
      </c>
      <c r="F735">
        <v>48.159015656000001</v>
      </c>
      <c r="G735">
        <v>1727.5175781</v>
      </c>
      <c r="H735">
        <v>1600.5354004000001</v>
      </c>
      <c r="I735">
        <v>1010.1751099000001</v>
      </c>
      <c r="J735">
        <v>815.77825928000004</v>
      </c>
      <c r="K735">
        <v>2400</v>
      </c>
      <c r="L735">
        <v>0</v>
      </c>
      <c r="M735">
        <v>0</v>
      </c>
      <c r="N735">
        <v>2400</v>
      </c>
    </row>
    <row r="736" spans="1:14" x14ac:dyDescent="0.25">
      <c r="A736">
        <v>374.566395</v>
      </c>
      <c r="B736" s="1">
        <f>DATE(2011,5,10) + TIME(13,35,36)</f>
        <v>40673.566388888888</v>
      </c>
      <c r="C736">
        <v>80</v>
      </c>
      <c r="D736">
        <v>79.954391478999995</v>
      </c>
      <c r="E736">
        <v>50</v>
      </c>
      <c r="F736">
        <v>48.122474670000003</v>
      </c>
      <c r="G736">
        <v>1731.0510254000001</v>
      </c>
      <c r="H736">
        <v>1604.0882568</v>
      </c>
      <c r="I736">
        <v>1006.3460083</v>
      </c>
      <c r="J736">
        <v>811.92199706999997</v>
      </c>
      <c r="K736">
        <v>2400</v>
      </c>
      <c r="L736">
        <v>0</v>
      </c>
      <c r="M736">
        <v>0</v>
      </c>
      <c r="N736">
        <v>2400</v>
      </c>
    </row>
    <row r="737" spans="1:14" x14ac:dyDescent="0.25">
      <c r="A737">
        <v>374.90306199999998</v>
      </c>
      <c r="B737" s="1">
        <f>DATE(2011,5,10) + TIME(21,40,24)</f>
        <v>40673.903055555558</v>
      </c>
      <c r="C737">
        <v>80</v>
      </c>
      <c r="D737">
        <v>79.953392029</v>
      </c>
      <c r="E737">
        <v>50</v>
      </c>
      <c r="F737">
        <v>48.084545134999999</v>
      </c>
      <c r="G737">
        <v>1734.5831298999999</v>
      </c>
      <c r="H737">
        <v>1607.6394043</v>
      </c>
      <c r="I737">
        <v>1002.4922485</v>
      </c>
      <c r="J737">
        <v>808.04003906000003</v>
      </c>
      <c r="K737">
        <v>2400</v>
      </c>
      <c r="L737">
        <v>0</v>
      </c>
      <c r="M737">
        <v>0</v>
      </c>
      <c r="N737">
        <v>2400</v>
      </c>
    </row>
    <row r="738" spans="1:14" x14ac:dyDescent="0.25">
      <c r="A738">
        <v>375.24395600000003</v>
      </c>
      <c r="B738" s="1">
        <f>DATE(2011,5,11) + TIME(5,51,17)</f>
        <v>40674.243946759256</v>
      </c>
      <c r="C738">
        <v>80</v>
      </c>
      <c r="D738">
        <v>79.952354431000003</v>
      </c>
      <c r="E738">
        <v>50</v>
      </c>
      <c r="F738">
        <v>48.046047211000001</v>
      </c>
      <c r="G738">
        <v>1737.9835204999999</v>
      </c>
      <c r="H738">
        <v>1611.0583495999999</v>
      </c>
      <c r="I738">
        <v>998.73925781000003</v>
      </c>
      <c r="J738">
        <v>804.25878906000003</v>
      </c>
      <c r="K738">
        <v>2400</v>
      </c>
      <c r="L738">
        <v>0</v>
      </c>
      <c r="M738">
        <v>0</v>
      </c>
      <c r="N738">
        <v>2400</v>
      </c>
    </row>
    <row r="739" spans="1:14" x14ac:dyDescent="0.25">
      <c r="A739">
        <v>375.58599700000002</v>
      </c>
      <c r="B739" s="1">
        <f>DATE(2011,5,11) + TIME(14,3,50)</f>
        <v>40674.585995370369</v>
      </c>
      <c r="C739">
        <v>80</v>
      </c>
      <c r="D739">
        <v>79.951316833000007</v>
      </c>
      <c r="E739">
        <v>50</v>
      </c>
      <c r="F739">
        <v>48.007316588999998</v>
      </c>
      <c r="G739">
        <v>1741.2336425999999</v>
      </c>
      <c r="H739">
        <v>1614.3259277</v>
      </c>
      <c r="I739">
        <v>995.11560058999999</v>
      </c>
      <c r="J739">
        <v>800.60675048999997</v>
      </c>
      <c r="K739">
        <v>2400</v>
      </c>
      <c r="L739">
        <v>0</v>
      </c>
      <c r="M739">
        <v>0</v>
      </c>
      <c r="N739">
        <v>2400</v>
      </c>
    </row>
    <row r="740" spans="1:14" x14ac:dyDescent="0.25">
      <c r="A740">
        <v>375.93012199999998</v>
      </c>
      <c r="B740" s="1">
        <f>DATE(2011,5,11) + TIME(22,19,22)</f>
        <v>40674.930115740739</v>
      </c>
      <c r="C740">
        <v>80</v>
      </c>
      <c r="D740">
        <v>79.950317382999998</v>
      </c>
      <c r="E740">
        <v>50</v>
      </c>
      <c r="F740">
        <v>47.968383789000001</v>
      </c>
      <c r="G740">
        <v>1744.3560791</v>
      </c>
      <c r="H740">
        <v>1617.4648437999999</v>
      </c>
      <c r="I740">
        <v>991.60565185999997</v>
      </c>
      <c r="J740">
        <v>797.06829833999996</v>
      </c>
      <c r="K740">
        <v>2400</v>
      </c>
      <c r="L740">
        <v>0</v>
      </c>
      <c r="M740">
        <v>0</v>
      </c>
      <c r="N740">
        <v>2400</v>
      </c>
    </row>
    <row r="741" spans="1:14" x14ac:dyDescent="0.25">
      <c r="A741">
        <v>376.27739400000002</v>
      </c>
      <c r="B741" s="1">
        <f>DATE(2011,5,12) + TIME(6,39,26)</f>
        <v>40675.277384259258</v>
      </c>
      <c r="C741">
        <v>80</v>
      </c>
      <c r="D741">
        <v>79.949340820000003</v>
      </c>
      <c r="E741">
        <v>50</v>
      </c>
      <c r="F741">
        <v>47.929229736000003</v>
      </c>
      <c r="G741">
        <v>1747.3682861</v>
      </c>
      <c r="H741">
        <v>1620.4923096</v>
      </c>
      <c r="I741">
        <v>988.19421387</v>
      </c>
      <c r="J741">
        <v>793.62823486000002</v>
      </c>
      <c r="K741">
        <v>2400</v>
      </c>
      <c r="L741">
        <v>0</v>
      </c>
      <c r="M741">
        <v>0</v>
      </c>
      <c r="N741">
        <v>2400</v>
      </c>
    </row>
    <row r="742" spans="1:14" x14ac:dyDescent="0.25">
      <c r="A742">
        <v>376.62859400000002</v>
      </c>
      <c r="B742" s="1">
        <f>DATE(2011,5,12) + TIME(15,5,10)</f>
        <v>40675.628587962965</v>
      </c>
      <c r="C742">
        <v>80</v>
      </c>
      <c r="D742">
        <v>79.948402404999996</v>
      </c>
      <c r="E742">
        <v>50</v>
      </c>
      <c r="F742">
        <v>47.889816283999998</v>
      </c>
      <c r="G742">
        <v>1750.2816161999999</v>
      </c>
      <c r="H742">
        <v>1623.4201660000001</v>
      </c>
      <c r="I742">
        <v>984.87030029000005</v>
      </c>
      <c r="J742">
        <v>790.27551270000004</v>
      </c>
      <c r="K742">
        <v>2400</v>
      </c>
      <c r="L742">
        <v>0</v>
      </c>
      <c r="M742">
        <v>0</v>
      </c>
      <c r="N742">
        <v>2400</v>
      </c>
    </row>
    <row r="743" spans="1:14" x14ac:dyDescent="0.25">
      <c r="A743">
        <v>376.98458599999998</v>
      </c>
      <c r="B743" s="1">
        <f>DATE(2011,5,12) + TIME(23,37,48)</f>
        <v>40675.984583333331</v>
      </c>
      <c r="C743">
        <v>80</v>
      </c>
      <c r="D743">
        <v>79.947494507000002</v>
      </c>
      <c r="E743">
        <v>50</v>
      </c>
      <c r="F743">
        <v>47.850101471000002</v>
      </c>
      <c r="G743">
        <v>1753.1066894999999</v>
      </c>
      <c r="H743">
        <v>1626.2589111</v>
      </c>
      <c r="I743">
        <v>981.62353515999996</v>
      </c>
      <c r="J743">
        <v>786.99981689000003</v>
      </c>
      <c r="K743">
        <v>2400</v>
      </c>
      <c r="L743">
        <v>0</v>
      </c>
      <c r="M743">
        <v>0</v>
      </c>
      <c r="N743">
        <v>2400</v>
      </c>
    </row>
    <row r="744" spans="1:14" x14ac:dyDescent="0.25">
      <c r="A744">
        <v>377.34628400000003</v>
      </c>
      <c r="B744" s="1">
        <f>DATE(2011,5,13) + TIME(8,18,38)</f>
        <v>40676.346273148149</v>
      </c>
      <c r="C744">
        <v>80</v>
      </c>
      <c r="D744">
        <v>79.946624756000006</v>
      </c>
      <c r="E744">
        <v>50</v>
      </c>
      <c r="F744">
        <v>47.810016632</v>
      </c>
      <c r="G744">
        <v>1755.8527832</v>
      </c>
      <c r="H744">
        <v>1629.0179443</v>
      </c>
      <c r="I744">
        <v>978.44427489999998</v>
      </c>
      <c r="J744">
        <v>783.79138183999999</v>
      </c>
      <c r="K744">
        <v>2400</v>
      </c>
      <c r="L744">
        <v>0</v>
      </c>
      <c r="M744">
        <v>0</v>
      </c>
      <c r="N744">
        <v>2400</v>
      </c>
    </row>
    <row r="745" spans="1:14" x14ac:dyDescent="0.25">
      <c r="A745">
        <v>377.71463799999998</v>
      </c>
      <c r="B745" s="1">
        <f>DATE(2011,5,13) + TIME(17,9,4)</f>
        <v>40676.714629629627</v>
      </c>
      <c r="C745">
        <v>80</v>
      </c>
      <c r="D745">
        <v>79.945777892999999</v>
      </c>
      <c r="E745">
        <v>50</v>
      </c>
      <c r="F745">
        <v>47.769477844000001</v>
      </c>
      <c r="G745">
        <v>1758.5281981999999</v>
      </c>
      <c r="H745">
        <v>1631.7058105000001</v>
      </c>
      <c r="I745">
        <v>975.32385253999996</v>
      </c>
      <c r="J745">
        <v>780.64141845999995</v>
      </c>
      <c r="K745">
        <v>2400</v>
      </c>
      <c r="L745">
        <v>0</v>
      </c>
      <c r="M745">
        <v>0</v>
      </c>
      <c r="N745">
        <v>2400</v>
      </c>
    </row>
    <row r="746" spans="1:14" x14ac:dyDescent="0.25">
      <c r="A746">
        <v>378.09065299999997</v>
      </c>
      <c r="B746" s="1">
        <f>DATE(2011,5,14) + TIME(2,10,32)</f>
        <v>40677.090648148151</v>
      </c>
      <c r="C746">
        <v>80</v>
      </c>
      <c r="D746">
        <v>79.944961547999995</v>
      </c>
      <c r="E746">
        <v>50</v>
      </c>
      <c r="F746">
        <v>47.728408813000001</v>
      </c>
      <c r="G746">
        <v>1761.140625</v>
      </c>
      <c r="H746">
        <v>1634.3299560999999</v>
      </c>
      <c r="I746">
        <v>972.25408935999997</v>
      </c>
      <c r="J746">
        <v>777.54187012</v>
      </c>
      <c r="K746">
        <v>2400</v>
      </c>
      <c r="L746">
        <v>0</v>
      </c>
      <c r="M746">
        <v>0</v>
      </c>
      <c r="N746">
        <v>2400</v>
      </c>
    </row>
    <row r="747" spans="1:14" x14ac:dyDescent="0.25">
      <c r="A747">
        <v>378.47539499999999</v>
      </c>
      <c r="B747" s="1">
        <f>DATE(2011,5,14) + TIME(11,24,34)</f>
        <v>40677.475393518522</v>
      </c>
      <c r="C747">
        <v>80</v>
      </c>
      <c r="D747">
        <v>79.944168090999995</v>
      </c>
      <c r="E747">
        <v>50</v>
      </c>
      <c r="F747">
        <v>47.686710357999999</v>
      </c>
      <c r="G747">
        <v>1763.6966553</v>
      </c>
      <c r="H747">
        <v>1636.8973389</v>
      </c>
      <c r="I747">
        <v>969.22760010000002</v>
      </c>
      <c r="J747">
        <v>774.48516845999995</v>
      </c>
      <c r="K747">
        <v>2400</v>
      </c>
      <c r="L747">
        <v>0</v>
      </c>
      <c r="M747">
        <v>0</v>
      </c>
      <c r="N747">
        <v>2400</v>
      </c>
    </row>
    <row r="748" spans="1:14" x14ac:dyDescent="0.25">
      <c r="A748">
        <v>378.86685799999998</v>
      </c>
      <c r="B748" s="1">
        <f>DATE(2011,5,14) + TIME(20,48,16)</f>
        <v>40677.866851851853</v>
      </c>
      <c r="C748">
        <v>80</v>
      </c>
      <c r="D748">
        <v>79.943405150999993</v>
      </c>
      <c r="E748">
        <v>50</v>
      </c>
      <c r="F748">
        <v>47.644504546999997</v>
      </c>
      <c r="G748">
        <v>1766.1806641000001</v>
      </c>
      <c r="H748">
        <v>1639.3922118999999</v>
      </c>
      <c r="I748">
        <v>966.26013183999999</v>
      </c>
      <c r="J748">
        <v>771.48718262</v>
      </c>
      <c r="K748">
        <v>2400</v>
      </c>
      <c r="L748">
        <v>0</v>
      </c>
      <c r="M748">
        <v>0</v>
      </c>
      <c r="N748">
        <v>2400</v>
      </c>
    </row>
    <row r="749" spans="1:14" x14ac:dyDescent="0.25">
      <c r="A749">
        <v>379.26561099999998</v>
      </c>
      <c r="B749" s="1">
        <f>DATE(2011,5,15) + TIME(6,22,28)</f>
        <v>40678.265601851854</v>
      </c>
      <c r="C749">
        <v>80</v>
      </c>
      <c r="D749">
        <v>79.942665099999999</v>
      </c>
      <c r="E749">
        <v>50</v>
      </c>
      <c r="F749">
        <v>47.601764678999999</v>
      </c>
      <c r="G749">
        <v>1768.5982666</v>
      </c>
      <c r="H749">
        <v>1641.8201904</v>
      </c>
      <c r="I749">
        <v>963.34747314000003</v>
      </c>
      <c r="J749">
        <v>768.54357909999999</v>
      </c>
      <c r="K749">
        <v>2400</v>
      </c>
      <c r="L749">
        <v>0</v>
      </c>
      <c r="M749">
        <v>0</v>
      </c>
      <c r="N749">
        <v>2400</v>
      </c>
    </row>
    <row r="750" spans="1:14" x14ac:dyDescent="0.25">
      <c r="A750">
        <v>379.67293599999999</v>
      </c>
      <c r="B750" s="1">
        <f>DATE(2011,5,15) + TIME(16,9,1)</f>
        <v>40678.67292824074</v>
      </c>
      <c r="C750">
        <v>80</v>
      </c>
      <c r="D750">
        <v>79.941947936999995</v>
      </c>
      <c r="E750">
        <v>50</v>
      </c>
      <c r="F750">
        <v>47.558399199999997</v>
      </c>
      <c r="G750">
        <v>1770.9581298999999</v>
      </c>
      <c r="H750">
        <v>1644.1898193</v>
      </c>
      <c r="I750">
        <v>960.48095703000001</v>
      </c>
      <c r="J750">
        <v>765.64575194999998</v>
      </c>
      <c r="K750">
        <v>2400</v>
      </c>
      <c r="L750">
        <v>0</v>
      </c>
      <c r="M750">
        <v>0</v>
      </c>
      <c r="N750">
        <v>2400</v>
      </c>
    </row>
    <row r="751" spans="1:14" x14ac:dyDescent="0.25">
      <c r="A751">
        <v>380.09021300000001</v>
      </c>
      <c r="B751" s="1">
        <f>DATE(2011,5,16) + TIME(2,9,54)</f>
        <v>40679.090208333335</v>
      </c>
      <c r="C751">
        <v>80</v>
      </c>
      <c r="D751">
        <v>79.941261291999993</v>
      </c>
      <c r="E751">
        <v>50</v>
      </c>
      <c r="F751">
        <v>47.514308929000002</v>
      </c>
      <c r="G751">
        <v>1773.2677002</v>
      </c>
      <c r="H751">
        <v>1646.5086670000001</v>
      </c>
      <c r="I751">
        <v>957.65264893000005</v>
      </c>
      <c r="J751">
        <v>762.78552246000004</v>
      </c>
      <c r="K751">
        <v>2400</v>
      </c>
      <c r="L751">
        <v>0</v>
      </c>
      <c r="M751">
        <v>0</v>
      </c>
      <c r="N751">
        <v>2400</v>
      </c>
    </row>
    <row r="752" spans="1:14" x14ac:dyDescent="0.25">
      <c r="A752">
        <v>380.51927899999998</v>
      </c>
      <c r="B752" s="1">
        <f>DATE(2011,5,16) + TIME(12,27,45)</f>
        <v>40679.519270833334</v>
      </c>
      <c r="C752">
        <v>80</v>
      </c>
      <c r="D752">
        <v>79.940597534000005</v>
      </c>
      <c r="E752">
        <v>50</v>
      </c>
      <c r="F752">
        <v>47.469345093000001</v>
      </c>
      <c r="G752">
        <v>1775.5354004000001</v>
      </c>
      <c r="H752">
        <v>1648.7855225000001</v>
      </c>
      <c r="I752">
        <v>954.85272216999999</v>
      </c>
      <c r="J752">
        <v>759.953125</v>
      </c>
      <c r="K752">
        <v>2400</v>
      </c>
      <c r="L752">
        <v>0</v>
      </c>
      <c r="M752">
        <v>0</v>
      </c>
      <c r="N752">
        <v>2400</v>
      </c>
    </row>
    <row r="753" spans="1:14" x14ac:dyDescent="0.25">
      <c r="A753">
        <v>380.96155499999998</v>
      </c>
      <c r="B753" s="1">
        <f>DATE(2011,5,16) + TIME(23,4,38)</f>
        <v>40679.961550925924</v>
      </c>
      <c r="C753">
        <v>80</v>
      </c>
      <c r="D753">
        <v>79.939956664999997</v>
      </c>
      <c r="E753">
        <v>50</v>
      </c>
      <c r="F753">
        <v>47.423385619999998</v>
      </c>
      <c r="G753">
        <v>1777.7657471</v>
      </c>
      <c r="H753">
        <v>1651.0245361</v>
      </c>
      <c r="I753">
        <v>952.07556151999995</v>
      </c>
      <c r="J753">
        <v>757.14270020000004</v>
      </c>
      <c r="K753">
        <v>2400</v>
      </c>
      <c r="L753">
        <v>0</v>
      </c>
      <c r="M753">
        <v>0</v>
      </c>
      <c r="N753">
        <v>2400</v>
      </c>
    </row>
    <row r="754" spans="1:14" x14ac:dyDescent="0.25">
      <c r="A754">
        <v>381.41896200000002</v>
      </c>
      <c r="B754" s="1">
        <f>DATE(2011,5,17) + TIME(10,3,18)</f>
        <v>40680.418958333335</v>
      </c>
      <c r="C754">
        <v>80</v>
      </c>
      <c r="D754">
        <v>79.939331054999997</v>
      </c>
      <c r="E754">
        <v>50</v>
      </c>
      <c r="F754">
        <v>47.376270294000001</v>
      </c>
      <c r="G754">
        <v>1779.9647216999999</v>
      </c>
      <c r="H754">
        <v>1653.2319336</v>
      </c>
      <c r="I754">
        <v>949.31365966999999</v>
      </c>
      <c r="J754">
        <v>754.34667968999997</v>
      </c>
      <c r="K754">
        <v>2400</v>
      </c>
      <c r="L754">
        <v>0</v>
      </c>
      <c r="M754">
        <v>0</v>
      </c>
      <c r="N754">
        <v>2400</v>
      </c>
    </row>
    <row r="755" spans="1:14" x14ac:dyDescent="0.25">
      <c r="A755">
        <v>381.89371199999999</v>
      </c>
      <c r="B755" s="1">
        <f>DATE(2011,5,17) + TIME(21,26,56)</f>
        <v>40680.893703703703</v>
      </c>
      <c r="C755">
        <v>80</v>
      </c>
      <c r="D755">
        <v>79.938728333</v>
      </c>
      <c r="E755">
        <v>50</v>
      </c>
      <c r="F755">
        <v>47.327819824000002</v>
      </c>
      <c r="G755">
        <v>1782.1384277</v>
      </c>
      <c r="H755">
        <v>1655.4136963000001</v>
      </c>
      <c r="I755">
        <v>946.55938720999995</v>
      </c>
      <c r="J755">
        <v>751.55725098000005</v>
      </c>
      <c r="K755">
        <v>2400</v>
      </c>
      <c r="L755">
        <v>0</v>
      </c>
      <c r="M755">
        <v>0</v>
      </c>
      <c r="N755">
        <v>2400</v>
      </c>
    </row>
    <row r="756" spans="1:14" x14ac:dyDescent="0.25">
      <c r="A756">
        <v>382.38837100000001</v>
      </c>
      <c r="B756" s="1">
        <f>DATE(2011,5,18) + TIME(9,19,15)</f>
        <v>40681.388368055559</v>
      </c>
      <c r="C756">
        <v>80</v>
      </c>
      <c r="D756">
        <v>79.938140868999994</v>
      </c>
      <c r="E756">
        <v>50</v>
      </c>
      <c r="F756">
        <v>47.277824402</v>
      </c>
      <c r="G756">
        <v>1784.2927245999999</v>
      </c>
      <c r="H756">
        <v>1657.5758057</v>
      </c>
      <c r="I756">
        <v>943.80480956999997</v>
      </c>
      <c r="J756">
        <v>748.76641845999995</v>
      </c>
      <c r="K756">
        <v>2400</v>
      </c>
      <c r="L756">
        <v>0</v>
      </c>
      <c r="M756">
        <v>0</v>
      </c>
      <c r="N756">
        <v>2400</v>
      </c>
    </row>
    <row r="757" spans="1:14" x14ac:dyDescent="0.25">
      <c r="A757">
        <v>382.63861600000001</v>
      </c>
      <c r="B757" s="1">
        <f>DATE(2011,5,18) + TIME(15,19,36)</f>
        <v>40681.638611111113</v>
      </c>
      <c r="C757">
        <v>80</v>
      </c>
      <c r="D757">
        <v>79.937568665000001</v>
      </c>
      <c r="E757">
        <v>50</v>
      </c>
      <c r="F757">
        <v>47.246170044000003</v>
      </c>
      <c r="G757">
        <v>1785.2310791</v>
      </c>
      <c r="H757">
        <v>1658.5213623</v>
      </c>
      <c r="I757">
        <v>942.41619873000002</v>
      </c>
      <c r="J757">
        <v>747.35833739999998</v>
      </c>
      <c r="K757">
        <v>2400</v>
      </c>
      <c r="L757">
        <v>0</v>
      </c>
      <c r="M757">
        <v>0</v>
      </c>
      <c r="N757">
        <v>2400</v>
      </c>
    </row>
    <row r="758" spans="1:14" x14ac:dyDescent="0.25">
      <c r="A758">
        <v>382.88886200000002</v>
      </c>
      <c r="B758" s="1">
        <f>DATE(2011,5,18) + TIME(21,19,57)</f>
        <v>40681.888854166667</v>
      </c>
      <c r="C758">
        <v>80</v>
      </c>
      <c r="D758">
        <v>79.937164307000003</v>
      </c>
      <c r="E758">
        <v>50</v>
      </c>
      <c r="F758">
        <v>47.215988158999998</v>
      </c>
      <c r="G758">
        <v>1786.1868896000001</v>
      </c>
      <c r="H758">
        <v>1659.4810791</v>
      </c>
      <c r="I758">
        <v>941.06994628999996</v>
      </c>
      <c r="J758">
        <v>745.98931885000002</v>
      </c>
      <c r="K758">
        <v>2400</v>
      </c>
      <c r="L758">
        <v>0</v>
      </c>
      <c r="M758">
        <v>0</v>
      </c>
      <c r="N758">
        <v>2400</v>
      </c>
    </row>
    <row r="759" spans="1:14" x14ac:dyDescent="0.25">
      <c r="A759">
        <v>383.13910800000002</v>
      </c>
      <c r="B759" s="1">
        <f>DATE(2011,5,19) + TIME(3,20,18)</f>
        <v>40682.139097222222</v>
      </c>
      <c r="C759">
        <v>80</v>
      </c>
      <c r="D759">
        <v>79.93687439</v>
      </c>
      <c r="E759">
        <v>50</v>
      </c>
      <c r="F759">
        <v>47.186916351000001</v>
      </c>
      <c r="G759">
        <v>1787.1477050999999</v>
      </c>
      <c r="H759">
        <v>1660.4453125</v>
      </c>
      <c r="I759">
        <v>939.75256348000005</v>
      </c>
      <c r="J759">
        <v>744.65002441000001</v>
      </c>
      <c r="K759">
        <v>2400</v>
      </c>
      <c r="L759">
        <v>0</v>
      </c>
      <c r="M759">
        <v>0</v>
      </c>
      <c r="N759">
        <v>2400</v>
      </c>
    </row>
    <row r="760" spans="1:14" x14ac:dyDescent="0.25">
      <c r="A760">
        <v>383.38935300000003</v>
      </c>
      <c r="B760" s="1">
        <f>DATE(2011,5,19) + TIME(9,20,40)</f>
        <v>40682.389351851853</v>
      </c>
      <c r="C760">
        <v>80</v>
      </c>
      <c r="D760">
        <v>79.936630249000004</v>
      </c>
      <c r="E760">
        <v>50</v>
      </c>
      <c r="F760">
        <v>47.158702849999997</v>
      </c>
      <c r="G760">
        <v>1788.0991211</v>
      </c>
      <c r="H760">
        <v>1661.4001464999999</v>
      </c>
      <c r="I760">
        <v>938.46221923999997</v>
      </c>
      <c r="J760">
        <v>743.33856201000003</v>
      </c>
      <c r="K760">
        <v>2400</v>
      </c>
      <c r="L760">
        <v>0</v>
      </c>
      <c r="M760">
        <v>0</v>
      </c>
      <c r="N760">
        <v>2400</v>
      </c>
    </row>
    <row r="761" spans="1:14" x14ac:dyDescent="0.25">
      <c r="A761">
        <v>383.63959899999998</v>
      </c>
      <c r="B761" s="1">
        <f>DATE(2011,5,19) + TIME(15,21,1)</f>
        <v>40682.639594907407</v>
      </c>
      <c r="C761">
        <v>80</v>
      </c>
      <c r="D761">
        <v>79.936416625999996</v>
      </c>
      <c r="E761">
        <v>50</v>
      </c>
      <c r="F761">
        <v>47.131156920999999</v>
      </c>
      <c r="G761">
        <v>1789.0344238</v>
      </c>
      <c r="H761">
        <v>1662.3387451000001</v>
      </c>
      <c r="I761">
        <v>937.19793701000003</v>
      </c>
      <c r="J761">
        <v>742.05371093999997</v>
      </c>
      <c r="K761">
        <v>2400</v>
      </c>
      <c r="L761">
        <v>0</v>
      </c>
      <c r="M761">
        <v>0</v>
      </c>
      <c r="N761">
        <v>2400</v>
      </c>
    </row>
    <row r="762" spans="1:14" x14ac:dyDescent="0.25">
      <c r="A762">
        <v>383.88984499999998</v>
      </c>
      <c r="B762" s="1">
        <f>DATE(2011,5,19) + TIME(21,21,22)</f>
        <v>40682.889837962961</v>
      </c>
      <c r="C762">
        <v>80</v>
      </c>
      <c r="D762">
        <v>79.936203003000003</v>
      </c>
      <c r="E762">
        <v>50</v>
      </c>
      <c r="F762">
        <v>47.104129790999998</v>
      </c>
      <c r="G762">
        <v>1789.9508057</v>
      </c>
      <c r="H762">
        <v>1663.2583007999999</v>
      </c>
      <c r="I762">
        <v>935.95898437999995</v>
      </c>
      <c r="J762">
        <v>740.79461670000001</v>
      </c>
      <c r="K762">
        <v>2400</v>
      </c>
      <c r="L762">
        <v>0</v>
      </c>
      <c r="M762">
        <v>0</v>
      </c>
      <c r="N762">
        <v>2400</v>
      </c>
    </row>
    <row r="763" spans="1:14" x14ac:dyDescent="0.25">
      <c r="A763">
        <v>384.14008999999999</v>
      </c>
      <c r="B763" s="1">
        <f>DATE(2011,5,20) + TIME(3,21,43)</f>
        <v>40683.140081018515</v>
      </c>
      <c r="C763">
        <v>80</v>
      </c>
      <c r="D763">
        <v>79.936004639000004</v>
      </c>
      <c r="E763">
        <v>50</v>
      </c>
      <c r="F763">
        <v>47.077510834000002</v>
      </c>
      <c r="G763">
        <v>1790.847168</v>
      </c>
      <c r="H763">
        <v>1664.1577147999999</v>
      </c>
      <c r="I763">
        <v>934.74462890999996</v>
      </c>
      <c r="J763">
        <v>739.56042479999996</v>
      </c>
      <c r="K763">
        <v>2400</v>
      </c>
      <c r="L763">
        <v>0</v>
      </c>
      <c r="M763">
        <v>0</v>
      </c>
      <c r="N763">
        <v>2400</v>
      </c>
    </row>
    <row r="764" spans="1:14" x14ac:dyDescent="0.25">
      <c r="A764">
        <v>384.39033599999999</v>
      </c>
      <c r="B764" s="1">
        <f>DATE(2011,5,20) + TIME(9,22,5)</f>
        <v>40683.390335648146</v>
      </c>
      <c r="C764">
        <v>80</v>
      </c>
      <c r="D764">
        <v>79.935806274000001</v>
      </c>
      <c r="E764">
        <v>50</v>
      </c>
      <c r="F764">
        <v>47.051219940000003</v>
      </c>
      <c r="G764">
        <v>1791.7232666</v>
      </c>
      <c r="H764">
        <v>1665.0366211</v>
      </c>
      <c r="I764">
        <v>933.55407715000001</v>
      </c>
      <c r="J764">
        <v>738.35028076000003</v>
      </c>
      <c r="K764">
        <v>2400</v>
      </c>
      <c r="L764">
        <v>0</v>
      </c>
      <c r="M764">
        <v>0</v>
      </c>
      <c r="N764">
        <v>2400</v>
      </c>
    </row>
    <row r="765" spans="1:14" x14ac:dyDescent="0.25">
      <c r="A765">
        <v>384.890827</v>
      </c>
      <c r="B765" s="1">
        <f>DATE(2011,5,20) + TIME(21,22,47)</f>
        <v>40683.890821759262</v>
      </c>
      <c r="C765">
        <v>80</v>
      </c>
      <c r="D765">
        <v>79.935707092000001</v>
      </c>
      <c r="E765">
        <v>50</v>
      </c>
      <c r="F765">
        <v>47.009468079000001</v>
      </c>
      <c r="G765">
        <v>1793.5456543</v>
      </c>
      <c r="H765">
        <v>1666.8621826000001</v>
      </c>
      <c r="I765">
        <v>931.29315185999997</v>
      </c>
      <c r="J765">
        <v>736.05560303000004</v>
      </c>
      <c r="K765">
        <v>2400</v>
      </c>
      <c r="L765">
        <v>0</v>
      </c>
      <c r="M765">
        <v>0</v>
      </c>
      <c r="N765">
        <v>2400</v>
      </c>
    </row>
    <row r="766" spans="1:14" x14ac:dyDescent="0.25">
      <c r="A766">
        <v>385.39294799999999</v>
      </c>
      <c r="B766" s="1">
        <f>DATE(2011,5,21) + TIME(9,25,50)</f>
        <v>40684.392939814818</v>
      </c>
      <c r="C766">
        <v>80</v>
      </c>
      <c r="D766">
        <v>79.935363769999995</v>
      </c>
      <c r="E766">
        <v>50</v>
      </c>
      <c r="F766">
        <v>46.964313507</v>
      </c>
      <c r="G766">
        <v>1795.2126464999999</v>
      </c>
      <c r="H766">
        <v>1668.5344238</v>
      </c>
      <c r="I766">
        <v>929.09265137</v>
      </c>
      <c r="J766">
        <v>733.82263183999999</v>
      </c>
      <c r="K766">
        <v>2400</v>
      </c>
      <c r="L766">
        <v>0</v>
      </c>
      <c r="M766">
        <v>0</v>
      </c>
      <c r="N766">
        <v>2400</v>
      </c>
    </row>
    <row r="767" spans="1:14" x14ac:dyDescent="0.25">
      <c r="A767">
        <v>385.90001699999999</v>
      </c>
      <c r="B767" s="1">
        <f>DATE(2011,5,21) + TIME(21,36,1)</f>
        <v>40684.900011574071</v>
      </c>
      <c r="C767">
        <v>80</v>
      </c>
      <c r="D767">
        <v>79.934944153000004</v>
      </c>
      <c r="E767">
        <v>50</v>
      </c>
      <c r="F767">
        <v>46.916957855</v>
      </c>
      <c r="G767">
        <v>1796.7835693</v>
      </c>
      <c r="H767">
        <v>1670.1105957</v>
      </c>
      <c r="I767">
        <v>926.95080566000001</v>
      </c>
      <c r="J767">
        <v>731.64624022999999</v>
      </c>
      <c r="K767">
        <v>2400</v>
      </c>
      <c r="L767">
        <v>0</v>
      </c>
      <c r="M767">
        <v>0</v>
      </c>
      <c r="N767">
        <v>2400</v>
      </c>
    </row>
    <row r="768" spans="1:14" x14ac:dyDescent="0.25">
      <c r="A768">
        <v>386.41353299999997</v>
      </c>
      <c r="B768" s="1">
        <f>DATE(2011,5,22) + TIME(9,55,29)</f>
        <v>40685.413530092592</v>
      </c>
      <c r="C768">
        <v>80</v>
      </c>
      <c r="D768">
        <v>79.934532165999997</v>
      </c>
      <c r="E768">
        <v>50</v>
      </c>
      <c r="F768">
        <v>46.868076324</v>
      </c>
      <c r="G768">
        <v>1798.2861327999999</v>
      </c>
      <c r="H768">
        <v>1671.6177978999999</v>
      </c>
      <c r="I768">
        <v>924.86126708999996</v>
      </c>
      <c r="J768">
        <v>729.52056885000002</v>
      </c>
      <c r="K768">
        <v>2400</v>
      </c>
      <c r="L768">
        <v>0</v>
      </c>
      <c r="M768">
        <v>0</v>
      </c>
      <c r="N768">
        <v>2400</v>
      </c>
    </row>
    <row r="769" spans="1:14" x14ac:dyDescent="0.25">
      <c r="A769">
        <v>386.935024</v>
      </c>
      <c r="B769" s="1">
        <f>DATE(2011,5,22) + TIME(22,26,26)</f>
        <v>40685.935023148151</v>
      </c>
      <c r="C769">
        <v>80</v>
      </c>
      <c r="D769">
        <v>79.934150696000003</v>
      </c>
      <c r="E769">
        <v>50</v>
      </c>
      <c r="F769">
        <v>46.818038940000001</v>
      </c>
      <c r="G769">
        <v>1799.7333983999999</v>
      </c>
      <c r="H769">
        <v>1673.0695800999999</v>
      </c>
      <c r="I769">
        <v>922.81787109000004</v>
      </c>
      <c r="J769">
        <v>727.43975829999999</v>
      </c>
      <c r="K769">
        <v>2400</v>
      </c>
      <c r="L769">
        <v>0</v>
      </c>
      <c r="M769">
        <v>0</v>
      </c>
      <c r="N769">
        <v>2400</v>
      </c>
    </row>
    <row r="770" spans="1:14" x14ac:dyDescent="0.25">
      <c r="A770">
        <v>387.46608900000001</v>
      </c>
      <c r="B770" s="1">
        <f>DATE(2011,5,23) + TIME(11,11,10)</f>
        <v>40686.466087962966</v>
      </c>
      <c r="C770">
        <v>80</v>
      </c>
      <c r="D770">
        <v>79.933784485000004</v>
      </c>
      <c r="E770">
        <v>50</v>
      </c>
      <c r="F770">
        <v>46.767002106</v>
      </c>
      <c r="G770">
        <v>1801.1331786999999</v>
      </c>
      <c r="H770">
        <v>1674.4737548999999</v>
      </c>
      <c r="I770">
        <v>920.81475829999999</v>
      </c>
      <c r="J770">
        <v>725.39819336000005</v>
      </c>
      <c r="K770">
        <v>2400</v>
      </c>
      <c r="L770">
        <v>0</v>
      </c>
      <c r="M770">
        <v>0</v>
      </c>
      <c r="N770">
        <v>2400</v>
      </c>
    </row>
    <row r="771" spans="1:14" x14ac:dyDescent="0.25">
      <c r="A771">
        <v>388.00844499999999</v>
      </c>
      <c r="B771" s="1">
        <f>DATE(2011,5,24) + TIME(0,12,9)</f>
        <v>40687.008437500001</v>
      </c>
      <c r="C771">
        <v>80</v>
      </c>
      <c r="D771">
        <v>79.933448791999993</v>
      </c>
      <c r="E771">
        <v>50</v>
      </c>
      <c r="F771">
        <v>46.715000152999998</v>
      </c>
      <c r="G771">
        <v>1802.4912108999999</v>
      </c>
      <c r="H771">
        <v>1675.8359375</v>
      </c>
      <c r="I771">
        <v>918.84661864999998</v>
      </c>
      <c r="J771">
        <v>723.39050293000003</v>
      </c>
      <c r="K771">
        <v>2400</v>
      </c>
      <c r="L771">
        <v>0</v>
      </c>
      <c r="M771">
        <v>0</v>
      </c>
      <c r="N771">
        <v>2400</v>
      </c>
    </row>
    <row r="772" spans="1:14" x14ac:dyDescent="0.25">
      <c r="A772">
        <v>388.56397099999998</v>
      </c>
      <c r="B772" s="1">
        <f>DATE(2011,5,24) + TIME(13,32,7)</f>
        <v>40687.563969907409</v>
      </c>
      <c r="C772">
        <v>80</v>
      </c>
      <c r="D772">
        <v>79.933135985999996</v>
      </c>
      <c r="E772">
        <v>50</v>
      </c>
      <c r="F772">
        <v>46.661991119</v>
      </c>
      <c r="G772">
        <v>1803.8121338000001</v>
      </c>
      <c r="H772">
        <v>1677.1607666</v>
      </c>
      <c r="I772">
        <v>916.90826416000004</v>
      </c>
      <c r="J772">
        <v>721.41149901999995</v>
      </c>
      <c r="K772">
        <v>2400</v>
      </c>
      <c r="L772">
        <v>0</v>
      </c>
      <c r="M772">
        <v>0</v>
      </c>
      <c r="N772">
        <v>2400</v>
      </c>
    </row>
    <row r="773" spans="1:14" x14ac:dyDescent="0.25">
      <c r="A773">
        <v>389.13517200000001</v>
      </c>
      <c r="B773" s="1">
        <f>DATE(2011,5,25) + TIME(3,14,38)</f>
        <v>40688.135162037041</v>
      </c>
      <c r="C773">
        <v>80</v>
      </c>
      <c r="D773">
        <v>79.932830811000002</v>
      </c>
      <c r="E773">
        <v>50</v>
      </c>
      <c r="F773">
        <v>46.607845306000002</v>
      </c>
      <c r="G773">
        <v>1805.1009521000001</v>
      </c>
      <c r="H773">
        <v>1678.4533690999999</v>
      </c>
      <c r="I773">
        <v>914.99340819999998</v>
      </c>
      <c r="J773">
        <v>719.45471191000001</v>
      </c>
      <c r="K773">
        <v>2400</v>
      </c>
      <c r="L773">
        <v>0</v>
      </c>
      <c r="M773">
        <v>0</v>
      </c>
      <c r="N773">
        <v>2400</v>
      </c>
    </row>
    <row r="774" spans="1:14" x14ac:dyDescent="0.25">
      <c r="A774">
        <v>389.72399100000001</v>
      </c>
      <c r="B774" s="1">
        <f>DATE(2011,5,25) + TIME(17,22,32)</f>
        <v>40688.723981481482</v>
      </c>
      <c r="C774">
        <v>80</v>
      </c>
      <c r="D774">
        <v>79.932548522999994</v>
      </c>
      <c r="E774">
        <v>50</v>
      </c>
      <c r="F774">
        <v>46.552429199000002</v>
      </c>
      <c r="G774">
        <v>1806.3599853999999</v>
      </c>
      <c r="H774">
        <v>1679.7159423999999</v>
      </c>
      <c r="I774">
        <v>913.09838866999996</v>
      </c>
      <c r="J774">
        <v>717.51647949000005</v>
      </c>
      <c r="K774">
        <v>2400</v>
      </c>
      <c r="L774">
        <v>0</v>
      </c>
      <c r="M774">
        <v>0</v>
      </c>
      <c r="N774">
        <v>2400</v>
      </c>
    </row>
    <row r="775" spans="1:14" x14ac:dyDescent="0.25">
      <c r="A775">
        <v>390.33310799999998</v>
      </c>
      <c r="B775" s="1">
        <f>DATE(2011,5,26) + TIME(7,59,40)</f>
        <v>40689.333101851851</v>
      </c>
      <c r="C775">
        <v>80</v>
      </c>
      <c r="D775">
        <v>79.932281493999994</v>
      </c>
      <c r="E775">
        <v>50</v>
      </c>
      <c r="F775">
        <v>46.495559692</v>
      </c>
      <c r="G775">
        <v>1807.5922852000001</v>
      </c>
      <c r="H775">
        <v>1680.9517822</v>
      </c>
      <c r="I775">
        <v>911.21838378999996</v>
      </c>
      <c r="J775">
        <v>715.59161376999998</v>
      </c>
      <c r="K775">
        <v>2400</v>
      </c>
      <c r="L775">
        <v>0</v>
      </c>
      <c r="M775">
        <v>0</v>
      </c>
      <c r="N775">
        <v>2400</v>
      </c>
    </row>
    <row r="776" spans="1:14" x14ac:dyDescent="0.25">
      <c r="A776">
        <v>390.96560099999999</v>
      </c>
      <c r="B776" s="1">
        <f>DATE(2011,5,26) + TIME(23,10,27)</f>
        <v>40689.965590277781</v>
      </c>
      <c r="C776">
        <v>80</v>
      </c>
      <c r="D776">
        <v>79.932022094999994</v>
      </c>
      <c r="E776">
        <v>50</v>
      </c>
      <c r="F776">
        <v>46.437011718999997</v>
      </c>
      <c r="G776">
        <v>1808.8009033000001</v>
      </c>
      <c r="H776">
        <v>1682.1638184000001</v>
      </c>
      <c r="I776">
        <v>909.34851074000005</v>
      </c>
      <c r="J776">
        <v>713.67498779000005</v>
      </c>
      <c r="K776">
        <v>2400</v>
      </c>
      <c r="L776">
        <v>0</v>
      </c>
      <c r="M776">
        <v>0</v>
      </c>
      <c r="N776">
        <v>2400</v>
      </c>
    </row>
    <row r="777" spans="1:14" x14ac:dyDescent="0.25">
      <c r="A777">
        <v>391.28398900000002</v>
      </c>
      <c r="B777" s="1">
        <f>DATE(2011,5,27) + TIME(6,48,56)</f>
        <v>40690.28398148148</v>
      </c>
      <c r="C777">
        <v>80</v>
      </c>
      <c r="D777">
        <v>79.931671143000003</v>
      </c>
      <c r="E777">
        <v>50</v>
      </c>
      <c r="F777">
        <v>46.398677825999997</v>
      </c>
      <c r="G777">
        <v>1809.2882079999999</v>
      </c>
      <c r="H777">
        <v>1682.6540527</v>
      </c>
      <c r="I777">
        <v>908.39300536999997</v>
      </c>
      <c r="J777">
        <v>712.69232178000004</v>
      </c>
      <c r="K777">
        <v>2400</v>
      </c>
      <c r="L777">
        <v>0</v>
      </c>
      <c r="M777">
        <v>0</v>
      </c>
      <c r="N777">
        <v>2400</v>
      </c>
    </row>
    <row r="778" spans="1:14" x14ac:dyDescent="0.25">
      <c r="A778">
        <v>391.60237699999999</v>
      </c>
      <c r="B778" s="1">
        <f>DATE(2011,5,27) + TIME(14,27,25)</f>
        <v>40690.602372685185</v>
      </c>
      <c r="C778">
        <v>80</v>
      </c>
      <c r="D778">
        <v>79.931449889999996</v>
      </c>
      <c r="E778">
        <v>50</v>
      </c>
      <c r="F778">
        <v>46.362766266000001</v>
      </c>
      <c r="G778">
        <v>1809.7885742000001</v>
      </c>
      <c r="H778">
        <v>1683.1558838000001</v>
      </c>
      <c r="I778">
        <v>907.47668456999997</v>
      </c>
      <c r="J778">
        <v>711.74572753999996</v>
      </c>
      <c r="K778">
        <v>2400</v>
      </c>
      <c r="L778">
        <v>0</v>
      </c>
      <c r="M778">
        <v>0</v>
      </c>
      <c r="N778">
        <v>2400</v>
      </c>
    </row>
    <row r="779" spans="1:14" x14ac:dyDescent="0.25">
      <c r="A779">
        <v>391.92076400000002</v>
      </c>
      <c r="B779" s="1">
        <f>DATE(2011,5,27) + TIME(22,5,54)</f>
        <v>40690.920763888891</v>
      </c>
      <c r="C779">
        <v>80</v>
      </c>
      <c r="D779">
        <v>79.931320189999994</v>
      </c>
      <c r="E779">
        <v>50</v>
      </c>
      <c r="F779">
        <v>46.328575133999998</v>
      </c>
      <c r="G779">
        <v>1810.2985839999999</v>
      </c>
      <c r="H779">
        <v>1683.6673584</v>
      </c>
      <c r="I779">
        <v>906.58245850000003</v>
      </c>
      <c r="J779">
        <v>710.82275390999996</v>
      </c>
      <c r="K779">
        <v>2400</v>
      </c>
      <c r="L779">
        <v>0</v>
      </c>
      <c r="M779">
        <v>0</v>
      </c>
      <c r="N779">
        <v>2400</v>
      </c>
    </row>
    <row r="780" spans="1:14" x14ac:dyDescent="0.25">
      <c r="A780">
        <v>392.23915199999999</v>
      </c>
      <c r="B780" s="1">
        <f>DATE(2011,5,28) + TIME(5,44,22)</f>
        <v>40691.23914351852</v>
      </c>
      <c r="C780">
        <v>80</v>
      </c>
      <c r="D780">
        <v>79.931228637999993</v>
      </c>
      <c r="E780">
        <v>50</v>
      </c>
      <c r="F780">
        <v>46.295627594000003</v>
      </c>
      <c r="G780">
        <v>1810.8068848</v>
      </c>
      <c r="H780">
        <v>1684.1772461</v>
      </c>
      <c r="I780">
        <v>905.70843506000006</v>
      </c>
      <c r="J780">
        <v>709.92089843999997</v>
      </c>
      <c r="K780">
        <v>2400</v>
      </c>
      <c r="L780">
        <v>0</v>
      </c>
      <c r="M780">
        <v>0</v>
      </c>
      <c r="N780">
        <v>2400</v>
      </c>
    </row>
    <row r="781" spans="1:14" x14ac:dyDescent="0.25">
      <c r="A781">
        <v>392.55754000000002</v>
      </c>
      <c r="B781" s="1">
        <f>DATE(2011,5,28) + TIME(13,22,51)</f>
        <v>40691.557534722226</v>
      </c>
      <c r="C781">
        <v>80</v>
      </c>
      <c r="D781">
        <v>79.931152343999997</v>
      </c>
      <c r="E781">
        <v>50</v>
      </c>
      <c r="F781">
        <v>46.263584137000002</v>
      </c>
      <c r="G781">
        <v>1811.3076172000001</v>
      </c>
      <c r="H781">
        <v>1684.6793213000001</v>
      </c>
      <c r="I781">
        <v>904.85369873000002</v>
      </c>
      <c r="J781">
        <v>709.03912353999999</v>
      </c>
      <c r="K781">
        <v>2400</v>
      </c>
      <c r="L781">
        <v>0</v>
      </c>
      <c r="M781">
        <v>0</v>
      </c>
      <c r="N781">
        <v>2400</v>
      </c>
    </row>
    <row r="782" spans="1:14" x14ac:dyDescent="0.25">
      <c r="A782">
        <v>392.87592799999999</v>
      </c>
      <c r="B782" s="1">
        <f>DATE(2011,5,28) + TIME(21,1,20)</f>
        <v>40691.875925925924</v>
      </c>
      <c r="C782">
        <v>80</v>
      </c>
      <c r="D782">
        <v>79.931083678999997</v>
      </c>
      <c r="E782">
        <v>50</v>
      </c>
      <c r="F782">
        <v>46.232200622999997</v>
      </c>
      <c r="G782">
        <v>1811.7977295000001</v>
      </c>
      <c r="H782">
        <v>1685.1708983999999</v>
      </c>
      <c r="I782">
        <v>904.01757812000005</v>
      </c>
      <c r="J782">
        <v>708.17633057</v>
      </c>
      <c r="K782">
        <v>2400</v>
      </c>
      <c r="L782">
        <v>0</v>
      </c>
      <c r="M782">
        <v>0</v>
      </c>
      <c r="N782">
        <v>2400</v>
      </c>
    </row>
    <row r="783" spans="1:14" x14ac:dyDescent="0.25">
      <c r="A783">
        <v>393.19431600000001</v>
      </c>
      <c r="B783" s="1">
        <f>DATE(2011,5,29) + TIME(4,39,48)</f>
        <v>40692.194305555553</v>
      </c>
      <c r="C783">
        <v>80</v>
      </c>
      <c r="D783">
        <v>79.931015015</v>
      </c>
      <c r="E783">
        <v>50</v>
      </c>
      <c r="F783">
        <v>46.201305388999998</v>
      </c>
      <c r="G783">
        <v>1812.276001</v>
      </c>
      <c r="H783">
        <v>1685.6503906</v>
      </c>
      <c r="I783">
        <v>903.19934081999997</v>
      </c>
      <c r="J783">
        <v>707.33172606999995</v>
      </c>
      <c r="K783">
        <v>2400</v>
      </c>
      <c r="L783">
        <v>0</v>
      </c>
      <c r="M783">
        <v>0</v>
      </c>
      <c r="N783">
        <v>2400</v>
      </c>
    </row>
    <row r="784" spans="1:14" x14ac:dyDescent="0.25">
      <c r="A784">
        <v>393.51270399999999</v>
      </c>
      <c r="B784" s="1">
        <f>DATE(2011,5,29) + TIME(12,18,17)</f>
        <v>40692.512696759259</v>
      </c>
      <c r="C784">
        <v>80</v>
      </c>
      <c r="D784">
        <v>79.930946349999999</v>
      </c>
      <c r="E784">
        <v>50</v>
      </c>
      <c r="F784">
        <v>46.170780182000001</v>
      </c>
      <c r="G784">
        <v>1812.7416992000001</v>
      </c>
      <c r="H784">
        <v>1686.1173096</v>
      </c>
      <c r="I784">
        <v>902.39837646000001</v>
      </c>
      <c r="J784">
        <v>706.50463866999996</v>
      </c>
      <c r="K784">
        <v>2400</v>
      </c>
      <c r="L784">
        <v>0</v>
      </c>
      <c r="M784">
        <v>0</v>
      </c>
      <c r="N784">
        <v>2400</v>
      </c>
    </row>
    <row r="785" spans="1:14" x14ac:dyDescent="0.25">
      <c r="A785">
        <v>394.14947999999998</v>
      </c>
      <c r="B785" s="1">
        <f>DATE(2011,5,30) + TIME(3,35,15)</f>
        <v>40693.14947916667</v>
      </c>
      <c r="C785">
        <v>80</v>
      </c>
      <c r="D785">
        <v>79.931030273000005</v>
      </c>
      <c r="E785">
        <v>50</v>
      </c>
      <c r="F785">
        <v>46.123924254999999</v>
      </c>
      <c r="G785">
        <v>1813.7550048999999</v>
      </c>
      <c r="H785">
        <v>1687.1320800999999</v>
      </c>
      <c r="I785">
        <v>900.90777588000003</v>
      </c>
      <c r="J785">
        <v>704.97100829999999</v>
      </c>
      <c r="K785">
        <v>2400</v>
      </c>
      <c r="L785">
        <v>0</v>
      </c>
      <c r="M785">
        <v>0</v>
      </c>
      <c r="N785">
        <v>2400</v>
      </c>
    </row>
    <row r="786" spans="1:14" x14ac:dyDescent="0.25">
      <c r="A786">
        <v>394.78719999999998</v>
      </c>
      <c r="B786" s="1">
        <f>DATE(2011,5,30) + TIME(18,53,34)</f>
        <v>40693.787199074075</v>
      </c>
      <c r="C786">
        <v>80</v>
      </c>
      <c r="D786">
        <v>79.930900574000006</v>
      </c>
      <c r="E786">
        <v>50</v>
      </c>
      <c r="F786">
        <v>46.071640015</v>
      </c>
      <c r="G786">
        <v>1814.6525879000001</v>
      </c>
      <c r="H786">
        <v>1688.0321045000001</v>
      </c>
      <c r="I786">
        <v>899.44946288999995</v>
      </c>
      <c r="J786">
        <v>703.46850586000005</v>
      </c>
      <c r="K786">
        <v>2400</v>
      </c>
      <c r="L786">
        <v>0</v>
      </c>
      <c r="M786">
        <v>0</v>
      </c>
      <c r="N786">
        <v>2400</v>
      </c>
    </row>
    <row r="787" spans="1:14" x14ac:dyDescent="0.25">
      <c r="A787">
        <v>395.43145399999997</v>
      </c>
      <c r="B787" s="1">
        <f>DATE(2011,5,31) + TIME(10,21,17)</f>
        <v>40694.431446759256</v>
      </c>
      <c r="C787">
        <v>80</v>
      </c>
      <c r="D787">
        <v>79.930709839000002</v>
      </c>
      <c r="E787">
        <v>50</v>
      </c>
      <c r="F787">
        <v>46.016189574999999</v>
      </c>
      <c r="G787">
        <v>1815.4771728999999</v>
      </c>
      <c r="H787">
        <v>1688.8586425999999</v>
      </c>
      <c r="I787">
        <v>898.03015137</v>
      </c>
      <c r="J787">
        <v>702.00097656000003</v>
      </c>
      <c r="K787">
        <v>2400</v>
      </c>
      <c r="L787">
        <v>0</v>
      </c>
      <c r="M787">
        <v>0</v>
      </c>
      <c r="N787">
        <v>2400</v>
      </c>
    </row>
    <row r="788" spans="1:14" x14ac:dyDescent="0.25">
      <c r="A788">
        <v>396</v>
      </c>
      <c r="B788" s="1">
        <f>DATE(2011,6,1) + TIME(0,0,0)</f>
        <v>40695</v>
      </c>
      <c r="C788">
        <v>80</v>
      </c>
      <c r="D788">
        <v>79.930496215999995</v>
      </c>
      <c r="E788">
        <v>50</v>
      </c>
      <c r="F788">
        <v>45.963012695000003</v>
      </c>
      <c r="G788">
        <v>1816.1262207</v>
      </c>
      <c r="H788">
        <v>1689.5096435999999</v>
      </c>
      <c r="I788">
        <v>896.80749512</v>
      </c>
      <c r="J788">
        <v>700.73168944999998</v>
      </c>
      <c r="K788">
        <v>2400</v>
      </c>
      <c r="L788">
        <v>0</v>
      </c>
      <c r="M788">
        <v>0</v>
      </c>
      <c r="N788">
        <v>2400</v>
      </c>
    </row>
    <row r="789" spans="1:14" x14ac:dyDescent="0.25">
      <c r="A789">
        <v>396.65277400000002</v>
      </c>
      <c r="B789" s="1">
        <f>DATE(2011,6,1) + TIME(15,39,59)</f>
        <v>40695.652766203704</v>
      </c>
      <c r="C789">
        <v>80</v>
      </c>
      <c r="D789">
        <v>79.930366516000007</v>
      </c>
      <c r="E789">
        <v>50</v>
      </c>
      <c r="F789">
        <v>45.906131744</v>
      </c>
      <c r="G789">
        <v>1816.8638916</v>
      </c>
      <c r="H789">
        <v>1690.2490233999999</v>
      </c>
      <c r="I789">
        <v>895.47637939000003</v>
      </c>
      <c r="J789">
        <v>699.34814453000001</v>
      </c>
      <c r="K789">
        <v>2400</v>
      </c>
      <c r="L789">
        <v>0</v>
      </c>
      <c r="M789">
        <v>0</v>
      </c>
      <c r="N789">
        <v>2400</v>
      </c>
    </row>
    <row r="790" spans="1:14" x14ac:dyDescent="0.25">
      <c r="A790">
        <v>397.32722000000001</v>
      </c>
      <c r="B790" s="1">
        <f>DATE(2011,6,2) + TIME(7,51,11)</f>
        <v>40696.327210648145</v>
      </c>
      <c r="C790">
        <v>80</v>
      </c>
      <c r="D790">
        <v>79.930229186999995</v>
      </c>
      <c r="E790">
        <v>50</v>
      </c>
      <c r="F790">
        <v>45.847099303999997</v>
      </c>
      <c r="G790">
        <v>1817.5744629000001</v>
      </c>
      <c r="H790">
        <v>1690.9614257999999</v>
      </c>
      <c r="I790">
        <v>894.15228271000001</v>
      </c>
      <c r="J790">
        <v>697.96954345999995</v>
      </c>
      <c r="K790">
        <v>2400</v>
      </c>
      <c r="L790">
        <v>0</v>
      </c>
      <c r="M790">
        <v>0</v>
      </c>
      <c r="N790">
        <v>2400</v>
      </c>
    </row>
    <row r="791" spans="1:14" x14ac:dyDescent="0.25">
      <c r="A791">
        <v>398.01621699999998</v>
      </c>
      <c r="B791" s="1">
        <f>DATE(2011,6,3) + TIME(0,23,21)</f>
        <v>40697.016215277778</v>
      </c>
      <c r="C791">
        <v>80</v>
      </c>
      <c r="D791">
        <v>79.930091857999997</v>
      </c>
      <c r="E791">
        <v>50</v>
      </c>
      <c r="F791">
        <v>45.786430359000001</v>
      </c>
      <c r="G791">
        <v>1818.2468262</v>
      </c>
      <c r="H791">
        <v>1691.635376</v>
      </c>
      <c r="I791">
        <v>892.85278319999998</v>
      </c>
      <c r="J791">
        <v>696.61303711000005</v>
      </c>
      <c r="K791">
        <v>2400</v>
      </c>
      <c r="L791">
        <v>0</v>
      </c>
      <c r="M791">
        <v>0</v>
      </c>
      <c r="N791">
        <v>2400</v>
      </c>
    </row>
    <row r="792" spans="1:14" x14ac:dyDescent="0.25">
      <c r="A792">
        <v>398.72263700000002</v>
      </c>
      <c r="B792" s="1">
        <f>DATE(2011,6,3) + TIME(17,20,35)</f>
        <v>40697.722627314812</v>
      </c>
      <c r="C792">
        <v>80</v>
      </c>
      <c r="D792">
        <v>79.929962157999995</v>
      </c>
      <c r="E792">
        <v>50</v>
      </c>
      <c r="F792">
        <v>45.724250793000003</v>
      </c>
      <c r="G792">
        <v>1818.8867187999999</v>
      </c>
      <c r="H792">
        <v>1692.2769774999999</v>
      </c>
      <c r="I792">
        <v>891.57489013999998</v>
      </c>
      <c r="J792">
        <v>695.27545166000004</v>
      </c>
      <c r="K792">
        <v>2400</v>
      </c>
      <c r="L792">
        <v>0</v>
      </c>
      <c r="M792">
        <v>0</v>
      </c>
      <c r="N792">
        <v>2400</v>
      </c>
    </row>
    <row r="793" spans="1:14" x14ac:dyDescent="0.25">
      <c r="A793">
        <v>399.449613</v>
      </c>
      <c r="B793" s="1">
        <f>DATE(2011,6,4) + TIME(10,47,26)</f>
        <v>40698.449606481481</v>
      </c>
      <c r="C793">
        <v>80</v>
      </c>
      <c r="D793">
        <v>79.929847717000001</v>
      </c>
      <c r="E793">
        <v>50</v>
      </c>
      <c r="F793">
        <v>45.660495758000003</v>
      </c>
      <c r="G793">
        <v>1819.4979248</v>
      </c>
      <c r="H793">
        <v>1692.8896483999999</v>
      </c>
      <c r="I793">
        <v>890.31469727000001</v>
      </c>
      <c r="J793">
        <v>693.95288086000005</v>
      </c>
      <c r="K793">
        <v>2400</v>
      </c>
      <c r="L793">
        <v>0</v>
      </c>
      <c r="M793">
        <v>0</v>
      </c>
      <c r="N793">
        <v>2400</v>
      </c>
    </row>
    <row r="794" spans="1:14" x14ac:dyDescent="0.25">
      <c r="A794">
        <v>400.20000599999997</v>
      </c>
      <c r="B794" s="1">
        <f>DATE(2011,6,5) + TIME(4,48,0)</f>
        <v>40699.199999999997</v>
      </c>
      <c r="C794">
        <v>80</v>
      </c>
      <c r="D794">
        <v>79.929740906000006</v>
      </c>
      <c r="E794">
        <v>50</v>
      </c>
      <c r="F794">
        <v>45.595027924</v>
      </c>
      <c r="G794">
        <v>1820.0816649999999</v>
      </c>
      <c r="H794">
        <v>1693.4749756000001</v>
      </c>
      <c r="I794">
        <v>889.06951904000005</v>
      </c>
      <c r="J794">
        <v>692.64215088000003</v>
      </c>
      <c r="K794">
        <v>2400</v>
      </c>
      <c r="L794">
        <v>0</v>
      </c>
      <c r="M794">
        <v>0</v>
      </c>
      <c r="N794">
        <v>2400</v>
      </c>
    </row>
    <row r="795" spans="1:14" x14ac:dyDescent="0.25">
      <c r="A795">
        <v>400.972149</v>
      </c>
      <c r="B795" s="1">
        <f>DATE(2011,6,5) + TIME(23,19,53)</f>
        <v>40699.972141203703</v>
      </c>
      <c r="C795">
        <v>80</v>
      </c>
      <c r="D795">
        <v>79.929641724000007</v>
      </c>
      <c r="E795">
        <v>50</v>
      </c>
      <c r="F795">
        <v>45.527854918999999</v>
      </c>
      <c r="G795">
        <v>1820.6340332</v>
      </c>
      <c r="H795">
        <v>1694.0288086</v>
      </c>
      <c r="I795">
        <v>887.84307861000002</v>
      </c>
      <c r="J795">
        <v>691.34698486000002</v>
      </c>
      <c r="K795">
        <v>2400</v>
      </c>
      <c r="L795">
        <v>0</v>
      </c>
      <c r="M795">
        <v>0</v>
      </c>
      <c r="N795">
        <v>2400</v>
      </c>
    </row>
    <row r="796" spans="1:14" x14ac:dyDescent="0.25">
      <c r="A796">
        <v>401.74575399999998</v>
      </c>
      <c r="B796" s="1">
        <f>DATE(2011,6,6) + TIME(17,53,53)</f>
        <v>40700.745752314811</v>
      </c>
      <c r="C796">
        <v>80</v>
      </c>
      <c r="D796">
        <v>79.929542541999993</v>
      </c>
      <c r="E796">
        <v>50</v>
      </c>
      <c r="F796">
        <v>45.459865569999998</v>
      </c>
      <c r="G796">
        <v>1821.1348877</v>
      </c>
      <c r="H796">
        <v>1694.5310059000001</v>
      </c>
      <c r="I796">
        <v>886.66278076000003</v>
      </c>
      <c r="J796">
        <v>690.09552001999998</v>
      </c>
      <c r="K796">
        <v>2400</v>
      </c>
      <c r="L796">
        <v>0</v>
      </c>
      <c r="M796">
        <v>0</v>
      </c>
      <c r="N796">
        <v>2400</v>
      </c>
    </row>
    <row r="797" spans="1:14" x14ac:dyDescent="0.25">
      <c r="A797">
        <v>402.52287100000001</v>
      </c>
      <c r="B797" s="1">
        <f>DATE(2011,6,7) + TIME(12,32,56)</f>
        <v>40701.522870370369</v>
      </c>
      <c r="C797">
        <v>80</v>
      </c>
      <c r="D797">
        <v>79.929450989000003</v>
      </c>
      <c r="E797">
        <v>50</v>
      </c>
      <c r="F797">
        <v>45.391410827999998</v>
      </c>
      <c r="G797">
        <v>1821.5920410000001</v>
      </c>
      <c r="H797">
        <v>1694.9895019999999</v>
      </c>
      <c r="I797">
        <v>885.52551270000004</v>
      </c>
      <c r="J797">
        <v>688.88482666000004</v>
      </c>
      <c r="K797">
        <v>2400</v>
      </c>
      <c r="L797">
        <v>0</v>
      </c>
      <c r="M797">
        <v>0</v>
      </c>
      <c r="N797">
        <v>2400</v>
      </c>
    </row>
    <row r="798" spans="1:14" x14ac:dyDescent="0.25">
      <c r="A798">
        <v>403.30004600000001</v>
      </c>
      <c r="B798" s="1">
        <f>DATE(2011,6,8) + TIME(7,12,3)</f>
        <v>40702.300034722219</v>
      </c>
      <c r="C798">
        <v>80</v>
      </c>
      <c r="D798">
        <v>79.929367064999994</v>
      </c>
      <c r="E798">
        <v>50</v>
      </c>
      <c r="F798">
        <v>45.322818755999997</v>
      </c>
      <c r="G798">
        <v>1822.0061035000001</v>
      </c>
      <c r="H798">
        <v>1695.4046631000001</v>
      </c>
      <c r="I798">
        <v>884.43334961000005</v>
      </c>
      <c r="J798">
        <v>687.71716308999999</v>
      </c>
      <c r="K798">
        <v>2400</v>
      </c>
      <c r="L798">
        <v>0</v>
      </c>
      <c r="M798">
        <v>0</v>
      </c>
      <c r="N798">
        <v>2400</v>
      </c>
    </row>
    <row r="799" spans="1:14" x14ac:dyDescent="0.25">
      <c r="A799">
        <v>404.07886100000002</v>
      </c>
      <c r="B799" s="1">
        <f>DATE(2011,6,9) + TIME(1,53,33)</f>
        <v>40703.07885416667</v>
      </c>
      <c r="C799">
        <v>80</v>
      </c>
      <c r="D799">
        <v>79.929298400999997</v>
      </c>
      <c r="E799">
        <v>50</v>
      </c>
      <c r="F799">
        <v>45.254173279</v>
      </c>
      <c r="G799">
        <v>1822.3817139</v>
      </c>
      <c r="H799">
        <v>1695.7813721</v>
      </c>
      <c r="I799">
        <v>883.38244628999996</v>
      </c>
      <c r="J799">
        <v>686.58880614999998</v>
      </c>
      <c r="K799">
        <v>2400</v>
      </c>
      <c r="L799">
        <v>0</v>
      </c>
      <c r="M799">
        <v>0</v>
      </c>
      <c r="N799">
        <v>2400</v>
      </c>
    </row>
    <row r="800" spans="1:14" x14ac:dyDescent="0.25">
      <c r="A800">
        <v>404.86172900000003</v>
      </c>
      <c r="B800" s="1">
        <f>DATE(2011,6,9) + TIME(20,40,53)</f>
        <v>40703.861724537041</v>
      </c>
      <c r="C800">
        <v>80</v>
      </c>
      <c r="D800">
        <v>79.929237365999995</v>
      </c>
      <c r="E800">
        <v>50</v>
      </c>
      <c r="F800">
        <v>45.185401917</v>
      </c>
      <c r="G800">
        <v>1822.7229004000001</v>
      </c>
      <c r="H800">
        <v>1696.1236572</v>
      </c>
      <c r="I800">
        <v>882.36798095999995</v>
      </c>
      <c r="J800">
        <v>685.49468993999994</v>
      </c>
      <c r="K800">
        <v>2400</v>
      </c>
      <c r="L800">
        <v>0</v>
      </c>
      <c r="M800">
        <v>0</v>
      </c>
      <c r="N800">
        <v>2400</v>
      </c>
    </row>
    <row r="801" spans="1:14" x14ac:dyDescent="0.25">
      <c r="A801">
        <v>405.65105299999999</v>
      </c>
      <c r="B801" s="1">
        <f>DATE(2011,6,10) + TIME(15,37,30)</f>
        <v>40704.651041666664</v>
      </c>
      <c r="C801">
        <v>80</v>
      </c>
      <c r="D801">
        <v>79.929191588999998</v>
      </c>
      <c r="E801">
        <v>50</v>
      </c>
      <c r="F801">
        <v>45.116359711000001</v>
      </c>
      <c r="G801">
        <v>1823.0324707</v>
      </c>
      <c r="H801">
        <v>1696.4342041</v>
      </c>
      <c r="I801">
        <v>881.38549805000002</v>
      </c>
      <c r="J801">
        <v>684.43011475000003</v>
      </c>
      <c r="K801">
        <v>2400</v>
      </c>
      <c r="L801">
        <v>0</v>
      </c>
      <c r="M801">
        <v>0</v>
      </c>
      <c r="N801">
        <v>2400</v>
      </c>
    </row>
    <row r="802" spans="1:14" x14ac:dyDescent="0.25">
      <c r="A802">
        <v>406.44927300000001</v>
      </c>
      <c r="B802" s="1">
        <f>DATE(2011,6,11) + TIME(10,46,57)</f>
        <v>40705.449270833335</v>
      </c>
      <c r="C802">
        <v>80</v>
      </c>
      <c r="D802">
        <v>79.929145813000005</v>
      </c>
      <c r="E802">
        <v>50</v>
      </c>
      <c r="F802">
        <v>45.046863555999998</v>
      </c>
      <c r="G802">
        <v>1823.3125</v>
      </c>
      <c r="H802">
        <v>1696.7152100000001</v>
      </c>
      <c r="I802">
        <v>880.43096923999997</v>
      </c>
      <c r="J802">
        <v>683.39080810999997</v>
      </c>
      <c r="K802">
        <v>2400</v>
      </c>
      <c r="L802">
        <v>0</v>
      </c>
      <c r="M802">
        <v>0</v>
      </c>
      <c r="N802">
        <v>2400</v>
      </c>
    </row>
    <row r="803" spans="1:14" x14ac:dyDescent="0.25">
      <c r="A803">
        <v>407.25859100000002</v>
      </c>
      <c r="B803" s="1">
        <f>DATE(2011,6,12) + TIME(6,12,22)</f>
        <v>40706.258587962962</v>
      </c>
      <c r="C803">
        <v>80</v>
      </c>
      <c r="D803">
        <v>79.929115295000003</v>
      </c>
      <c r="E803">
        <v>50</v>
      </c>
      <c r="F803">
        <v>44.976722717000001</v>
      </c>
      <c r="G803">
        <v>1823.5645752</v>
      </c>
      <c r="H803">
        <v>1696.9681396000001</v>
      </c>
      <c r="I803">
        <v>879.50079345999995</v>
      </c>
      <c r="J803">
        <v>682.37274170000001</v>
      </c>
      <c r="K803">
        <v>2400</v>
      </c>
      <c r="L803">
        <v>0</v>
      </c>
      <c r="M803">
        <v>0</v>
      </c>
      <c r="N803">
        <v>2400</v>
      </c>
    </row>
    <row r="804" spans="1:14" x14ac:dyDescent="0.25">
      <c r="A804">
        <v>408.08066300000002</v>
      </c>
      <c r="B804" s="1">
        <f>DATE(2011,6,13) + TIME(1,56,9)</f>
        <v>40707.080659722225</v>
      </c>
      <c r="C804">
        <v>80</v>
      </c>
      <c r="D804">
        <v>79.929084778000004</v>
      </c>
      <c r="E804">
        <v>50</v>
      </c>
      <c r="F804">
        <v>44.905761718999997</v>
      </c>
      <c r="G804">
        <v>1823.7894286999999</v>
      </c>
      <c r="H804">
        <v>1697.1937256000001</v>
      </c>
      <c r="I804">
        <v>878.59240723000005</v>
      </c>
      <c r="J804">
        <v>681.37304687999995</v>
      </c>
      <c r="K804">
        <v>2400</v>
      </c>
      <c r="L804">
        <v>0</v>
      </c>
      <c r="M804">
        <v>0</v>
      </c>
      <c r="N804">
        <v>2400</v>
      </c>
    </row>
    <row r="805" spans="1:14" x14ac:dyDescent="0.25">
      <c r="A805">
        <v>408.91819700000002</v>
      </c>
      <c r="B805" s="1">
        <f>DATE(2011,6,13) + TIME(22,2,12)</f>
        <v>40707.918194444443</v>
      </c>
      <c r="C805">
        <v>80</v>
      </c>
      <c r="D805">
        <v>79.92906189</v>
      </c>
      <c r="E805">
        <v>50</v>
      </c>
      <c r="F805">
        <v>44.833770752</v>
      </c>
      <c r="G805">
        <v>1823.9880370999999</v>
      </c>
      <c r="H805">
        <v>1697.3931885</v>
      </c>
      <c r="I805">
        <v>877.70251465000001</v>
      </c>
      <c r="J805">
        <v>680.38793944999998</v>
      </c>
      <c r="K805">
        <v>2400</v>
      </c>
      <c r="L805">
        <v>0</v>
      </c>
      <c r="M805">
        <v>0</v>
      </c>
      <c r="N805">
        <v>2400</v>
      </c>
    </row>
    <row r="806" spans="1:14" x14ac:dyDescent="0.25">
      <c r="A806">
        <v>409.77413100000001</v>
      </c>
      <c r="B806" s="1">
        <f>DATE(2011,6,14) + TIME(18,34,44)</f>
        <v>40708.77412037037</v>
      </c>
      <c r="C806">
        <v>80</v>
      </c>
      <c r="D806">
        <v>79.929046631000006</v>
      </c>
      <c r="E806">
        <v>50</v>
      </c>
      <c r="F806">
        <v>44.760513306</v>
      </c>
      <c r="G806">
        <v>1824.1613769999999</v>
      </c>
      <c r="H806">
        <v>1697.5672606999999</v>
      </c>
      <c r="I806">
        <v>876.82794189000003</v>
      </c>
      <c r="J806">
        <v>679.41369628999996</v>
      </c>
      <c r="K806">
        <v>2400</v>
      </c>
      <c r="L806">
        <v>0</v>
      </c>
      <c r="M806">
        <v>0</v>
      </c>
      <c r="N806">
        <v>2400</v>
      </c>
    </row>
    <row r="807" spans="1:14" x14ac:dyDescent="0.25">
      <c r="A807">
        <v>410.65170799999999</v>
      </c>
      <c r="B807" s="1">
        <f>DATE(2011,6,15) + TIME(15,38,27)</f>
        <v>40709.651701388888</v>
      </c>
      <c r="C807">
        <v>80</v>
      </c>
      <c r="D807">
        <v>79.929031371999997</v>
      </c>
      <c r="E807">
        <v>50</v>
      </c>
      <c r="F807">
        <v>44.685722351000003</v>
      </c>
      <c r="G807">
        <v>1824.3098144999999</v>
      </c>
      <c r="H807">
        <v>1697.7164307</v>
      </c>
      <c r="I807">
        <v>875.96545409999999</v>
      </c>
      <c r="J807">
        <v>678.44665526999995</v>
      </c>
      <c r="K807">
        <v>2400</v>
      </c>
      <c r="L807">
        <v>0</v>
      </c>
      <c r="M807">
        <v>0</v>
      </c>
      <c r="N807">
        <v>2400</v>
      </c>
    </row>
    <row r="808" spans="1:14" x14ac:dyDescent="0.25">
      <c r="A808">
        <v>411.54762399999998</v>
      </c>
      <c r="B808" s="1">
        <f>DATE(2011,6,16) + TIME(13,8,34)</f>
        <v>40710.547615740739</v>
      </c>
      <c r="C808">
        <v>80</v>
      </c>
      <c r="D808">
        <v>79.929023743000002</v>
      </c>
      <c r="E808">
        <v>50</v>
      </c>
      <c r="F808">
        <v>44.609382629000002</v>
      </c>
      <c r="G808">
        <v>1824.4310303</v>
      </c>
      <c r="H808">
        <v>1697.8382568</v>
      </c>
      <c r="I808">
        <v>875.11676024999997</v>
      </c>
      <c r="J808">
        <v>677.48803711000005</v>
      </c>
      <c r="K808">
        <v>2400</v>
      </c>
      <c r="L808">
        <v>0</v>
      </c>
      <c r="M808">
        <v>0</v>
      </c>
      <c r="N808">
        <v>2400</v>
      </c>
    </row>
    <row r="809" spans="1:14" x14ac:dyDescent="0.25">
      <c r="A809">
        <v>412.44552900000002</v>
      </c>
      <c r="B809" s="1">
        <f>DATE(2011,6,17) + TIME(10,41,33)</f>
        <v>40711.445520833331</v>
      </c>
      <c r="C809">
        <v>80</v>
      </c>
      <c r="D809">
        <v>79.929016113000003</v>
      </c>
      <c r="E809">
        <v>50</v>
      </c>
      <c r="F809">
        <v>44.532142639</v>
      </c>
      <c r="G809">
        <v>1824.5194091999999</v>
      </c>
      <c r="H809">
        <v>1697.9272461</v>
      </c>
      <c r="I809">
        <v>874.29205321999996</v>
      </c>
      <c r="J809">
        <v>676.54895020000004</v>
      </c>
      <c r="K809">
        <v>2400</v>
      </c>
      <c r="L809">
        <v>0</v>
      </c>
      <c r="M809">
        <v>0</v>
      </c>
      <c r="N809">
        <v>2400</v>
      </c>
    </row>
    <row r="810" spans="1:14" x14ac:dyDescent="0.25">
      <c r="A810">
        <v>413.34789899999998</v>
      </c>
      <c r="B810" s="1">
        <f>DATE(2011,6,18) + TIME(8,20,58)</f>
        <v>40712.347893518519</v>
      </c>
      <c r="C810">
        <v>80</v>
      </c>
      <c r="D810">
        <v>79.929008483999993</v>
      </c>
      <c r="E810">
        <v>50</v>
      </c>
      <c r="F810">
        <v>44.454284668</v>
      </c>
      <c r="G810">
        <v>1824.5794678</v>
      </c>
      <c r="H810">
        <v>1697.987793</v>
      </c>
      <c r="I810">
        <v>873.49029541000004</v>
      </c>
      <c r="J810">
        <v>675.62829590000001</v>
      </c>
      <c r="K810">
        <v>2400</v>
      </c>
      <c r="L810">
        <v>0</v>
      </c>
      <c r="M810">
        <v>0</v>
      </c>
      <c r="N810">
        <v>2400</v>
      </c>
    </row>
    <row r="811" spans="1:14" x14ac:dyDescent="0.25">
      <c r="A811">
        <v>414.25723399999998</v>
      </c>
      <c r="B811" s="1">
        <f>DATE(2011,6,19) + TIME(6,10,25)</f>
        <v>40713.257233796299</v>
      </c>
      <c r="C811">
        <v>80</v>
      </c>
      <c r="D811">
        <v>79.929016113000003</v>
      </c>
      <c r="E811">
        <v>50</v>
      </c>
      <c r="F811">
        <v>44.375827788999999</v>
      </c>
      <c r="G811">
        <v>1824.6140137</v>
      </c>
      <c r="H811">
        <v>1698.0229492000001</v>
      </c>
      <c r="I811">
        <v>872.70837401999995</v>
      </c>
      <c r="J811">
        <v>674.72308350000003</v>
      </c>
      <c r="K811">
        <v>2400</v>
      </c>
      <c r="L811">
        <v>0</v>
      </c>
      <c r="M811">
        <v>0</v>
      </c>
      <c r="N811">
        <v>2400</v>
      </c>
    </row>
    <row r="812" spans="1:14" x14ac:dyDescent="0.25">
      <c r="A812">
        <v>415.17338000000001</v>
      </c>
      <c r="B812" s="1">
        <f>DATE(2011,6,20) + TIME(4,9,40)</f>
        <v>40714.173379629632</v>
      </c>
      <c r="C812">
        <v>80</v>
      </c>
      <c r="D812">
        <v>79.929023743000002</v>
      </c>
      <c r="E812">
        <v>50</v>
      </c>
      <c r="F812">
        <v>44.296752929999997</v>
      </c>
      <c r="G812">
        <v>1824.6242675999999</v>
      </c>
      <c r="H812">
        <v>1698.0336914</v>
      </c>
      <c r="I812">
        <v>871.94476318</v>
      </c>
      <c r="J812">
        <v>673.83142090000001</v>
      </c>
      <c r="K812">
        <v>2400</v>
      </c>
      <c r="L812">
        <v>0</v>
      </c>
      <c r="M812">
        <v>0</v>
      </c>
      <c r="N812">
        <v>2400</v>
      </c>
    </row>
    <row r="813" spans="1:14" x14ac:dyDescent="0.25">
      <c r="A813">
        <v>416.09270199999997</v>
      </c>
      <c r="B813" s="1">
        <f>DATE(2011,6,21) + TIME(2,13,29)</f>
        <v>40715.09269675926</v>
      </c>
      <c r="C813">
        <v>80</v>
      </c>
      <c r="D813">
        <v>79.929031371999997</v>
      </c>
      <c r="E813">
        <v>50</v>
      </c>
      <c r="F813">
        <v>44.217189789000003</v>
      </c>
      <c r="G813">
        <v>1824.6102295000001</v>
      </c>
      <c r="H813">
        <v>1698.0202637</v>
      </c>
      <c r="I813">
        <v>871.19982909999999</v>
      </c>
      <c r="J813">
        <v>672.95391845999995</v>
      </c>
      <c r="K813">
        <v>2400</v>
      </c>
      <c r="L813">
        <v>0</v>
      </c>
      <c r="M813">
        <v>0</v>
      </c>
      <c r="N813">
        <v>2400</v>
      </c>
    </row>
    <row r="814" spans="1:14" x14ac:dyDescent="0.25">
      <c r="A814">
        <v>417.017898</v>
      </c>
      <c r="B814" s="1">
        <f>DATE(2011,6,22) + TIME(0,25,46)</f>
        <v>40716.017893518518</v>
      </c>
      <c r="C814">
        <v>80</v>
      </c>
      <c r="D814">
        <v>79.929054260000001</v>
      </c>
      <c r="E814">
        <v>50</v>
      </c>
      <c r="F814">
        <v>44.137104033999996</v>
      </c>
      <c r="G814">
        <v>1824.5743408000001</v>
      </c>
      <c r="H814">
        <v>1697.9847411999999</v>
      </c>
      <c r="I814">
        <v>870.47131348000005</v>
      </c>
      <c r="J814">
        <v>672.08795166000004</v>
      </c>
      <c r="K814">
        <v>2400</v>
      </c>
      <c r="L814">
        <v>0</v>
      </c>
      <c r="M814">
        <v>0</v>
      </c>
      <c r="N814">
        <v>2400</v>
      </c>
    </row>
    <row r="815" spans="1:14" x14ac:dyDescent="0.25">
      <c r="A815">
        <v>417.95171900000003</v>
      </c>
      <c r="B815" s="1">
        <f>DATE(2011,6,22) + TIME(22,50,28)</f>
        <v>40716.95171296296</v>
      </c>
      <c r="C815">
        <v>80</v>
      </c>
      <c r="D815">
        <v>79.929077148000005</v>
      </c>
      <c r="E815">
        <v>50</v>
      </c>
      <c r="F815">
        <v>44.056335449000002</v>
      </c>
      <c r="G815">
        <v>1824.5177002</v>
      </c>
      <c r="H815">
        <v>1697.9285889</v>
      </c>
      <c r="I815">
        <v>869.75610352000001</v>
      </c>
      <c r="J815">
        <v>671.22998046999999</v>
      </c>
      <c r="K815">
        <v>2400</v>
      </c>
      <c r="L815">
        <v>0</v>
      </c>
      <c r="M815">
        <v>0</v>
      </c>
      <c r="N815">
        <v>2400</v>
      </c>
    </row>
    <row r="816" spans="1:14" x14ac:dyDescent="0.25">
      <c r="A816">
        <v>418.89699899999999</v>
      </c>
      <c r="B816" s="1">
        <f>DATE(2011,6,23) + TIME(21,31,40)</f>
        <v>40717.896990740737</v>
      </c>
      <c r="C816">
        <v>80</v>
      </c>
      <c r="D816">
        <v>79.929100036999998</v>
      </c>
      <c r="E816">
        <v>50</v>
      </c>
      <c r="F816">
        <v>43.974666595000002</v>
      </c>
      <c r="G816">
        <v>1824.4412841999999</v>
      </c>
      <c r="H816">
        <v>1697.8525391000001</v>
      </c>
      <c r="I816">
        <v>869.05114746000004</v>
      </c>
      <c r="J816">
        <v>670.37658691000001</v>
      </c>
      <c r="K816">
        <v>2400</v>
      </c>
      <c r="L816">
        <v>0</v>
      </c>
      <c r="M816">
        <v>0</v>
      </c>
      <c r="N816">
        <v>2400</v>
      </c>
    </row>
    <row r="817" spans="1:14" x14ac:dyDescent="0.25">
      <c r="A817">
        <v>419.85672399999999</v>
      </c>
      <c r="B817" s="1">
        <f>DATE(2011,6,24) + TIME(20,33,40)</f>
        <v>40718.856712962966</v>
      </c>
      <c r="C817">
        <v>80</v>
      </c>
      <c r="D817">
        <v>79.929138183999996</v>
      </c>
      <c r="E817">
        <v>50</v>
      </c>
      <c r="F817">
        <v>43.891853333</v>
      </c>
      <c r="G817">
        <v>1824.3453368999999</v>
      </c>
      <c r="H817">
        <v>1697.7569579999999</v>
      </c>
      <c r="I817">
        <v>868.35345458999996</v>
      </c>
      <c r="J817">
        <v>669.52392578000001</v>
      </c>
      <c r="K817">
        <v>2400</v>
      </c>
      <c r="L817">
        <v>0</v>
      </c>
      <c r="M817">
        <v>0</v>
      </c>
      <c r="N817">
        <v>2400</v>
      </c>
    </row>
    <row r="818" spans="1:14" x14ac:dyDescent="0.25">
      <c r="A818">
        <v>420.83408700000001</v>
      </c>
      <c r="B818" s="1">
        <f>DATE(2011,6,25) + TIME(20,1,5)</f>
        <v>40719.834085648145</v>
      </c>
      <c r="C818">
        <v>80</v>
      </c>
      <c r="D818">
        <v>79.929176330999994</v>
      </c>
      <c r="E818">
        <v>50</v>
      </c>
      <c r="F818">
        <v>43.807617188000002</v>
      </c>
      <c r="G818">
        <v>1824.2301024999999</v>
      </c>
      <c r="H818">
        <v>1697.6420897999999</v>
      </c>
      <c r="I818">
        <v>867.66003418000003</v>
      </c>
      <c r="J818">
        <v>668.66839600000003</v>
      </c>
      <c r="K818">
        <v>2400</v>
      </c>
      <c r="L818">
        <v>0</v>
      </c>
      <c r="M818">
        <v>0</v>
      </c>
      <c r="N818">
        <v>2400</v>
      </c>
    </row>
    <row r="819" spans="1:14" x14ac:dyDescent="0.25">
      <c r="A819">
        <v>421.83256299999999</v>
      </c>
      <c r="B819" s="1">
        <f>DATE(2011,6,26) + TIME(19,58,53)</f>
        <v>40720.832557870373</v>
      </c>
      <c r="C819">
        <v>80</v>
      </c>
      <c r="D819">
        <v>79.929214478000006</v>
      </c>
      <c r="E819">
        <v>50</v>
      </c>
      <c r="F819">
        <v>43.721645355</v>
      </c>
      <c r="G819">
        <v>1824.0953368999999</v>
      </c>
      <c r="H819">
        <v>1697.5076904</v>
      </c>
      <c r="I819">
        <v>866.96795654000005</v>
      </c>
      <c r="J819">
        <v>667.80596923999997</v>
      </c>
      <c r="K819">
        <v>2400</v>
      </c>
      <c r="L819">
        <v>0</v>
      </c>
      <c r="M819">
        <v>0</v>
      </c>
      <c r="N819">
        <v>2400</v>
      </c>
    </row>
    <row r="820" spans="1:14" x14ac:dyDescent="0.25">
      <c r="A820">
        <v>422.85599400000001</v>
      </c>
      <c r="B820" s="1">
        <f>DATE(2011,6,27) + TIME(20,32,37)</f>
        <v>40721.855983796297</v>
      </c>
      <c r="C820">
        <v>80</v>
      </c>
      <c r="D820">
        <v>79.929260253999999</v>
      </c>
      <c r="E820">
        <v>50</v>
      </c>
      <c r="F820">
        <v>43.633605957</v>
      </c>
      <c r="G820">
        <v>1823.9406738</v>
      </c>
      <c r="H820">
        <v>1697.3533935999999</v>
      </c>
      <c r="I820">
        <v>866.27398682</v>
      </c>
      <c r="J820">
        <v>666.93255614999998</v>
      </c>
      <c r="K820">
        <v>2400</v>
      </c>
      <c r="L820">
        <v>0</v>
      </c>
      <c r="M820">
        <v>0</v>
      </c>
      <c r="N820">
        <v>2400</v>
      </c>
    </row>
    <row r="821" spans="1:14" x14ac:dyDescent="0.25">
      <c r="A821">
        <v>423.88682399999999</v>
      </c>
      <c r="B821" s="1">
        <f>DATE(2011,6,28) + TIME(21,17,1)</f>
        <v>40722.886817129627</v>
      </c>
      <c r="C821">
        <v>80</v>
      </c>
      <c r="D821">
        <v>79.929306030000006</v>
      </c>
      <c r="E821">
        <v>50</v>
      </c>
      <c r="F821">
        <v>43.543941498000002</v>
      </c>
      <c r="G821">
        <v>1823.7647704999999</v>
      </c>
      <c r="H821">
        <v>1697.1778564000001</v>
      </c>
      <c r="I821">
        <v>865.58233643000005</v>
      </c>
      <c r="J821">
        <v>666.05279541000004</v>
      </c>
      <c r="K821">
        <v>2400</v>
      </c>
      <c r="L821">
        <v>0</v>
      </c>
      <c r="M821">
        <v>0</v>
      </c>
      <c r="N821">
        <v>2400</v>
      </c>
    </row>
    <row r="822" spans="1:14" x14ac:dyDescent="0.25">
      <c r="A822">
        <v>424.92203899999998</v>
      </c>
      <c r="B822" s="1">
        <f>DATE(2011,6,29) + TIME(22,7,44)</f>
        <v>40723.922037037039</v>
      </c>
      <c r="C822">
        <v>80</v>
      </c>
      <c r="D822">
        <v>79.929351807000003</v>
      </c>
      <c r="E822">
        <v>50</v>
      </c>
      <c r="F822">
        <v>43.453144072999997</v>
      </c>
      <c r="G822">
        <v>1823.5698242000001</v>
      </c>
      <c r="H822">
        <v>1696.9831543</v>
      </c>
      <c r="I822">
        <v>864.89605713000003</v>
      </c>
      <c r="J822">
        <v>665.17047118999994</v>
      </c>
      <c r="K822">
        <v>2400</v>
      </c>
      <c r="L822">
        <v>0</v>
      </c>
      <c r="M822">
        <v>0</v>
      </c>
      <c r="N822">
        <v>2400</v>
      </c>
    </row>
    <row r="823" spans="1:14" x14ac:dyDescent="0.25">
      <c r="A823">
        <v>425.46101900000002</v>
      </c>
      <c r="B823" s="1">
        <f>DATE(2011,6,30) + TIME(11,3,52)</f>
        <v>40724.461018518516</v>
      </c>
      <c r="C823">
        <v>80</v>
      </c>
      <c r="D823">
        <v>79.929252625000004</v>
      </c>
      <c r="E823">
        <v>50</v>
      </c>
      <c r="F823">
        <v>43.387733459000003</v>
      </c>
      <c r="G823">
        <v>1823.3991699000001</v>
      </c>
      <c r="H823">
        <v>1696.8126221</v>
      </c>
      <c r="I823">
        <v>864.40502930000002</v>
      </c>
      <c r="J823">
        <v>664.53326416000004</v>
      </c>
      <c r="K823">
        <v>2400</v>
      </c>
      <c r="L823">
        <v>0</v>
      </c>
      <c r="M823">
        <v>0</v>
      </c>
      <c r="N823">
        <v>2400</v>
      </c>
    </row>
    <row r="824" spans="1:14" x14ac:dyDescent="0.25">
      <c r="A824">
        <v>426</v>
      </c>
      <c r="B824" s="1">
        <f>DATE(2011,7,1) + TIME(0,0,0)</f>
        <v>40725</v>
      </c>
      <c r="C824">
        <v>80</v>
      </c>
      <c r="D824">
        <v>79.929229735999996</v>
      </c>
      <c r="E824">
        <v>50</v>
      </c>
      <c r="F824">
        <v>43.329269408999998</v>
      </c>
      <c r="G824">
        <v>1823.2353516000001</v>
      </c>
      <c r="H824">
        <v>1696.6488036999999</v>
      </c>
      <c r="I824">
        <v>864.00195312000005</v>
      </c>
      <c r="J824">
        <v>663.99719238</v>
      </c>
      <c r="K824">
        <v>2400</v>
      </c>
      <c r="L824">
        <v>0</v>
      </c>
      <c r="M824">
        <v>0</v>
      </c>
      <c r="N824">
        <v>2400</v>
      </c>
    </row>
    <row r="825" spans="1:14" x14ac:dyDescent="0.25">
      <c r="A825">
        <v>427.05982699999998</v>
      </c>
      <c r="B825" s="1">
        <f>DATE(2011,7,2) + TIME(1,26,9)</f>
        <v>40726.05982638889</v>
      </c>
      <c r="C825">
        <v>80</v>
      </c>
      <c r="D825">
        <v>79.929443359000004</v>
      </c>
      <c r="E825">
        <v>50</v>
      </c>
      <c r="F825">
        <v>43.252353667999998</v>
      </c>
      <c r="G825">
        <v>1823.0550536999999</v>
      </c>
      <c r="H825">
        <v>1696.4689940999999</v>
      </c>
      <c r="I825">
        <v>863.45074463000003</v>
      </c>
      <c r="J825">
        <v>663.27032470999995</v>
      </c>
      <c r="K825">
        <v>2400</v>
      </c>
      <c r="L825">
        <v>0</v>
      </c>
      <c r="M825">
        <v>0</v>
      </c>
      <c r="N825">
        <v>2400</v>
      </c>
    </row>
    <row r="826" spans="1:14" x14ac:dyDescent="0.25">
      <c r="A826">
        <v>428.12405000000001</v>
      </c>
      <c r="B826" s="1">
        <f>DATE(2011,7,3) + TIME(2,58,37)</f>
        <v>40727.124039351853</v>
      </c>
      <c r="C826">
        <v>80</v>
      </c>
      <c r="D826">
        <v>79.929550171000002</v>
      </c>
      <c r="E826">
        <v>50</v>
      </c>
      <c r="F826">
        <v>43.164966583000002</v>
      </c>
      <c r="G826">
        <v>1822.8426514</v>
      </c>
      <c r="H826">
        <v>1696.2568358999999</v>
      </c>
      <c r="I826">
        <v>862.79840088000003</v>
      </c>
      <c r="J826">
        <v>662.41271973000005</v>
      </c>
      <c r="K826">
        <v>2400</v>
      </c>
      <c r="L826">
        <v>0</v>
      </c>
      <c r="M826">
        <v>0</v>
      </c>
      <c r="N826">
        <v>2400</v>
      </c>
    </row>
    <row r="827" spans="1:14" x14ac:dyDescent="0.25">
      <c r="A827">
        <v>429.19499300000001</v>
      </c>
      <c r="B827" s="1">
        <f>DATE(2011,7,4) + TIME(4,40,47)</f>
        <v>40728.194988425923</v>
      </c>
      <c r="C827">
        <v>80</v>
      </c>
      <c r="D827">
        <v>79.929611206000004</v>
      </c>
      <c r="E827">
        <v>50</v>
      </c>
      <c r="F827">
        <v>43.072547913000001</v>
      </c>
      <c r="G827">
        <v>1822.5992432</v>
      </c>
      <c r="H827">
        <v>1696.0136719</v>
      </c>
      <c r="I827">
        <v>862.12994385000002</v>
      </c>
      <c r="J827">
        <v>661.52081298999997</v>
      </c>
      <c r="K827">
        <v>2400</v>
      </c>
      <c r="L827">
        <v>0</v>
      </c>
      <c r="M827">
        <v>0</v>
      </c>
      <c r="N827">
        <v>2400</v>
      </c>
    </row>
    <row r="828" spans="1:14" x14ac:dyDescent="0.25">
      <c r="A828">
        <v>430.27347900000001</v>
      </c>
      <c r="B828" s="1">
        <f>DATE(2011,7,5) + TIME(6,33,48)</f>
        <v>40729.273472222223</v>
      </c>
      <c r="C828">
        <v>80</v>
      </c>
      <c r="D828">
        <v>79.929664611999996</v>
      </c>
      <c r="E828">
        <v>50</v>
      </c>
      <c r="F828">
        <v>42.977363586000003</v>
      </c>
      <c r="G828">
        <v>1822.3342285000001</v>
      </c>
      <c r="H828">
        <v>1695.7489014</v>
      </c>
      <c r="I828">
        <v>861.45477295000001</v>
      </c>
      <c r="J828">
        <v>660.60906981999995</v>
      </c>
      <c r="K828">
        <v>2400</v>
      </c>
      <c r="L828">
        <v>0</v>
      </c>
      <c r="M828">
        <v>0</v>
      </c>
      <c r="N828">
        <v>2400</v>
      </c>
    </row>
    <row r="829" spans="1:14" x14ac:dyDescent="0.25">
      <c r="A829">
        <v>431.36287700000003</v>
      </c>
      <c r="B829" s="1">
        <f>DATE(2011,7,6) + TIME(8,42,32)</f>
        <v>40730.362870370373</v>
      </c>
      <c r="C829">
        <v>80</v>
      </c>
      <c r="D829">
        <v>79.929718018000003</v>
      </c>
      <c r="E829">
        <v>50</v>
      </c>
      <c r="F829">
        <v>42.880233765</v>
      </c>
      <c r="G829">
        <v>1822.0523682</v>
      </c>
      <c r="H829">
        <v>1695.4672852000001</v>
      </c>
      <c r="I829">
        <v>860.77410888999998</v>
      </c>
      <c r="J829">
        <v>659.68054199000005</v>
      </c>
      <c r="K829">
        <v>2400</v>
      </c>
      <c r="L829">
        <v>0</v>
      </c>
      <c r="M829">
        <v>0</v>
      </c>
      <c r="N829">
        <v>2400</v>
      </c>
    </row>
    <row r="830" spans="1:14" x14ac:dyDescent="0.25">
      <c r="A830">
        <v>432.46663799999999</v>
      </c>
      <c r="B830" s="1">
        <f>DATE(2011,7,7) + TIME(11,11,57)</f>
        <v>40731.466631944444</v>
      </c>
      <c r="C830">
        <v>80</v>
      </c>
      <c r="D830">
        <v>79.929786682</v>
      </c>
      <c r="E830">
        <v>50</v>
      </c>
      <c r="F830">
        <v>42.781311035000002</v>
      </c>
      <c r="G830">
        <v>1821.7554932</v>
      </c>
      <c r="H830">
        <v>1695.1705322</v>
      </c>
      <c r="I830">
        <v>860.08673095999995</v>
      </c>
      <c r="J830">
        <v>658.73406981999995</v>
      </c>
      <c r="K830">
        <v>2400</v>
      </c>
      <c r="L830">
        <v>0</v>
      </c>
      <c r="M830">
        <v>0</v>
      </c>
      <c r="N830">
        <v>2400</v>
      </c>
    </row>
    <row r="831" spans="1:14" x14ac:dyDescent="0.25">
      <c r="A831">
        <v>433.58839399999999</v>
      </c>
      <c r="B831" s="1">
        <f>DATE(2011,7,8) + TIME(14,7,17)</f>
        <v>40732.588391203702</v>
      </c>
      <c r="C831">
        <v>80</v>
      </c>
      <c r="D831">
        <v>79.929855347</v>
      </c>
      <c r="E831">
        <v>50</v>
      </c>
      <c r="F831">
        <v>42.680454253999997</v>
      </c>
      <c r="G831">
        <v>1821.4438477000001</v>
      </c>
      <c r="H831">
        <v>1694.8591309000001</v>
      </c>
      <c r="I831">
        <v>859.39031981999995</v>
      </c>
      <c r="J831">
        <v>657.76654053000004</v>
      </c>
      <c r="K831">
        <v>2400</v>
      </c>
      <c r="L831">
        <v>0</v>
      </c>
      <c r="M831">
        <v>0</v>
      </c>
      <c r="N831">
        <v>2400</v>
      </c>
    </row>
    <row r="832" spans="1:14" x14ac:dyDescent="0.25">
      <c r="A832">
        <v>434.73205200000001</v>
      </c>
      <c r="B832" s="1">
        <f>DATE(2011,7,9) + TIME(17,34,9)</f>
        <v>40733.732048611113</v>
      </c>
      <c r="C832">
        <v>80</v>
      </c>
      <c r="D832">
        <v>79.929931640999996</v>
      </c>
      <c r="E832">
        <v>50</v>
      </c>
      <c r="F832">
        <v>42.577377319</v>
      </c>
      <c r="G832">
        <v>1821.1174315999999</v>
      </c>
      <c r="H832">
        <v>1694.5328368999999</v>
      </c>
      <c r="I832">
        <v>858.68206786999997</v>
      </c>
      <c r="J832">
        <v>656.77404784999999</v>
      </c>
      <c r="K832">
        <v>2400</v>
      </c>
      <c r="L832">
        <v>0</v>
      </c>
      <c r="M832">
        <v>0</v>
      </c>
      <c r="N832">
        <v>2400</v>
      </c>
    </row>
    <row r="833" spans="1:14" x14ac:dyDescent="0.25">
      <c r="A833">
        <v>435.89993199999998</v>
      </c>
      <c r="B833" s="1">
        <f>DATE(2011,7,10) + TIME(21,35,54)</f>
        <v>40734.899930555555</v>
      </c>
      <c r="C833">
        <v>80</v>
      </c>
      <c r="D833">
        <v>79.930007935000006</v>
      </c>
      <c r="E833">
        <v>50</v>
      </c>
      <c r="F833">
        <v>42.471790314000003</v>
      </c>
      <c r="G833">
        <v>1820.7757568</v>
      </c>
      <c r="H833">
        <v>1694.1914062000001</v>
      </c>
      <c r="I833">
        <v>857.95916748000002</v>
      </c>
      <c r="J833">
        <v>655.75244140999996</v>
      </c>
      <c r="K833">
        <v>2400</v>
      </c>
      <c r="L833">
        <v>0</v>
      </c>
      <c r="M833">
        <v>0</v>
      </c>
      <c r="N833">
        <v>2400</v>
      </c>
    </row>
    <row r="834" spans="1:14" x14ac:dyDescent="0.25">
      <c r="A834">
        <v>437.07580999999999</v>
      </c>
      <c r="B834" s="1">
        <f>DATE(2011,7,12) + TIME(1,49,9)</f>
        <v>40736.075798611113</v>
      </c>
      <c r="C834">
        <v>80</v>
      </c>
      <c r="D834">
        <v>79.930084229000002</v>
      </c>
      <c r="E834">
        <v>50</v>
      </c>
      <c r="F834">
        <v>42.364082336000003</v>
      </c>
      <c r="G834">
        <v>1820.4206543</v>
      </c>
      <c r="H834">
        <v>1693.8365478999999</v>
      </c>
      <c r="I834">
        <v>857.22271728999999</v>
      </c>
      <c r="J834">
        <v>654.70343018000005</v>
      </c>
      <c r="K834">
        <v>2400</v>
      </c>
      <c r="L834">
        <v>0</v>
      </c>
      <c r="M834">
        <v>0</v>
      </c>
      <c r="N834">
        <v>2400</v>
      </c>
    </row>
    <row r="835" spans="1:14" x14ac:dyDescent="0.25">
      <c r="A835">
        <v>438.257229</v>
      </c>
      <c r="B835" s="1">
        <f>DATE(2011,7,13) + TIME(6,10,24)</f>
        <v>40737.257222222222</v>
      </c>
      <c r="C835">
        <v>80</v>
      </c>
      <c r="D835">
        <v>79.930168151999993</v>
      </c>
      <c r="E835">
        <v>50</v>
      </c>
      <c r="F835">
        <v>42.254779816000003</v>
      </c>
      <c r="G835">
        <v>1820.0543213000001</v>
      </c>
      <c r="H835">
        <v>1693.4703368999999</v>
      </c>
      <c r="I835">
        <v>856.47692871000004</v>
      </c>
      <c r="J835">
        <v>653.63238524999997</v>
      </c>
      <c r="K835">
        <v>2400</v>
      </c>
      <c r="L835">
        <v>0</v>
      </c>
      <c r="M835">
        <v>0</v>
      </c>
      <c r="N835">
        <v>2400</v>
      </c>
    </row>
    <row r="836" spans="1:14" x14ac:dyDescent="0.25">
      <c r="A836">
        <v>439.44731999999999</v>
      </c>
      <c r="B836" s="1">
        <f>DATE(2011,7,14) + TIME(10,44,8)</f>
        <v>40738.447314814817</v>
      </c>
      <c r="C836">
        <v>80</v>
      </c>
      <c r="D836">
        <v>79.930244446000003</v>
      </c>
      <c r="E836">
        <v>50</v>
      </c>
      <c r="F836">
        <v>42.144016266000001</v>
      </c>
      <c r="G836">
        <v>1819.6776123</v>
      </c>
      <c r="H836">
        <v>1693.0938721</v>
      </c>
      <c r="I836">
        <v>855.72192383000004</v>
      </c>
      <c r="J836">
        <v>652.53961182</v>
      </c>
      <c r="K836">
        <v>2400</v>
      </c>
      <c r="L836">
        <v>0</v>
      </c>
      <c r="M836">
        <v>0</v>
      </c>
      <c r="N836">
        <v>2400</v>
      </c>
    </row>
    <row r="837" spans="1:14" x14ac:dyDescent="0.25">
      <c r="A837">
        <v>440.64924600000001</v>
      </c>
      <c r="B837" s="1">
        <f>DATE(2011,7,15) + TIME(15,34,54)</f>
        <v>40739.649236111109</v>
      </c>
      <c r="C837">
        <v>80</v>
      </c>
      <c r="D837">
        <v>79.930328368999994</v>
      </c>
      <c r="E837">
        <v>50</v>
      </c>
      <c r="F837">
        <v>42.031650542999998</v>
      </c>
      <c r="G837">
        <v>1819.2910156</v>
      </c>
      <c r="H837">
        <v>1692.7072754000001</v>
      </c>
      <c r="I837">
        <v>854.95574951000003</v>
      </c>
      <c r="J837">
        <v>651.42242432</v>
      </c>
      <c r="K837">
        <v>2400</v>
      </c>
      <c r="L837">
        <v>0</v>
      </c>
      <c r="M837">
        <v>0</v>
      </c>
      <c r="N837">
        <v>2400</v>
      </c>
    </row>
    <row r="838" spans="1:14" x14ac:dyDescent="0.25">
      <c r="A838">
        <v>441.86628300000001</v>
      </c>
      <c r="B838" s="1">
        <f>DATE(2011,7,16) + TIME(20,47,26)</f>
        <v>40740.866273148145</v>
      </c>
      <c r="C838">
        <v>80</v>
      </c>
      <c r="D838">
        <v>79.930419921999999</v>
      </c>
      <c r="E838">
        <v>50</v>
      </c>
      <c r="F838">
        <v>41.917472838999998</v>
      </c>
      <c r="G838">
        <v>1818.894043</v>
      </c>
      <c r="H838">
        <v>1692.3105469</v>
      </c>
      <c r="I838">
        <v>854.17584228999999</v>
      </c>
      <c r="J838">
        <v>650.27709961000005</v>
      </c>
      <c r="K838">
        <v>2400</v>
      </c>
      <c r="L838">
        <v>0</v>
      </c>
      <c r="M838">
        <v>0</v>
      </c>
      <c r="N838">
        <v>2400</v>
      </c>
    </row>
    <row r="839" spans="1:14" x14ac:dyDescent="0.25">
      <c r="A839">
        <v>443.096203</v>
      </c>
      <c r="B839" s="1">
        <f>DATE(2011,7,18) + TIME(2,18,31)</f>
        <v>40742.096192129633</v>
      </c>
      <c r="C839">
        <v>80</v>
      </c>
      <c r="D839">
        <v>79.930511475000003</v>
      </c>
      <c r="E839">
        <v>50</v>
      </c>
      <c r="F839">
        <v>41.801395415999998</v>
      </c>
      <c r="G839">
        <v>1818.4873047000001</v>
      </c>
      <c r="H839">
        <v>1691.9039307</v>
      </c>
      <c r="I839">
        <v>853.38043213000003</v>
      </c>
      <c r="J839">
        <v>649.10125731999995</v>
      </c>
      <c r="K839">
        <v>2400</v>
      </c>
      <c r="L839">
        <v>0</v>
      </c>
      <c r="M839">
        <v>0</v>
      </c>
      <c r="N839">
        <v>2400</v>
      </c>
    </row>
    <row r="840" spans="1:14" x14ac:dyDescent="0.25">
      <c r="A840">
        <v>444.33389599999998</v>
      </c>
      <c r="B840" s="1">
        <f>DATE(2011,7,19) + TIME(8,0,48)</f>
        <v>40743.33388888889</v>
      </c>
      <c r="C840">
        <v>80</v>
      </c>
      <c r="D840">
        <v>79.930603027000004</v>
      </c>
      <c r="E840">
        <v>50</v>
      </c>
      <c r="F840">
        <v>41.683570862000003</v>
      </c>
      <c r="G840">
        <v>1818.0721435999999</v>
      </c>
      <c r="H840">
        <v>1691.4888916</v>
      </c>
      <c r="I840">
        <v>852.56994628999996</v>
      </c>
      <c r="J840">
        <v>647.89538574000005</v>
      </c>
      <c r="K840">
        <v>2400</v>
      </c>
      <c r="L840">
        <v>0</v>
      </c>
      <c r="M840">
        <v>0</v>
      </c>
      <c r="N840">
        <v>2400</v>
      </c>
    </row>
    <row r="841" spans="1:14" x14ac:dyDescent="0.25">
      <c r="A841">
        <v>445.58316400000001</v>
      </c>
      <c r="B841" s="1">
        <f>DATE(2011,7,20) + TIME(13,59,45)</f>
        <v>40744.58315972222</v>
      </c>
      <c r="C841">
        <v>80</v>
      </c>
      <c r="D841">
        <v>79.930694579999994</v>
      </c>
      <c r="E841">
        <v>50</v>
      </c>
      <c r="F841">
        <v>41.564025878999999</v>
      </c>
      <c r="G841">
        <v>1817.6484375</v>
      </c>
      <c r="H841">
        <v>1691.0654297000001</v>
      </c>
      <c r="I841">
        <v>851.74493408000001</v>
      </c>
      <c r="J841">
        <v>646.66003418000003</v>
      </c>
      <c r="K841">
        <v>2400</v>
      </c>
      <c r="L841">
        <v>0</v>
      </c>
      <c r="M841">
        <v>0</v>
      </c>
      <c r="N841">
        <v>2400</v>
      </c>
    </row>
    <row r="842" spans="1:14" x14ac:dyDescent="0.25">
      <c r="A842">
        <v>446.84796499999999</v>
      </c>
      <c r="B842" s="1">
        <f>DATE(2011,7,21) + TIME(20,21,4)</f>
        <v>40745.847962962966</v>
      </c>
      <c r="C842">
        <v>80</v>
      </c>
      <c r="D842">
        <v>79.930793761999993</v>
      </c>
      <c r="E842">
        <v>50</v>
      </c>
      <c r="F842">
        <v>41.442516327</v>
      </c>
      <c r="G842">
        <v>1817.2160644999999</v>
      </c>
      <c r="H842">
        <v>1690.6331786999999</v>
      </c>
      <c r="I842">
        <v>850.90301513999998</v>
      </c>
      <c r="J842">
        <v>645.39147949000005</v>
      </c>
      <c r="K842">
        <v>2400</v>
      </c>
      <c r="L842">
        <v>0</v>
      </c>
      <c r="M842">
        <v>0</v>
      </c>
      <c r="N842">
        <v>2400</v>
      </c>
    </row>
    <row r="843" spans="1:14" x14ac:dyDescent="0.25">
      <c r="A843">
        <v>448.12947800000001</v>
      </c>
      <c r="B843" s="1">
        <f>DATE(2011,7,23) + TIME(3,6,26)</f>
        <v>40747.129467592589</v>
      </c>
      <c r="C843">
        <v>80</v>
      </c>
      <c r="D843">
        <v>79.930885314999998</v>
      </c>
      <c r="E843">
        <v>50</v>
      </c>
      <c r="F843">
        <v>41.318809508999998</v>
      </c>
      <c r="G843">
        <v>1816.7747803</v>
      </c>
      <c r="H843">
        <v>1690.1920166</v>
      </c>
      <c r="I843">
        <v>850.04150390999996</v>
      </c>
      <c r="J843">
        <v>644.08599853999999</v>
      </c>
      <c r="K843">
        <v>2400</v>
      </c>
      <c r="L843">
        <v>0</v>
      </c>
      <c r="M843">
        <v>0</v>
      </c>
      <c r="N843">
        <v>2400</v>
      </c>
    </row>
    <row r="844" spans="1:14" x14ac:dyDescent="0.25">
      <c r="A844">
        <v>449.428247</v>
      </c>
      <c r="B844" s="1">
        <f>DATE(2011,7,24) + TIME(10,16,40)</f>
        <v>40748.428240740737</v>
      </c>
      <c r="C844">
        <v>80</v>
      </c>
      <c r="D844">
        <v>79.930984496999997</v>
      </c>
      <c r="E844">
        <v>50</v>
      </c>
      <c r="F844">
        <v>41.192745209000002</v>
      </c>
      <c r="G844">
        <v>1816.3245850000001</v>
      </c>
      <c r="H844">
        <v>1689.7419434000001</v>
      </c>
      <c r="I844">
        <v>849.15881348000005</v>
      </c>
      <c r="J844">
        <v>642.74078368999994</v>
      </c>
      <c r="K844">
        <v>2400</v>
      </c>
      <c r="L844">
        <v>0</v>
      </c>
      <c r="M844">
        <v>0</v>
      </c>
      <c r="N844">
        <v>2400</v>
      </c>
    </row>
    <row r="845" spans="1:14" x14ac:dyDescent="0.25">
      <c r="A845">
        <v>450.74864200000002</v>
      </c>
      <c r="B845" s="1">
        <f>DATE(2011,7,25) + TIME(17,58,2)</f>
        <v>40749.74863425926</v>
      </c>
      <c r="C845">
        <v>80</v>
      </c>
      <c r="D845">
        <v>79.931091308999996</v>
      </c>
      <c r="E845">
        <v>50</v>
      </c>
      <c r="F845">
        <v>41.064067841000004</v>
      </c>
      <c r="G845">
        <v>1815.864624</v>
      </c>
      <c r="H845">
        <v>1689.2821045000001</v>
      </c>
      <c r="I845">
        <v>848.25305175999995</v>
      </c>
      <c r="J845">
        <v>641.35278319999998</v>
      </c>
      <c r="K845">
        <v>2400</v>
      </c>
      <c r="L845">
        <v>0</v>
      </c>
      <c r="M845">
        <v>0</v>
      </c>
      <c r="N845">
        <v>2400</v>
      </c>
    </row>
    <row r="846" spans="1:14" x14ac:dyDescent="0.25">
      <c r="A846">
        <v>452.07734799999997</v>
      </c>
      <c r="B846" s="1">
        <f>DATE(2011,7,27) + TIME(1,51,22)</f>
        <v>40751.077337962961</v>
      </c>
      <c r="C846">
        <v>80</v>
      </c>
      <c r="D846">
        <v>79.931190490999995</v>
      </c>
      <c r="E846">
        <v>50</v>
      </c>
      <c r="F846">
        <v>40.933010101000001</v>
      </c>
      <c r="G846">
        <v>1815.3977050999999</v>
      </c>
      <c r="H846">
        <v>1688.8153076000001</v>
      </c>
      <c r="I846">
        <v>847.32342529000005</v>
      </c>
      <c r="J846">
        <v>639.92144774999997</v>
      </c>
      <c r="K846">
        <v>2400</v>
      </c>
      <c r="L846">
        <v>0</v>
      </c>
      <c r="M846">
        <v>0</v>
      </c>
      <c r="N846">
        <v>2400</v>
      </c>
    </row>
    <row r="847" spans="1:14" x14ac:dyDescent="0.25">
      <c r="A847">
        <v>453.414558</v>
      </c>
      <c r="B847" s="1">
        <f>DATE(2011,7,28) + TIME(9,56,57)</f>
        <v>40752.414548611108</v>
      </c>
      <c r="C847">
        <v>80</v>
      </c>
      <c r="D847">
        <v>79.931289672999995</v>
      </c>
      <c r="E847">
        <v>50</v>
      </c>
      <c r="F847">
        <v>40.799999237000002</v>
      </c>
      <c r="G847">
        <v>1814.9246826000001</v>
      </c>
      <c r="H847">
        <v>1688.3424072</v>
      </c>
      <c r="I847">
        <v>846.37469481999995</v>
      </c>
      <c r="J847">
        <v>638.45288086000005</v>
      </c>
      <c r="K847">
        <v>2400</v>
      </c>
      <c r="L847">
        <v>0</v>
      </c>
      <c r="M847">
        <v>0</v>
      </c>
      <c r="N847">
        <v>2400</v>
      </c>
    </row>
    <row r="848" spans="1:14" x14ac:dyDescent="0.25">
      <c r="A848">
        <v>454.76115399999998</v>
      </c>
      <c r="B848" s="1">
        <f>DATE(2011,7,29) + TIME(18,16,3)</f>
        <v>40753.761145833334</v>
      </c>
      <c r="C848">
        <v>80</v>
      </c>
      <c r="D848">
        <v>79.931396484000004</v>
      </c>
      <c r="E848">
        <v>50</v>
      </c>
      <c r="F848">
        <v>40.665130615000002</v>
      </c>
      <c r="G848">
        <v>1814.4460449000001</v>
      </c>
      <c r="H848">
        <v>1687.8638916</v>
      </c>
      <c r="I848">
        <v>845.40716553000004</v>
      </c>
      <c r="J848">
        <v>636.94757079999999</v>
      </c>
      <c r="K848">
        <v>2400</v>
      </c>
      <c r="L848">
        <v>0</v>
      </c>
      <c r="M848">
        <v>0</v>
      </c>
      <c r="N848">
        <v>2400</v>
      </c>
    </row>
    <row r="849" spans="1:14" x14ac:dyDescent="0.25">
      <c r="A849">
        <v>456.11879499999998</v>
      </c>
      <c r="B849" s="1">
        <f>DATE(2011,7,31) + TIME(2,51,3)</f>
        <v>40755.118784722225</v>
      </c>
      <c r="C849">
        <v>80</v>
      </c>
      <c r="D849">
        <v>79.931503296000002</v>
      </c>
      <c r="E849">
        <v>50</v>
      </c>
      <c r="F849">
        <v>40.528339385999999</v>
      </c>
      <c r="G849">
        <v>1813.9620361</v>
      </c>
      <c r="H849">
        <v>1687.3798827999999</v>
      </c>
      <c r="I849">
        <v>844.41998291000004</v>
      </c>
      <c r="J849">
        <v>635.40423583999996</v>
      </c>
      <c r="K849">
        <v>2400</v>
      </c>
      <c r="L849">
        <v>0</v>
      </c>
      <c r="M849">
        <v>0</v>
      </c>
      <c r="N849">
        <v>2400</v>
      </c>
    </row>
    <row r="850" spans="1:14" x14ac:dyDescent="0.25">
      <c r="A850">
        <v>457</v>
      </c>
      <c r="B850" s="1">
        <f>DATE(2011,8,1) + TIME(0,0,0)</f>
        <v>40756</v>
      </c>
      <c r="C850">
        <v>80</v>
      </c>
      <c r="D850">
        <v>79.931495666999993</v>
      </c>
      <c r="E850">
        <v>50</v>
      </c>
      <c r="F850">
        <v>40.412635803000001</v>
      </c>
      <c r="G850">
        <v>1813.5998535000001</v>
      </c>
      <c r="H850">
        <v>1687.0178223</v>
      </c>
      <c r="I850">
        <v>843.50579833999996</v>
      </c>
      <c r="J850">
        <v>634.00518798999997</v>
      </c>
      <c r="K850">
        <v>2400</v>
      </c>
      <c r="L850">
        <v>0</v>
      </c>
      <c r="M850">
        <v>0</v>
      </c>
      <c r="N850">
        <v>2400</v>
      </c>
    </row>
    <row r="851" spans="1:14" x14ac:dyDescent="0.25">
      <c r="A851">
        <v>458.37214699999998</v>
      </c>
      <c r="B851" s="1">
        <f>DATE(2011,8,2) + TIME(8,55,53)</f>
        <v>40757.372141203705</v>
      </c>
      <c r="C851">
        <v>80</v>
      </c>
      <c r="D851">
        <v>79.931663513000004</v>
      </c>
      <c r="E851">
        <v>50</v>
      </c>
      <c r="F851">
        <v>40.289329529</v>
      </c>
      <c r="G851">
        <v>1813.1228027</v>
      </c>
      <c r="H851">
        <v>1686.5407714999999</v>
      </c>
      <c r="I851">
        <v>842.70318603999999</v>
      </c>
      <c r="J851">
        <v>632.69030762</v>
      </c>
      <c r="K851">
        <v>2400</v>
      </c>
      <c r="L851">
        <v>0</v>
      </c>
      <c r="M851">
        <v>0</v>
      </c>
      <c r="N851">
        <v>2400</v>
      </c>
    </row>
    <row r="852" spans="1:14" x14ac:dyDescent="0.25">
      <c r="A852">
        <v>459.77651700000001</v>
      </c>
      <c r="B852" s="1">
        <f>DATE(2011,8,3) + TIME(18,38,11)</f>
        <v>40758.776516203703</v>
      </c>
      <c r="C852">
        <v>80</v>
      </c>
      <c r="D852">
        <v>79.931800842000001</v>
      </c>
      <c r="E852">
        <v>50</v>
      </c>
      <c r="F852">
        <v>40.152801513999997</v>
      </c>
      <c r="G852">
        <v>1812.6362305</v>
      </c>
      <c r="H852">
        <v>1686.0544434000001</v>
      </c>
      <c r="I852">
        <v>841.69250488</v>
      </c>
      <c r="J852">
        <v>631.09649658000001</v>
      </c>
      <c r="K852">
        <v>2400</v>
      </c>
      <c r="L852">
        <v>0</v>
      </c>
      <c r="M852">
        <v>0</v>
      </c>
      <c r="N852">
        <v>2400</v>
      </c>
    </row>
    <row r="853" spans="1:14" x14ac:dyDescent="0.25">
      <c r="A853">
        <v>461.19444299999998</v>
      </c>
      <c r="B853" s="1">
        <f>DATE(2011,8,5) + TIME(4,39,59)</f>
        <v>40760.194432870368</v>
      </c>
      <c r="C853">
        <v>80</v>
      </c>
      <c r="D853">
        <v>79.931907654</v>
      </c>
      <c r="E853">
        <v>50</v>
      </c>
      <c r="F853">
        <v>40.009288787999999</v>
      </c>
      <c r="G853">
        <v>1812.1369629000001</v>
      </c>
      <c r="H853">
        <v>1685.5552978999999</v>
      </c>
      <c r="I853">
        <v>840.62664795000001</v>
      </c>
      <c r="J853">
        <v>629.40643310999997</v>
      </c>
      <c r="K853">
        <v>2400</v>
      </c>
      <c r="L853">
        <v>0</v>
      </c>
      <c r="M853">
        <v>0</v>
      </c>
      <c r="N853">
        <v>2400</v>
      </c>
    </row>
    <row r="854" spans="1:14" x14ac:dyDescent="0.25">
      <c r="A854">
        <v>462.62195400000002</v>
      </c>
      <c r="B854" s="1">
        <f>DATE(2011,8,6) + TIME(14,55,36)</f>
        <v>40761.621944444443</v>
      </c>
      <c r="C854">
        <v>80</v>
      </c>
      <c r="D854">
        <v>79.932014464999995</v>
      </c>
      <c r="E854">
        <v>50</v>
      </c>
      <c r="F854">
        <v>39.861888884999999</v>
      </c>
      <c r="G854">
        <v>1811.6292725000001</v>
      </c>
      <c r="H854">
        <v>1685.0477295000001</v>
      </c>
      <c r="I854">
        <v>839.53002930000002</v>
      </c>
      <c r="J854">
        <v>627.65753173999997</v>
      </c>
      <c r="K854">
        <v>2400</v>
      </c>
      <c r="L854">
        <v>0</v>
      </c>
      <c r="M854">
        <v>0</v>
      </c>
      <c r="N854">
        <v>2400</v>
      </c>
    </row>
    <row r="855" spans="1:14" x14ac:dyDescent="0.25">
      <c r="A855">
        <v>464.063424</v>
      </c>
      <c r="B855" s="1">
        <f>DATE(2011,8,8) + TIME(1,31,19)</f>
        <v>40763.063414351855</v>
      </c>
      <c r="C855">
        <v>80</v>
      </c>
      <c r="D855">
        <v>79.932128906000003</v>
      </c>
      <c r="E855">
        <v>50</v>
      </c>
      <c r="F855">
        <v>39.711616515999999</v>
      </c>
      <c r="G855">
        <v>1811.1148682</v>
      </c>
      <c r="H855">
        <v>1684.5333252</v>
      </c>
      <c r="I855">
        <v>838.40893555000002</v>
      </c>
      <c r="J855">
        <v>625.86047363</v>
      </c>
      <c r="K855">
        <v>2400</v>
      </c>
      <c r="L855">
        <v>0</v>
      </c>
      <c r="M855">
        <v>0</v>
      </c>
      <c r="N855">
        <v>2400</v>
      </c>
    </row>
    <row r="856" spans="1:14" x14ac:dyDescent="0.25">
      <c r="A856">
        <v>465.52357000000001</v>
      </c>
      <c r="B856" s="1">
        <f>DATE(2011,8,9) + TIME(12,33,56)</f>
        <v>40764.523564814815</v>
      </c>
      <c r="C856">
        <v>80</v>
      </c>
      <c r="D856">
        <v>79.932235718000001</v>
      </c>
      <c r="E856">
        <v>50</v>
      </c>
      <c r="F856">
        <v>39.558567046999997</v>
      </c>
      <c r="G856">
        <v>1810.5936279</v>
      </c>
      <c r="H856">
        <v>1684.012207</v>
      </c>
      <c r="I856">
        <v>837.26232909999999</v>
      </c>
      <c r="J856">
        <v>624.01409911999997</v>
      </c>
      <c r="K856">
        <v>2400</v>
      </c>
      <c r="L856">
        <v>0</v>
      </c>
      <c r="M856">
        <v>0</v>
      </c>
      <c r="N856">
        <v>2400</v>
      </c>
    </row>
    <row r="857" spans="1:14" x14ac:dyDescent="0.25">
      <c r="A857">
        <v>467.00620800000002</v>
      </c>
      <c r="B857" s="1">
        <f>DATE(2011,8,11) + TIME(0,8,56)</f>
        <v>40766.006203703706</v>
      </c>
      <c r="C857">
        <v>80</v>
      </c>
      <c r="D857">
        <v>79.932350158999995</v>
      </c>
      <c r="E857">
        <v>50</v>
      </c>
      <c r="F857">
        <v>39.402439117</v>
      </c>
      <c r="G857">
        <v>1810.0651855000001</v>
      </c>
      <c r="H857">
        <v>1683.4838867000001</v>
      </c>
      <c r="I857">
        <v>836.08734131000006</v>
      </c>
      <c r="J857">
        <v>622.11389159999999</v>
      </c>
      <c r="K857">
        <v>2400</v>
      </c>
      <c r="L857">
        <v>0</v>
      </c>
      <c r="M857">
        <v>0</v>
      </c>
      <c r="N857">
        <v>2400</v>
      </c>
    </row>
    <row r="858" spans="1:14" x14ac:dyDescent="0.25">
      <c r="A858">
        <v>468.49512600000003</v>
      </c>
      <c r="B858" s="1">
        <f>DATE(2011,8,12) + TIME(11,52,58)</f>
        <v>40767.495115740741</v>
      </c>
      <c r="C858">
        <v>80</v>
      </c>
      <c r="D858">
        <v>79.932464600000003</v>
      </c>
      <c r="E858">
        <v>50</v>
      </c>
      <c r="F858">
        <v>39.243564606</v>
      </c>
      <c r="G858">
        <v>1809.5333252</v>
      </c>
      <c r="H858">
        <v>1682.9520264</v>
      </c>
      <c r="I858">
        <v>834.88354491999996</v>
      </c>
      <c r="J858">
        <v>620.16058350000003</v>
      </c>
      <c r="K858">
        <v>2400</v>
      </c>
      <c r="L858">
        <v>0</v>
      </c>
      <c r="M858">
        <v>0</v>
      </c>
      <c r="N858">
        <v>2400</v>
      </c>
    </row>
    <row r="859" spans="1:14" x14ac:dyDescent="0.25">
      <c r="A859">
        <v>469.990836</v>
      </c>
      <c r="B859" s="1">
        <f>DATE(2011,8,13) + TIME(23,46,48)</f>
        <v>40768.990833333337</v>
      </c>
      <c r="C859">
        <v>80</v>
      </c>
      <c r="D859">
        <v>79.932579040999997</v>
      </c>
      <c r="E859">
        <v>50</v>
      </c>
      <c r="F859">
        <v>39.082588196000003</v>
      </c>
      <c r="G859">
        <v>1808.9987793</v>
      </c>
      <c r="H859">
        <v>1682.4176024999999</v>
      </c>
      <c r="I859">
        <v>833.65991211000005</v>
      </c>
      <c r="J859">
        <v>618.16619873000002</v>
      </c>
      <c r="K859">
        <v>2400</v>
      </c>
      <c r="L859">
        <v>0</v>
      </c>
      <c r="M859">
        <v>0</v>
      </c>
      <c r="N859">
        <v>2400</v>
      </c>
    </row>
    <row r="860" spans="1:14" x14ac:dyDescent="0.25">
      <c r="A860">
        <v>471.49694799999997</v>
      </c>
      <c r="B860" s="1">
        <f>DATE(2011,8,15) + TIME(11,55,36)</f>
        <v>40770.496944444443</v>
      </c>
      <c r="C860">
        <v>80</v>
      </c>
      <c r="D860">
        <v>79.932693481000001</v>
      </c>
      <c r="E860">
        <v>50</v>
      </c>
      <c r="F860">
        <v>38.91960907</v>
      </c>
      <c r="G860">
        <v>1808.4613036999999</v>
      </c>
      <c r="H860">
        <v>1681.880249</v>
      </c>
      <c r="I860">
        <v>832.41735840000001</v>
      </c>
      <c r="J860">
        <v>616.13208008000004</v>
      </c>
      <c r="K860">
        <v>2400</v>
      </c>
      <c r="L860">
        <v>0</v>
      </c>
      <c r="M860">
        <v>0</v>
      </c>
      <c r="N860">
        <v>2400</v>
      </c>
    </row>
    <row r="861" spans="1:14" x14ac:dyDescent="0.25">
      <c r="A861">
        <v>473.01717200000002</v>
      </c>
      <c r="B861" s="1">
        <f>DATE(2011,8,17) + TIME(0,24,43)</f>
        <v>40772.017164351855</v>
      </c>
      <c r="C861">
        <v>80</v>
      </c>
      <c r="D861">
        <v>79.932815551999994</v>
      </c>
      <c r="E861">
        <v>50</v>
      </c>
      <c r="F861">
        <v>38.754409789999997</v>
      </c>
      <c r="G861">
        <v>1807.9202881000001</v>
      </c>
      <c r="H861">
        <v>1681.3392334</v>
      </c>
      <c r="I861">
        <v>831.15423583999996</v>
      </c>
      <c r="J861">
        <v>614.05548095999995</v>
      </c>
      <c r="K861">
        <v>2400</v>
      </c>
      <c r="L861">
        <v>0</v>
      </c>
      <c r="M861">
        <v>0</v>
      </c>
      <c r="N861">
        <v>2400</v>
      </c>
    </row>
    <row r="862" spans="1:14" x14ac:dyDescent="0.25">
      <c r="A862">
        <v>474.55537700000002</v>
      </c>
      <c r="B862" s="1">
        <f>DATE(2011,8,18) + TIME(13,19,44)</f>
        <v>40773.55537037037</v>
      </c>
      <c r="C862">
        <v>80</v>
      </c>
      <c r="D862">
        <v>79.932929993000002</v>
      </c>
      <c r="E862">
        <v>50</v>
      </c>
      <c r="F862">
        <v>38.586669921999999</v>
      </c>
      <c r="G862">
        <v>1807.3747559000001</v>
      </c>
      <c r="H862">
        <v>1680.7939452999999</v>
      </c>
      <c r="I862">
        <v>829.86810303000004</v>
      </c>
      <c r="J862">
        <v>611.93218993999994</v>
      </c>
      <c r="K862">
        <v>2400</v>
      </c>
      <c r="L862">
        <v>0</v>
      </c>
      <c r="M862">
        <v>0</v>
      </c>
      <c r="N862">
        <v>2400</v>
      </c>
    </row>
    <row r="863" spans="1:14" x14ac:dyDescent="0.25">
      <c r="A863">
        <v>476.11561999999998</v>
      </c>
      <c r="B863" s="1">
        <f>DATE(2011,8,20) + TIME(2,46,29)</f>
        <v>40775.115613425929</v>
      </c>
      <c r="C863">
        <v>80</v>
      </c>
      <c r="D863">
        <v>79.933052063000005</v>
      </c>
      <c r="E863">
        <v>50</v>
      </c>
      <c r="F863">
        <v>38.416011810000001</v>
      </c>
      <c r="G863">
        <v>1806.8238524999999</v>
      </c>
      <c r="H863">
        <v>1680.2430420000001</v>
      </c>
      <c r="I863">
        <v>828.55633545000001</v>
      </c>
      <c r="J863">
        <v>609.75750731999995</v>
      </c>
      <c r="K863">
        <v>2400</v>
      </c>
      <c r="L863">
        <v>0</v>
      </c>
      <c r="M863">
        <v>0</v>
      </c>
      <c r="N863">
        <v>2400</v>
      </c>
    </row>
    <row r="864" spans="1:14" x14ac:dyDescent="0.25">
      <c r="A864">
        <v>477.69931300000002</v>
      </c>
      <c r="B864" s="1">
        <f>DATE(2011,8,21) + TIME(16,47,0)</f>
        <v>40776.699305555558</v>
      </c>
      <c r="C864">
        <v>80</v>
      </c>
      <c r="D864">
        <v>79.933174132999994</v>
      </c>
      <c r="E864">
        <v>50</v>
      </c>
      <c r="F864">
        <v>38.242141724</v>
      </c>
      <c r="G864">
        <v>1806.2667236</v>
      </c>
      <c r="H864">
        <v>1679.6860352000001</v>
      </c>
      <c r="I864">
        <v>827.21649170000001</v>
      </c>
      <c r="J864">
        <v>607.52703856999995</v>
      </c>
      <c r="K864">
        <v>2400</v>
      </c>
      <c r="L864">
        <v>0</v>
      </c>
      <c r="M864">
        <v>0</v>
      </c>
      <c r="N864">
        <v>2400</v>
      </c>
    </row>
    <row r="865" spans="1:14" x14ac:dyDescent="0.25">
      <c r="A865">
        <v>479.29090500000001</v>
      </c>
      <c r="B865" s="1">
        <f>DATE(2011,8,23) + TIME(6,58,54)</f>
        <v>40778.290902777779</v>
      </c>
      <c r="C865">
        <v>80</v>
      </c>
      <c r="D865">
        <v>79.933296204000001</v>
      </c>
      <c r="E865">
        <v>50</v>
      </c>
      <c r="F865">
        <v>38.065494536999999</v>
      </c>
      <c r="G865">
        <v>1805.7072754000001</v>
      </c>
      <c r="H865">
        <v>1679.1265868999999</v>
      </c>
      <c r="I865">
        <v>825.84948729999996</v>
      </c>
      <c r="J865">
        <v>605.24353026999995</v>
      </c>
      <c r="K865">
        <v>2400</v>
      </c>
      <c r="L865">
        <v>0</v>
      </c>
      <c r="M865">
        <v>0</v>
      </c>
      <c r="N865">
        <v>2400</v>
      </c>
    </row>
    <row r="866" spans="1:14" x14ac:dyDescent="0.25">
      <c r="A866">
        <v>480.89546200000001</v>
      </c>
      <c r="B866" s="1">
        <f>DATE(2011,8,24) + TIME(21,29,27)</f>
        <v>40779.895451388889</v>
      </c>
      <c r="C866">
        <v>80</v>
      </c>
      <c r="D866">
        <v>79.933418274000005</v>
      </c>
      <c r="E866">
        <v>50</v>
      </c>
      <c r="F866">
        <v>37.886692046999997</v>
      </c>
      <c r="G866">
        <v>1805.1446533000001</v>
      </c>
      <c r="H866">
        <v>1678.5640868999999</v>
      </c>
      <c r="I866">
        <v>824.46545409999999</v>
      </c>
      <c r="J866">
        <v>602.92041015999996</v>
      </c>
      <c r="K866">
        <v>2400</v>
      </c>
      <c r="L866">
        <v>0</v>
      </c>
      <c r="M866">
        <v>0</v>
      </c>
      <c r="N866">
        <v>2400</v>
      </c>
    </row>
    <row r="867" spans="1:14" x14ac:dyDescent="0.25">
      <c r="A867">
        <v>482.51787200000001</v>
      </c>
      <c r="B867" s="1">
        <f>DATE(2011,8,26) + TIME(12,25,44)</f>
        <v>40781.517870370371</v>
      </c>
      <c r="C867">
        <v>80</v>
      </c>
      <c r="D867">
        <v>79.933540343999994</v>
      </c>
      <c r="E867">
        <v>50</v>
      </c>
      <c r="F867">
        <v>37.705657959</v>
      </c>
      <c r="G867">
        <v>1804.5780029</v>
      </c>
      <c r="H867">
        <v>1677.9975586</v>
      </c>
      <c r="I867">
        <v>823.06298828000001</v>
      </c>
      <c r="J867">
        <v>600.55554199000005</v>
      </c>
      <c r="K867">
        <v>2400</v>
      </c>
      <c r="L867">
        <v>0</v>
      </c>
      <c r="M867">
        <v>0</v>
      </c>
      <c r="N867">
        <v>2400</v>
      </c>
    </row>
    <row r="868" spans="1:14" x14ac:dyDescent="0.25">
      <c r="A868">
        <v>484.15430500000002</v>
      </c>
      <c r="B868" s="1">
        <f>DATE(2011,8,28) + TIME(3,42,11)</f>
        <v>40783.154293981483</v>
      </c>
      <c r="C868">
        <v>80</v>
      </c>
      <c r="D868">
        <v>79.933662415000001</v>
      </c>
      <c r="E868">
        <v>50</v>
      </c>
      <c r="F868">
        <v>37.522388458000002</v>
      </c>
      <c r="G868">
        <v>1804.0084228999999</v>
      </c>
      <c r="H868">
        <v>1677.4281006000001</v>
      </c>
      <c r="I868">
        <v>821.64044189000003</v>
      </c>
      <c r="J868">
        <v>598.14703368999994</v>
      </c>
      <c r="K868">
        <v>2400</v>
      </c>
      <c r="L868">
        <v>0</v>
      </c>
      <c r="M868">
        <v>0</v>
      </c>
      <c r="N868">
        <v>2400</v>
      </c>
    </row>
    <row r="869" spans="1:14" x14ac:dyDescent="0.25">
      <c r="A869">
        <v>485.79865599999999</v>
      </c>
      <c r="B869" s="1">
        <f>DATE(2011,8,29) + TIME(19,10,3)</f>
        <v>40784.798645833333</v>
      </c>
      <c r="C869">
        <v>80</v>
      </c>
      <c r="D869">
        <v>79.933784485000004</v>
      </c>
      <c r="E869">
        <v>50</v>
      </c>
      <c r="F869">
        <v>37.337356567</v>
      </c>
      <c r="G869">
        <v>1803.4372559000001</v>
      </c>
      <c r="H869">
        <v>1676.8570557</v>
      </c>
      <c r="I869">
        <v>820.20202637</v>
      </c>
      <c r="J869">
        <v>595.70129395000004</v>
      </c>
      <c r="K869">
        <v>2400</v>
      </c>
      <c r="L869">
        <v>0</v>
      </c>
      <c r="M869">
        <v>0</v>
      </c>
      <c r="N869">
        <v>2400</v>
      </c>
    </row>
    <row r="870" spans="1:14" x14ac:dyDescent="0.25">
      <c r="A870">
        <v>487.45538599999998</v>
      </c>
      <c r="B870" s="1">
        <f>DATE(2011,8,31) + TIME(10,55,45)</f>
        <v>40786.455381944441</v>
      </c>
      <c r="C870">
        <v>80</v>
      </c>
      <c r="D870">
        <v>79.933906554999993</v>
      </c>
      <c r="E870">
        <v>50</v>
      </c>
      <c r="F870">
        <v>37.150920868</v>
      </c>
      <c r="G870">
        <v>1802.8640137</v>
      </c>
      <c r="H870">
        <v>1676.2836914</v>
      </c>
      <c r="I870">
        <v>818.75317383000004</v>
      </c>
      <c r="J870">
        <v>593.22570800999995</v>
      </c>
      <c r="K870">
        <v>2400</v>
      </c>
      <c r="L870">
        <v>0</v>
      </c>
      <c r="M870">
        <v>0</v>
      </c>
      <c r="N870">
        <v>2400</v>
      </c>
    </row>
    <row r="871" spans="1:14" x14ac:dyDescent="0.25">
      <c r="A871">
        <v>488</v>
      </c>
      <c r="B871" s="1">
        <f>DATE(2011,9,1) + TIME(0,0,0)</f>
        <v>40787</v>
      </c>
      <c r="C871">
        <v>80</v>
      </c>
      <c r="D871">
        <v>79.933876037999994</v>
      </c>
      <c r="E871">
        <v>50</v>
      </c>
      <c r="F871">
        <v>37.036727904999999</v>
      </c>
      <c r="G871">
        <v>1802.6365966999999</v>
      </c>
      <c r="H871">
        <v>1676.0562743999999</v>
      </c>
      <c r="I871">
        <v>817.56219481999995</v>
      </c>
      <c r="J871">
        <v>591.37609863</v>
      </c>
      <c r="K871">
        <v>2400</v>
      </c>
      <c r="L871">
        <v>0</v>
      </c>
      <c r="M871">
        <v>0</v>
      </c>
      <c r="N871">
        <v>2400</v>
      </c>
    </row>
    <row r="872" spans="1:14" x14ac:dyDescent="0.25">
      <c r="A872">
        <v>489.67068899999998</v>
      </c>
      <c r="B872" s="1">
        <f>DATE(2011,9,2) + TIME(16,5,47)</f>
        <v>40788.670682870368</v>
      </c>
      <c r="C872">
        <v>80</v>
      </c>
      <c r="D872">
        <v>79.934051514000004</v>
      </c>
      <c r="E872">
        <v>50</v>
      </c>
      <c r="F872">
        <v>36.884803771999998</v>
      </c>
      <c r="G872">
        <v>1802.0650635</v>
      </c>
      <c r="H872">
        <v>1675.4849853999999</v>
      </c>
      <c r="I872">
        <v>816.734375</v>
      </c>
      <c r="J872">
        <v>589.72143555000002</v>
      </c>
      <c r="K872">
        <v>2400</v>
      </c>
      <c r="L872">
        <v>0</v>
      </c>
      <c r="M872">
        <v>0</v>
      </c>
      <c r="N872">
        <v>2400</v>
      </c>
    </row>
    <row r="873" spans="1:14" x14ac:dyDescent="0.25">
      <c r="A873">
        <v>491.36384700000002</v>
      </c>
      <c r="B873" s="1">
        <f>DATE(2011,9,4) + TIME(8,43,56)</f>
        <v>40790.363842592589</v>
      </c>
      <c r="C873">
        <v>80</v>
      </c>
      <c r="D873">
        <v>79.934204101999995</v>
      </c>
      <c r="E873">
        <v>50</v>
      </c>
      <c r="F873">
        <v>36.706996918000002</v>
      </c>
      <c r="G873">
        <v>1801.4990233999999</v>
      </c>
      <c r="H873">
        <v>1674.9190673999999</v>
      </c>
      <c r="I873">
        <v>815.32751465000001</v>
      </c>
      <c r="J873">
        <v>587.30847168000003</v>
      </c>
      <c r="K873">
        <v>2400</v>
      </c>
      <c r="L873">
        <v>0</v>
      </c>
      <c r="M873">
        <v>0</v>
      </c>
      <c r="N873">
        <v>2400</v>
      </c>
    </row>
    <row r="874" spans="1:14" x14ac:dyDescent="0.25">
      <c r="A874">
        <v>493.07860199999999</v>
      </c>
      <c r="B874" s="1">
        <f>DATE(2011,9,6) + TIME(1,53,11)</f>
        <v>40792.078599537039</v>
      </c>
      <c r="C874">
        <v>80</v>
      </c>
      <c r="D874">
        <v>79.934333800999994</v>
      </c>
      <c r="E874">
        <v>50</v>
      </c>
      <c r="F874">
        <v>36.519641876000001</v>
      </c>
      <c r="G874">
        <v>1800.9228516000001</v>
      </c>
      <c r="H874">
        <v>1674.3428954999999</v>
      </c>
      <c r="I874">
        <v>813.85620116999996</v>
      </c>
      <c r="J874">
        <v>584.76464843999997</v>
      </c>
      <c r="K874">
        <v>2400</v>
      </c>
      <c r="L874">
        <v>0</v>
      </c>
      <c r="M874">
        <v>0</v>
      </c>
      <c r="N874">
        <v>2400</v>
      </c>
    </row>
    <row r="875" spans="1:14" x14ac:dyDescent="0.25">
      <c r="A875">
        <v>494.81932</v>
      </c>
      <c r="B875" s="1">
        <f>DATE(2011,9,7) + TIME(19,39,49)</f>
        <v>40793.81931712963</v>
      </c>
      <c r="C875">
        <v>80</v>
      </c>
      <c r="D875">
        <v>79.934455872000001</v>
      </c>
      <c r="E875">
        <v>50</v>
      </c>
      <c r="F875">
        <v>36.328166961999997</v>
      </c>
      <c r="G875">
        <v>1800.3370361</v>
      </c>
      <c r="H875">
        <v>1673.7572021000001</v>
      </c>
      <c r="I875">
        <v>812.36273193</v>
      </c>
      <c r="J875">
        <v>582.16259765999996</v>
      </c>
      <c r="K875">
        <v>2400</v>
      </c>
      <c r="L875">
        <v>0</v>
      </c>
      <c r="M875">
        <v>0</v>
      </c>
      <c r="N875">
        <v>2400</v>
      </c>
    </row>
    <row r="876" spans="1:14" x14ac:dyDescent="0.25">
      <c r="A876">
        <v>496.58053200000001</v>
      </c>
      <c r="B876" s="1">
        <f>DATE(2011,9,9) + TIME(13,55,57)</f>
        <v>40795.580520833333</v>
      </c>
      <c r="C876">
        <v>80</v>
      </c>
      <c r="D876">
        <v>79.934585571</v>
      </c>
      <c r="E876">
        <v>50</v>
      </c>
      <c r="F876">
        <v>36.134555816999999</v>
      </c>
      <c r="G876">
        <v>1799.7446289</v>
      </c>
      <c r="H876">
        <v>1673.1647949000001</v>
      </c>
      <c r="I876">
        <v>810.85424805000002</v>
      </c>
      <c r="J876">
        <v>579.51971435999997</v>
      </c>
      <c r="K876">
        <v>2400</v>
      </c>
      <c r="L876">
        <v>0</v>
      </c>
      <c r="M876">
        <v>0</v>
      </c>
      <c r="N876">
        <v>2400</v>
      </c>
    </row>
    <row r="877" spans="1:14" x14ac:dyDescent="0.25">
      <c r="A877">
        <v>498.34881999999999</v>
      </c>
      <c r="B877" s="1">
        <f>DATE(2011,9,11) + TIME(8,22,18)</f>
        <v>40797.348819444444</v>
      </c>
      <c r="C877">
        <v>80</v>
      </c>
      <c r="D877">
        <v>79.934707642000006</v>
      </c>
      <c r="E877">
        <v>50</v>
      </c>
      <c r="F877">
        <v>35.940406799000002</v>
      </c>
      <c r="G877">
        <v>1799.1497803</v>
      </c>
      <c r="H877">
        <v>1672.5700684000001</v>
      </c>
      <c r="I877">
        <v>809.34008788999995</v>
      </c>
      <c r="J877">
        <v>576.85394286999997</v>
      </c>
      <c r="K877">
        <v>2400</v>
      </c>
      <c r="L877">
        <v>0</v>
      </c>
      <c r="M877">
        <v>0</v>
      </c>
      <c r="N877">
        <v>2400</v>
      </c>
    </row>
    <row r="878" spans="1:14" x14ac:dyDescent="0.25">
      <c r="A878">
        <v>500.124032</v>
      </c>
      <c r="B878" s="1">
        <f>DATE(2011,9,13) + TIME(2,58,36)</f>
        <v>40799.124027777776</v>
      </c>
      <c r="C878">
        <v>80</v>
      </c>
      <c r="D878">
        <v>79.934829711999996</v>
      </c>
      <c r="E878">
        <v>50</v>
      </c>
      <c r="F878">
        <v>35.747123717999997</v>
      </c>
      <c r="G878">
        <v>1798.5534668</v>
      </c>
      <c r="H878">
        <v>1671.9737548999999</v>
      </c>
      <c r="I878">
        <v>807.83355713000003</v>
      </c>
      <c r="J878">
        <v>574.18640137</v>
      </c>
      <c r="K878">
        <v>2400</v>
      </c>
      <c r="L878">
        <v>0</v>
      </c>
      <c r="M878">
        <v>0</v>
      </c>
      <c r="N878">
        <v>2400</v>
      </c>
    </row>
    <row r="879" spans="1:14" x14ac:dyDescent="0.25">
      <c r="A879">
        <v>501.91046899999998</v>
      </c>
      <c r="B879" s="1">
        <f>DATE(2011,9,14) + TIME(21,51,4)</f>
        <v>40800.910462962966</v>
      </c>
      <c r="C879">
        <v>80</v>
      </c>
      <c r="D879">
        <v>79.934959411999998</v>
      </c>
      <c r="E879">
        <v>50</v>
      </c>
      <c r="F879">
        <v>35.555351256999998</v>
      </c>
      <c r="G879">
        <v>1797.9552002</v>
      </c>
      <c r="H879">
        <v>1671.3756103999999</v>
      </c>
      <c r="I879">
        <v>806.33917236000002</v>
      </c>
      <c r="J879">
        <v>571.52496338000003</v>
      </c>
      <c r="K879">
        <v>2400</v>
      </c>
      <c r="L879">
        <v>0</v>
      </c>
      <c r="M879">
        <v>0</v>
      </c>
      <c r="N879">
        <v>2400</v>
      </c>
    </row>
    <row r="880" spans="1:14" x14ac:dyDescent="0.25">
      <c r="A880">
        <v>503.71306399999997</v>
      </c>
      <c r="B880" s="1">
        <f>DATE(2011,9,16) + TIME(17,6,48)</f>
        <v>40802.713055555556</v>
      </c>
      <c r="C880">
        <v>80</v>
      </c>
      <c r="D880">
        <v>79.935089110999996</v>
      </c>
      <c r="E880">
        <v>50</v>
      </c>
      <c r="F880">
        <v>35.365322112999998</v>
      </c>
      <c r="G880">
        <v>1797.3540039</v>
      </c>
      <c r="H880">
        <v>1670.7745361</v>
      </c>
      <c r="I880">
        <v>804.85736083999996</v>
      </c>
      <c r="J880">
        <v>568.87091064000003</v>
      </c>
      <c r="K880">
        <v>2400</v>
      </c>
      <c r="L880">
        <v>0</v>
      </c>
      <c r="M880">
        <v>0</v>
      </c>
      <c r="N880">
        <v>2400</v>
      </c>
    </row>
    <row r="881" spans="1:14" x14ac:dyDescent="0.25">
      <c r="A881">
        <v>505.52833299999998</v>
      </c>
      <c r="B881" s="1">
        <f>DATE(2011,9,18) + TIME(12,40,48)</f>
        <v>40804.528333333335</v>
      </c>
      <c r="C881">
        <v>80</v>
      </c>
      <c r="D881">
        <v>79.935211182000003</v>
      </c>
      <c r="E881">
        <v>50</v>
      </c>
      <c r="F881">
        <v>35.177455901999998</v>
      </c>
      <c r="G881">
        <v>1796.7507324000001</v>
      </c>
      <c r="H881">
        <v>1670.1712646000001</v>
      </c>
      <c r="I881">
        <v>803.38854979999996</v>
      </c>
      <c r="J881">
        <v>566.22619628999996</v>
      </c>
      <c r="K881">
        <v>2400</v>
      </c>
      <c r="L881">
        <v>0</v>
      </c>
      <c r="M881">
        <v>0</v>
      </c>
      <c r="N881">
        <v>2400</v>
      </c>
    </row>
    <row r="882" spans="1:14" x14ac:dyDescent="0.25">
      <c r="A882">
        <v>507.352239</v>
      </c>
      <c r="B882" s="1">
        <f>DATE(2011,9,20) + TIME(8,27,13)</f>
        <v>40806.352233796293</v>
      </c>
      <c r="C882">
        <v>80</v>
      </c>
      <c r="D882">
        <v>79.935340881000002</v>
      </c>
      <c r="E882">
        <v>50</v>
      </c>
      <c r="F882">
        <v>34.992618561</v>
      </c>
      <c r="G882">
        <v>1796.1462402</v>
      </c>
      <c r="H882">
        <v>1669.5667725000001</v>
      </c>
      <c r="I882">
        <v>801.93896484000004</v>
      </c>
      <c r="J882">
        <v>563.6015625</v>
      </c>
      <c r="K882">
        <v>2400</v>
      </c>
      <c r="L882">
        <v>0</v>
      </c>
      <c r="M882">
        <v>0</v>
      </c>
      <c r="N882">
        <v>2400</v>
      </c>
    </row>
    <row r="883" spans="1:14" x14ac:dyDescent="0.25">
      <c r="A883">
        <v>509.18964499999998</v>
      </c>
      <c r="B883" s="1">
        <f>DATE(2011,9,22) + TIME(4,33,5)</f>
        <v>40808.189641203702</v>
      </c>
      <c r="C883">
        <v>80</v>
      </c>
      <c r="D883">
        <v>79.935470581000004</v>
      </c>
      <c r="E883">
        <v>50</v>
      </c>
      <c r="F883">
        <v>34.811607361</v>
      </c>
      <c r="G883">
        <v>1795.5394286999999</v>
      </c>
      <c r="H883">
        <v>1668.9600829999999</v>
      </c>
      <c r="I883">
        <v>800.51525878999996</v>
      </c>
      <c r="J883">
        <v>561.00775146000001</v>
      </c>
      <c r="K883">
        <v>2400</v>
      </c>
      <c r="L883">
        <v>0</v>
      </c>
      <c r="M883">
        <v>0</v>
      </c>
      <c r="N883">
        <v>2400</v>
      </c>
    </row>
    <row r="884" spans="1:14" x14ac:dyDescent="0.25">
      <c r="A884">
        <v>511.04538700000001</v>
      </c>
      <c r="B884" s="1">
        <f>DATE(2011,9,24) + TIME(1,5,21)</f>
        <v>40810.045381944445</v>
      </c>
      <c r="C884">
        <v>80</v>
      </c>
      <c r="D884">
        <v>79.935600281000006</v>
      </c>
      <c r="E884">
        <v>50</v>
      </c>
      <c r="F884">
        <v>34.634895325000002</v>
      </c>
      <c r="G884">
        <v>1794.9290771000001</v>
      </c>
      <c r="H884">
        <v>1668.3498535000001</v>
      </c>
      <c r="I884">
        <v>799.11859131000006</v>
      </c>
      <c r="J884">
        <v>558.44781493999994</v>
      </c>
      <c r="K884">
        <v>2400</v>
      </c>
      <c r="L884">
        <v>0</v>
      </c>
      <c r="M884">
        <v>0</v>
      </c>
      <c r="N884">
        <v>2400</v>
      </c>
    </row>
    <row r="885" spans="1:14" x14ac:dyDescent="0.25">
      <c r="A885">
        <v>512.92382099999998</v>
      </c>
      <c r="B885" s="1">
        <f>DATE(2011,9,25) + TIME(22,10,18)</f>
        <v>40811.923819444448</v>
      </c>
      <c r="C885">
        <v>80</v>
      </c>
      <c r="D885">
        <v>79.935729980000005</v>
      </c>
      <c r="E885">
        <v>50</v>
      </c>
      <c r="F885">
        <v>34.462959290000001</v>
      </c>
      <c r="G885">
        <v>1794.3140868999999</v>
      </c>
      <c r="H885">
        <v>1667.7349853999999</v>
      </c>
      <c r="I885">
        <v>797.74993896000001</v>
      </c>
      <c r="J885">
        <v>555.92419433999999</v>
      </c>
      <c r="K885">
        <v>2400</v>
      </c>
      <c r="L885">
        <v>0</v>
      </c>
      <c r="M885">
        <v>0</v>
      </c>
      <c r="N885">
        <v>2400</v>
      </c>
    </row>
    <row r="886" spans="1:14" x14ac:dyDescent="0.25">
      <c r="A886">
        <v>514.82849499999998</v>
      </c>
      <c r="B886" s="1">
        <f>DATE(2011,9,27) + TIME(19,53,1)</f>
        <v>40813.828483796293</v>
      </c>
      <c r="C886">
        <v>80</v>
      </c>
      <c r="D886">
        <v>79.935859679999993</v>
      </c>
      <c r="E886">
        <v>50</v>
      </c>
      <c r="F886">
        <v>34.296417236000003</v>
      </c>
      <c r="G886">
        <v>1793.6933594</v>
      </c>
      <c r="H886">
        <v>1667.1142577999999</v>
      </c>
      <c r="I886">
        <v>796.41125488</v>
      </c>
      <c r="J886">
        <v>553.44097899999997</v>
      </c>
      <c r="K886">
        <v>2400</v>
      </c>
      <c r="L886">
        <v>0</v>
      </c>
      <c r="M886">
        <v>0</v>
      </c>
      <c r="N886">
        <v>2400</v>
      </c>
    </row>
    <row r="887" spans="1:14" x14ac:dyDescent="0.25">
      <c r="A887">
        <v>516.75480900000002</v>
      </c>
      <c r="B887" s="1">
        <f>DATE(2011,9,29) + TIME(18,6,55)</f>
        <v>40815.754803240743</v>
      </c>
      <c r="C887">
        <v>80</v>
      </c>
      <c r="D887">
        <v>79.935989379999995</v>
      </c>
      <c r="E887">
        <v>50</v>
      </c>
      <c r="F887">
        <v>34.136253357000001</v>
      </c>
      <c r="G887">
        <v>1793.0675048999999</v>
      </c>
      <c r="H887">
        <v>1666.4885254000001</v>
      </c>
      <c r="I887">
        <v>795.10540771000001</v>
      </c>
      <c r="J887">
        <v>551.00543213000003</v>
      </c>
      <c r="K887">
        <v>2400</v>
      </c>
      <c r="L887">
        <v>0</v>
      </c>
      <c r="M887">
        <v>0</v>
      </c>
      <c r="N887">
        <v>2400</v>
      </c>
    </row>
    <row r="888" spans="1:14" x14ac:dyDescent="0.25">
      <c r="A888">
        <v>518</v>
      </c>
      <c r="B888" s="1">
        <f>DATE(2011,10,1) + TIME(0,0,0)</f>
        <v>40817</v>
      </c>
      <c r="C888">
        <v>80</v>
      </c>
      <c r="D888">
        <v>79.936027526999993</v>
      </c>
      <c r="E888">
        <v>50</v>
      </c>
      <c r="F888">
        <v>34.004344940000003</v>
      </c>
      <c r="G888">
        <v>1792.6253661999999</v>
      </c>
      <c r="H888">
        <v>1666.0462646000001</v>
      </c>
      <c r="I888">
        <v>793.87420654000005</v>
      </c>
      <c r="J888">
        <v>548.80395508000004</v>
      </c>
      <c r="K888">
        <v>2400</v>
      </c>
      <c r="L888">
        <v>0</v>
      </c>
      <c r="M888">
        <v>0</v>
      </c>
      <c r="N888">
        <v>2400</v>
      </c>
    </row>
    <row r="889" spans="1:14" x14ac:dyDescent="0.25">
      <c r="A889">
        <v>519.94227599999999</v>
      </c>
      <c r="B889" s="1">
        <f>DATE(2011,10,2) + TIME(22,36,52)</f>
        <v>40818.94226851852</v>
      </c>
      <c r="C889">
        <v>80</v>
      </c>
      <c r="D889">
        <v>79.936195373999993</v>
      </c>
      <c r="E889">
        <v>50</v>
      </c>
      <c r="F889">
        <v>33.882728577000002</v>
      </c>
      <c r="G889">
        <v>1792.0037841999999</v>
      </c>
      <c r="H889">
        <v>1665.4249268000001</v>
      </c>
      <c r="I889">
        <v>793.02380371000004</v>
      </c>
      <c r="J889">
        <v>547.06054687999995</v>
      </c>
      <c r="K889">
        <v>2400</v>
      </c>
      <c r="L889">
        <v>0</v>
      </c>
      <c r="M889">
        <v>0</v>
      </c>
      <c r="N889">
        <v>2400</v>
      </c>
    </row>
    <row r="890" spans="1:14" x14ac:dyDescent="0.25">
      <c r="A890">
        <v>521.89860199999998</v>
      </c>
      <c r="B890" s="1">
        <f>DATE(2011,10,4) + TIME(21,33,59)</f>
        <v>40820.898599537039</v>
      </c>
      <c r="C890">
        <v>80</v>
      </c>
      <c r="D890">
        <v>79.936340332</v>
      </c>
      <c r="E890">
        <v>50</v>
      </c>
      <c r="F890">
        <v>33.753997802999997</v>
      </c>
      <c r="G890">
        <v>1791.3826904</v>
      </c>
      <c r="H890">
        <v>1664.8039550999999</v>
      </c>
      <c r="I890">
        <v>791.88519286999997</v>
      </c>
      <c r="J890">
        <v>544.92077637</v>
      </c>
      <c r="K890">
        <v>2400</v>
      </c>
      <c r="L890">
        <v>0</v>
      </c>
      <c r="M890">
        <v>0</v>
      </c>
      <c r="N890">
        <v>2400</v>
      </c>
    </row>
    <row r="891" spans="1:14" x14ac:dyDescent="0.25">
      <c r="A891">
        <v>523.86497999999995</v>
      </c>
      <c r="B891" s="1">
        <f>DATE(2011,10,6) + TIME(20,45,34)</f>
        <v>40822.864976851852</v>
      </c>
      <c r="C891">
        <v>80</v>
      </c>
      <c r="D891">
        <v>79.936470032000003</v>
      </c>
      <c r="E891">
        <v>50</v>
      </c>
      <c r="F891">
        <v>33.631813049000002</v>
      </c>
      <c r="G891">
        <v>1790.7556152</v>
      </c>
      <c r="H891">
        <v>1664.1768798999999</v>
      </c>
      <c r="I891">
        <v>790.77478026999995</v>
      </c>
      <c r="J891">
        <v>542.81616211000005</v>
      </c>
      <c r="K891">
        <v>2400</v>
      </c>
      <c r="L891">
        <v>0</v>
      </c>
      <c r="M891">
        <v>0</v>
      </c>
      <c r="N891">
        <v>2400</v>
      </c>
    </row>
    <row r="892" spans="1:14" x14ac:dyDescent="0.25">
      <c r="A892">
        <v>525.846045</v>
      </c>
      <c r="B892" s="1">
        <f>DATE(2011,10,8) + TIME(20,18,18)</f>
        <v>40824.846041666664</v>
      </c>
      <c r="C892">
        <v>80</v>
      </c>
      <c r="D892">
        <v>79.936599731000001</v>
      </c>
      <c r="E892">
        <v>50</v>
      </c>
      <c r="F892">
        <v>33.520988463999998</v>
      </c>
      <c r="G892">
        <v>1790.1229248</v>
      </c>
      <c r="H892">
        <v>1663.5441894999999</v>
      </c>
      <c r="I892">
        <v>789.72326659999999</v>
      </c>
      <c r="J892">
        <v>540.80859375</v>
      </c>
      <c r="K892">
        <v>2400</v>
      </c>
      <c r="L892">
        <v>0</v>
      </c>
      <c r="M892">
        <v>0</v>
      </c>
      <c r="N892">
        <v>2400</v>
      </c>
    </row>
    <row r="893" spans="1:14" x14ac:dyDescent="0.25">
      <c r="A893">
        <v>527.84403799999995</v>
      </c>
      <c r="B893" s="1">
        <f>DATE(2011,10,10) + TIME(20,15,24)</f>
        <v>40826.844027777777</v>
      </c>
      <c r="C893">
        <v>80</v>
      </c>
      <c r="D893">
        <v>79.936729431000003</v>
      </c>
      <c r="E893">
        <v>50</v>
      </c>
      <c r="F893">
        <v>33.423545836999999</v>
      </c>
      <c r="G893">
        <v>1789.4853516000001</v>
      </c>
      <c r="H893">
        <v>1662.9067382999999</v>
      </c>
      <c r="I893">
        <v>788.73590088000003</v>
      </c>
      <c r="J893">
        <v>538.91412353999999</v>
      </c>
      <c r="K893">
        <v>2400</v>
      </c>
      <c r="L893">
        <v>0</v>
      </c>
      <c r="M893">
        <v>0</v>
      </c>
      <c r="N893">
        <v>2400</v>
      </c>
    </row>
    <row r="894" spans="1:14" x14ac:dyDescent="0.25">
      <c r="A894">
        <v>529.861627</v>
      </c>
      <c r="B894" s="1">
        <f>DATE(2011,10,12) + TIME(20,40,44)</f>
        <v>40828.861620370371</v>
      </c>
      <c r="C894">
        <v>80</v>
      </c>
      <c r="D894">
        <v>79.936859131000006</v>
      </c>
      <c r="E894">
        <v>50</v>
      </c>
      <c r="F894">
        <v>33.340873717999997</v>
      </c>
      <c r="G894">
        <v>1788.8428954999999</v>
      </c>
      <c r="H894">
        <v>1662.2644043</v>
      </c>
      <c r="I894">
        <v>787.81512451000003</v>
      </c>
      <c r="J894">
        <v>537.14166260000002</v>
      </c>
      <c r="K894">
        <v>2400</v>
      </c>
      <c r="L894">
        <v>0</v>
      </c>
      <c r="M894">
        <v>0</v>
      </c>
      <c r="N894">
        <v>2400</v>
      </c>
    </row>
    <row r="895" spans="1:14" x14ac:dyDescent="0.25">
      <c r="A895">
        <v>531.89332400000001</v>
      </c>
      <c r="B895" s="1">
        <f>DATE(2011,10,14) + TIME(21,26,23)</f>
        <v>40830.893321759257</v>
      </c>
      <c r="C895">
        <v>80</v>
      </c>
      <c r="D895">
        <v>79.936988830999994</v>
      </c>
      <c r="E895">
        <v>50</v>
      </c>
      <c r="F895">
        <v>33.274211884000003</v>
      </c>
      <c r="G895">
        <v>1788.1973877</v>
      </c>
      <c r="H895">
        <v>1661.6188964999999</v>
      </c>
      <c r="I895">
        <v>786.96252441000001</v>
      </c>
      <c r="J895">
        <v>535.49792479999996</v>
      </c>
      <c r="K895">
        <v>2400</v>
      </c>
      <c r="L895">
        <v>0</v>
      </c>
      <c r="M895">
        <v>0</v>
      </c>
      <c r="N895">
        <v>2400</v>
      </c>
    </row>
    <row r="896" spans="1:14" x14ac:dyDescent="0.25">
      <c r="A896">
        <v>533.92930100000001</v>
      </c>
      <c r="B896" s="1">
        <f>DATE(2011,10,16) + TIME(22,18,11)</f>
        <v>40832.929293981484</v>
      </c>
      <c r="C896">
        <v>80</v>
      </c>
      <c r="D896">
        <v>79.937118530000006</v>
      </c>
      <c r="E896">
        <v>50</v>
      </c>
      <c r="F896">
        <v>33.224781036000003</v>
      </c>
      <c r="G896">
        <v>1787.5512695</v>
      </c>
      <c r="H896">
        <v>1660.9727783000001</v>
      </c>
      <c r="I896">
        <v>786.18170166000004</v>
      </c>
      <c r="J896">
        <v>533.99298095999995</v>
      </c>
      <c r="K896">
        <v>2400</v>
      </c>
      <c r="L896">
        <v>0</v>
      </c>
      <c r="M896">
        <v>0</v>
      </c>
      <c r="N896">
        <v>2400</v>
      </c>
    </row>
    <row r="897" spans="1:14" x14ac:dyDescent="0.25">
      <c r="A897">
        <v>535.97773600000005</v>
      </c>
      <c r="B897" s="1">
        <f>DATE(2011,10,18) + TIME(23,27,56)</f>
        <v>40834.977731481478</v>
      </c>
      <c r="C897">
        <v>80</v>
      </c>
      <c r="D897">
        <v>79.937248229999994</v>
      </c>
      <c r="E897">
        <v>50</v>
      </c>
      <c r="F897">
        <v>33.193454742</v>
      </c>
      <c r="G897">
        <v>1786.9029541</v>
      </c>
      <c r="H897">
        <v>1660.324707</v>
      </c>
      <c r="I897">
        <v>785.47711182</v>
      </c>
      <c r="J897">
        <v>532.63586425999995</v>
      </c>
      <c r="K897">
        <v>2400</v>
      </c>
      <c r="L897">
        <v>0</v>
      </c>
      <c r="M897">
        <v>0</v>
      </c>
      <c r="N897">
        <v>2400</v>
      </c>
    </row>
    <row r="898" spans="1:14" x14ac:dyDescent="0.25">
      <c r="A898">
        <v>537.00266999999997</v>
      </c>
      <c r="B898" s="1">
        <f>DATE(2011,10,20) + TIME(0,3,50)</f>
        <v>40836.002662037034</v>
      </c>
      <c r="C898">
        <v>80</v>
      </c>
      <c r="D898">
        <v>79.937263489000003</v>
      </c>
      <c r="E898">
        <v>50</v>
      </c>
      <c r="F898">
        <v>33.183464049999998</v>
      </c>
      <c r="G898">
        <v>1786.541626</v>
      </c>
      <c r="H898">
        <v>1659.9632568</v>
      </c>
      <c r="I898">
        <v>784.84143066000001</v>
      </c>
      <c r="J898">
        <v>531.51586913999995</v>
      </c>
      <c r="K898">
        <v>2400</v>
      </c>
      <c r="L898">
        <v>0</v>
      </c>
      <c r="M898">
        <v>0</v>
      </c>
      <c r="N898">
        <v>2400</v>
      </c>
    </row>
    <row r="899" spans="1:14" x14ac:dyDescent="0.25">
      <c r="A899">
        <v>538.027603</v>
      </c>
      <c r="B899" s="1">
        <f>DATE(2011,10,21) + TIME(0,39,44)</f>
        <v>40837.027592592596</v>
      </c>
      <c r="C899">
        <v>80</v>
      </c>
      <c r="D899">
        <v>79.937301636000001</v>
      </c>
      <c r="E899">
        <v>50</v>
      </c>
      <c r="F899">
        <v>33.183086394999997</v>
      </c>
      <c r="G899">
        <v>1786.1783447</v>
      </c>
      <c r="H899">
        <v>1659.5999756000001</v>
      </c>
      <c r="I899">
        <v>784.50646973000005</v>
      </c>
      <c r="J899">
        <v>530.86749268000005</v>
      </c>
      <c r="K899">
        <v>2400</v>
      </c>
      <c r="L899">
        <v>0</v>
      </c>
      <c r="M899">
        <v>0</v>
      </c>
      <c r="N899">
        <v>2400</v>
      </c>
    </row>
    <row r="900" spans="1:14" x14ac:dyDescent="0.25">
      <c r="A900">
        <v>539.05253700000003</v>
      </c>
      <c r="B900" s="1">
        <f>DATE(2011,10,22) + TIME(1,15,39)</f>
        <v>40838.052534722221</v>
      </c>
      <c r="C900">
        <v>80</v>
      </c>
      <c r="D900">
        <v>79.937362671000002</v>
      </c>
      <c r="E900">
        <v>50</v>
      </c>
      <c r="F900">
        <v>33.189414978000002</v>
      </c>
      <c r="G900">
        <v>1785.8232422000001</v>
      </c>
      <c r="H900">
        <v>1659.2448730000001</v>
      </c>
      <c r="I900">
        <v>784.23767090000001</v>
      </c>
      <c r="J900">
        <v>530.33880614999998</v>
      </c>
      <c r="K900">
        <v>2400</v>
      </c>
      <c r="L900">
        <v>0</v>
      </c>
      <c r="M900">
        <v>0</v>
      </c>
      <c r="N900">
        <v>2400</v>
      </c>
    </row>
    <row r="901" spans="1:14" x14ac:dyDescent="0.25">
      <c r="A901">
        <v>540.07746999999995</v>
      </c>
      <c r="B901" s="1">
        <f>DATE(2011,10,23) + TIME(1,51,33)</f>
        <v>40839.077465277776</v>
      </c>
      <c r="C901">
        <v>80</v>
      </c>
      <c r="D901">
        <v>79.937438964999998</v>
      </c>
      <c r="E901">
        <v>50</v>
      </c>
      <c r="F901">
        <v>33.201271057</v>
      </c>
      <c r="G901">
        <v>1785.4758300999999</v>
      </c>
      <c r="H901">
        <v>1658.8974608999999</v>
      </c>
      <c r="I901">
        <v>783.99871826000003</v>
      </c>
      <c r="J901">
        <v>529.87322998000002</v>
      </c>
      <c r="K901">
        <v>2400</v>
      </c>
      <c r="L901">
        <v>0</v>
      </c>
      <c r="M901">
        <v>0</v>
      </c>
      <c r="N901">
        <v>2400</v>
      </c>
    </row>
    <row r="902" spans="1:14" x14ac:dyDescent="0.25">
      <c r="A902">
        <v>541.10240299999998</v>
      </c>
      <c r="B902" s="1">
        <f>DATE(2011,10,24) + TIME(2,27,27)</f>
        <v>40840.102395833332</v>
      </c>
      <c r="C902">
        <v>80</v>
      </c>
      <c r="D902">
        <v>79.937515258999994</v>
      </c>
      <c r="E902">
        <v>50</v>
      </c>
      <c r="F902">
        <v>33.218128204000003</v>
      </c>
      <c r="G902">
        <v>1785.1342772999999</v>
      </c>
      <c r="H902">
        <v>1658.5560303</v>
      </c>
      <c r="I902">
        <v>783.78021239999998</v>
      </c>
      <c r="J902">
        <v>529.45275878999996</v>
      </c>
      <c r="K902">
        <v>2400</v>
      </c>
      <c r="L902">
        <v>0</v>
      </c>
      <c r="M902">
        <v>0</v>
      </c>
      <c r="N902">
        <v>2400</v>
      </c>
    </row>
    <row r="903" spans="1:14" x14ac:dyDescent="0.25">
      <c r="A903">
        <v>542.12733700000001</v>
      </c>
      <c r="B903" s="1">
        <f>DATE(2011,10,25) + TIME(3,3,21)</f>
        <v>40841.127326388887</v>
      </c>
      <c r="C903">
        <v>80</v>
      </c>
      <c r="D903">
        <v>79.937591553000004</v>
      </c>
      <c r="E903">
        <v>50</v>
      </c>
      <c r="F903">
        <v>33.239711761000002</v>
      </c>
      <c r="G903">
        <v>1784.7972411999999</v>
      </c>
      <c r="H903">
        <v>1658.2191161999999</v>
      </c>
      <c r="I903">
        <v>783.57885741999996</v>
      </c>
      <c r="J903">
        <v>529.07012939000003</v>
      </c>
      <c r="K903">
        <v>2400</v>
      </c>
      <c r="L903">
        <v>0</v>
      </c>
      <c r="M903">
        <v>0</v>
      </c>
      <c r="N903">
        <v>2400</v>
      </c>
    </row>
    <row r="904" spans="1:14" x14ac:dyDescent="0.25">
      <c r="A904">
        <v>543.15227000000004</v>
      </c>
      <c r="B904" s="1">
        <f>DATE(2011,10,26) + TIME(3,39,16)</f>
        <v>40842.152268518519</v>
      </c>
      <c r="C904">
        <v>80</v>
      </c>
      <c r="D904">
        <v>79.937660217000001</v>
      </c>
      <c r="E904">
        <v>50</v>
      </c>
      <c r="F904">
        <v>33.265850067000002</v>
      </c>
      <c r="G904">
        <v>1784.4637451000001</v>
      </c>
      <c r="H904">
        <v>1657.8854980000001</v>
      </c>
      <c r="I904">
        <v>783.39343262</v>
      </c>
      <c r="J904">
        <v>528.72210693</v>
      </c>
      <c r="K904">
        <v>2400</v>
      </c>
      <c r="L904">
        <v>0</v>
      </c>
      <c r="M904">
        <v>0</v>
      </c>
      <c r="N904">
        <v>2400</v>
      </c>
    </row>
    <row r="905" spans="1:14" x14ac:dyDescent="0.25">
      <c r="A905">
        <v>544.17720399999996</v>
      </c>
      <c r="B905" s="1">
        <f>DATE(2011,10,27) + TIME(4,15,10)</f>
        <v>40843.177199074074</v>
      </c>
      <c r="C905">
        <v>80</v>
      </c>
      <c r="D905">
        <v>79.937736510999997</v>
      </c>
      <c r="E905">
        <v>50</v>
      </c>
      <c r="F905">
        <v>33.296409607000001</v>
      </c>
      <c r="G905">
        <v>1784.1328125</v>
      </c>
      <c r="H905">
        <v>1657.5546875</v>
      </c>
      <c r="I905">
        <v>783.22302246000004</v>
      </c>
      <c r="J905">
        <v>528.40679932</v>
      </c>
      <c r="K905">
        <v>2400</v>
      </c>
      <c r="L905">
        <v>0</v>
      </c>
      <c r="M905">
        <v>0</v>
      </c>
      <c r="N905">
        <v>2400</v>
      </c>
    </row>
    <row r="906" spans="1:14" x14ac:dyDescent="0.25">
      <c r="A906">
        <v>546.22707100000002</v>
      </c>
      <c r="B906" s="1">
        <f>DATE(2011,10,29) + TIME(5,26,58)</f>
        <v>40845.227060185185</v>
      </c>
      <c r="C906">
        <v>80</v>
      </c>
      <c r="D906">
        <v>79.937927246000001</v>
      </c>
      <c r="E906">
        <v>50</v>
      </c>
      <c r="F906">
        <v>33.340122223000002</v>
      </c>
      <c r="G906">
        <v>1783.5439452999999</v>
      </c>
      <c r="H906">
        <v>1656.9659423999999</v>
      </c>
      <c r="I906">
        <v>783.11865234000004</v>
      </c>
      <c r="J906">
        <v>528.15563965000001</v>
      </c>
      <c r="K906">
        <v>2400</v>
      </c>
      <c r="L906">
        <v>0</v>
      </c>
      <c r="M906">
        <v>0</v>
      </c>
      <c r="N906">
        <v>2400</v>
      </c>
    </row>
    <row r="907" spans="1:14" x14ac:dyDescent="0.25">
      <c r="A907">
        <v>548.28058899999996</v>
      </c>
      <c r="B907" s="1">
        <f>DATE(2011,10,31) + TIME(6,44,2)</f>
        <v>40847.280578703707</v>
      </c>
      <c r="C907">
        <v>80</v>
      </c>
      <c r="D907">
        <v>79.938064574999999</v>
      </c>
      <c r="E907">
        <v>50</v>
      </c>
      <c r="F907">
        <v>33.414020538000003</v>
      </c>
      <c r="G907">
        <v>1782.9472656</v>
      </c>
      <c r="H907">
        <v>1656.3693848</v>
      </c>
      <c r="I907">
        <v>782.84729003999996</v>
      </c>
      <c r="J907">
        <v>527.67950439000003</v>
      </c>
      <c r="K907">
        <v>2400</v>
      </c>
      <c r="L907">
        <v>0</v>
      </c>
      <c r="M907">
        <v>0</v>
      </c>
      <c r="N907">
        <v>2400</v>
      </c>
    </row>
    <row r="908" spans="1:14" x14ac:dyDescent="0.25">
      <c r="A908">
        <v>549</v>
      </c>
      <c r="B908" s="1">
        <f>DATE(2011,11,1) + TIME(0,0,0)</f>
        <v>40848</v>
      </c>
      <c r="C908">
        <v>80</v>
      </c>
      <c r="D908">
        <v>79.938064574999999</v>
      </c>
      <c r="E908">
        <v>50</v>
      </c>
      <c r="F908">
        <v>33.477622986</v>
      </c>
      <c r="G908">
        <v>1782.7086182</v>
      </c>
      <c r="H908">
        <v>1656.1307373</v>
      </c>
      <c r="I908">
        <v>782.58050536999997</v>
      </c>
      <c r="J908">
        <v>527.26470946999996</v>
      </c>
      <c r="K908">
        <v>2400</v>
      </c>
      <c r="L908">
        <v>0</v>
      </c>
      <c r="M908">
        <v>0</v>
      </c>
      <c r="N908">
        <v>2400</v>
      </c>
    </row>
    <row r="909" spans="1:14" x14ac:dyDescent="0.25">
      <c r="A909">
        <v>549.000001</v>
      </c>
      <c r="B909" s="1">
        <f>DATE(2011,11,1) + TIME(0,0,0)</f>
        <v>40848</v>
      </c>
      <c r="C909">
        <v>80</v>
      </c>
      <c r="D909">
        <v>79.938034058</v>
      </c>
      <c r="E909">
        <v>50</v>
      </c>
      <c r="F909">
        <v>33.477653502999999</v>
      </c>
      <c r="G909">
        <v>1656.1207274999999</v>
      </c>
      <c r="H909">
        <v>1529.543457</v>
      </c>
      <c r="I909">
        <v>1038.4549560999999</v>
      </c>
      <c r="J909">
        <v>782.59020996000004</v>
      </c>
      <c r="K909">
        <v>0</v>
      </c>
      <c r="L909">
        <v>2400</v>
      </c>
      <c r="M909">
        <v>2400</v>
      </c>
      <c r="N909">
        <v>0</v>
      </c>
    </row>
    <row r="910" spans="1:14" x14ac:dyDescent="0.25">
      <c r="A910">
        <v>549.00000399999999</v>
      </c>
      <c r="B910" s="1">
        <f>DATE(2011,11,1) + TIME(0,0,0)</f>
        <v>40848</v>
      </c>
      <c r="C910">
        <v>80</v>
      </c>
      <c r="D910">
        <v>79.937942504999995</v>
      </c>
      <c r="E910">
        <v>50</v>
      </c>
      <c r="F910">
        <v>33.477748871000003</v>
      </c>
      <c r="G910">
        <v>1656.0906981999999</v>
      </c>
      <c r="H910">
        <v>1529.5133057</v>
      </c>
      <c r="I910">
        <v>1038.4840088000001</v>
      </c>
      <c r="J910">
        <v>782.61926270000004</v>
      </c>
      <c r="K910">
        <v>0</v>
      </c>
      <c r="L910">
        <v>2400</v>
      </c>
      <c r="M910">
        <v>2400</v>
      </c>
      <c r="N910">
        <v>0</v>
      </c>
    </row>
    <row r="911" spans="1:14" x14ac:dyDescent="0.25">
      <c r="A911">
        <v>549.00001299999997</v>
      </c>
      <c r="B911" s="1">
        <f>DATE(2011,11,1) + TIME(0,0,1)</f>
        <v>40848.000011574077</v>
      </c>
      <c r="C911">
        <v>80</v>
      </c>
      <c r="D911">
        <v>79.937667847</v>
      </c>
      <c r="E911">
        <v>50</v>
      </c>
      <c r="F911">
        <v>33.478034973</v>
      </c>
      <c r="G911">
        <v>1656.0006103999999</v>
      </c>
      <c r="H911">
        <v>1529.4227295000001</v>
      </c>
      <c r="I911">
        <v>1038.5709228999999</v>
      </c>
      <c r="J911">
        <v>782.70635986000002</v>
      </c>
      <c r="K911">
        <v>0</v>
      </c>
      <c r="L911">
        <v>2400</v>
      </c>
      <c r="M911">
        <v>2400</v>
      </c>
      <c r="N911">
        <v>0</v>
      </c>
    </row>
    <row r="912" spans="1:14" x14ac:dyDescent="0.25">
      <c r="A912">
        <v>549.00004000000001</v>
      </c>
      <c r="B912" s="1">
        <f>DATE(2011,11,1) + TIME(0,0,3)</f>
        <v>40848.000034722223</v>
      </c>
      <c r="C912">
        <v>80</v>
      </c>
      <c r="D912">
        <v>79.936836243000002</v>
      </c>
      <c r="E912">
        <v>50</v>
      </c>
      <c r="F912">
        <v>33.478897095000001</v>
      </c>
      <c r="G912">
        <v>1655.730957</v>
      </c>
      <c r="H912">
        <v>1529.1517334</v>
      </c>
      <c r="I912">
        <v>1038.831543</v>
      </c>
      <c r="J912">
        <v>782.96765137</v>
      </c>
      <c r="K912">
        <v>0</v>
      </c>
      <c r="L912">
        <v>2400</v>
      </c>
      <c r="M912">
        <v>2400</v>
      </c>
      <c r="N912">
        <v>0</v>
      </c>
    </row>
    <row r="913" spans="1:14" x14ac:dyDescent="0.25">
      <c r="A913">
        <v>549.00012100000004</v>
      </c>
      <c r="B913" s="1">
        <f>DATE(2011,11,1) + TIME(0,0,10)</f>
        <v>40848.000115740739</v>
      </c>
      <c r="C913">
        <v>80</v>
      </c>
      <c r="D913">
        <v>79.934371948000006</v>
      </c>
      <c r="E913">
        <v>50</v>
      </c>
      <c r="F913">
        <v>33.481475830000001</v>
      </c>
      <c r="G913">
        <v>1654.9267577999999</v>
      </c>
      <c r="H913">
        <v>1528.3433838000001</v>
      </c>
      <c r="I913">
        <v>1039.6113281</v>
      </c>
      <c r="J913">
        <v>783.75103760000002</v>
      </c>
      <c r="K913">
        <v>0</v>
      </c>
      <c r="L913">
        <v>2400</v>
      </c>
      <c r="M913">
        <v>2400</v>
      </c>
      <c r="N913">
        <v>0</v>
      </c>
    </row>
    <row r="914" spans="1:14" x14ac:dyDescent="0.25">
      <c r="A914">
        <v>549.00036399999999</v>
      </c>
      <c r="B914" s="1">
        <f>DATE(2011,11,1) + TIME(0,0,31)</f>
        <v>40848.000358796293</v>
      </c>
      <c r="C914">
        <v>80</v>
      </c>
      <c r="D914">
        <v>79.927101135000001</v>
      </c>
      <c r="E914">
        <v>50</v>
      </c>
      <c r="F914">
        <v>33.489227294999999</v>
      </c>
      <c r="G914">
        <v>1652.5557861</v>
      </c>
      <c r="H914">
        <v>1525.9603271000001</v>
      </c>
      <c r="I914">
        <v>1041.9302978999999</v>
      </c>
      <c r="J914">
        <v>786.09619140999996</v>
      </c>
      <c r="K914">
        <v>0</v>
      </c>
      <c r="L914">
        <v>2400</v>
      </c>
      <c r="M914">
        <v>2400</v>
      </c>
      <c r="N914">
        <v>0</v>
      </c>
    </row>
    <row r="915" spans="1:14" x14ac:dyDescent="0.25">
      <c r="A915">
        <v>549.00109299999997</v>
      </c>
      <c r="B915" s="1">
        <f>DATE(2011,11,1) + TIME(0,1,34)</f>
        <v>40848.001087962963</v>
      </c>
      <c r="C915">
        <v>80</v>
      </c>
      <c r="D915">
        <v>79.906364440999994</v>
      </c>
      <c r="E915">
        <v>50</v>
      </c>
      <c r="F915">
        <v>33.512458801000001</v>
      </c>
      <c r="G915">
        <v>1645.7929687999999</v>
      </c>
      <c r="H915">
        <v>1519.1641846</v>
      </c>
      <c r="I915">
        <v>1048.7121582</v>
      </c>
      <c r="J915">
        <v>793.04266356999995</v>
      </c>
      <c r="K915">
        <v>0</v>
      </c>
      <c r="L915">
        <v>2400</v>
      </c>
      <c r="M915">
        <v>2400</v>
      </c>
      <c r="N915">
        <v>0</v>
      </c>
    </row>
    <row r="916" spans="1:14" x14ac:dyDescent="0.25">
      <c r="A916">
        <v>549.00328000000002</v>
      </c>
      <c r="B916" s="1">
        <f>DATE(2011,11,1) + TIME(0,4,43)</f>
        <v>40848.003275462965</v>
      </c>
      <c r="C916">
        <v>80</v>
      </c>
      <c r="D916">
        <v>79.852165221999996</v>
      </c>
      <c r="E916">
        <v>50</v>
      </c>
      <c r="F916">
        <v>33.581012725999997</v>
      </c>
      <c r="G916">
        <v>1628.1240233999999</v>
      </c>
      <c r="H916">
        <v>1501.4123535000001</v>
      </c>
      <c r="I916">
        <v>1067.6347656</v>
      </c>
      <c r="J916">
        <v>812.73394774999997</v>
      </c>
      <c r="K916">
        <v>0</v>
      </c>
      <c r="L916">
        <v>2400</v>
      </c>
      <c r="M916">
        <v>2400</v>
      </c>
      <c r="N916">
        <v>0</v>
      </c>
    </row>
    <row r="917" spans="1:14" x14ac:dyDescent="0.25">
      <c r="A917">
        <v>549.00984100000005</v>
      </c>
      <c r="B917" s="1">
        <f>DATE(2011,11,1) + TIME(0,14,10)</f>
        <v>40848.009837962964</v>
      </c>
      <c r="C917">
        <v>80</v>
      </c>
      <c r="D917">
        <v>79.735328674000002</v>
      </c>
      <c r="E917">
        <v>50</v>
      </c>
      <c r="F917">
        <v>33.774578093999999</v>
      </c>
      <c r="G917">
        <v>1590.0877685999999</v>
      </c>
      <c r="H917">
        <v>1463.2041016000001</v>
      </c>
      <c r="I917">
        <v>1114.5351562000001</v>
      </c>
      <c r="J917">
        <v>861.84008788999995</v>
      </c>
      <c r="K917">
        <v>0</v>
      </c>
      <c r="L917">
        <v>2400</v>
      </c>
      <c r="M917">
        <v>2400</v>
      </c>
      <c r="N917">
        <v>0</v>
      </c>
    </row>
    <row r="918" spans="1:14" x14ac:dyDescent="0.25">
      <c r="A918">
        <v>549.02952400000004</v>
      </c>
      <c r="B918" s="1">
        <f>DATE(2011,11,1) + TIME(0,42,30)</f>
        <v>40848.029513888891</v>
      </c>
      <c r="C918">
        <v>80</v>
      </c>
      <c r="D918">
        <v>79.550933838000006</v>
      </c>
      <c r="E918">
        <v>50</v>
      </c>
      <c r="F918">
        <v>34.283130645999996</v>
      </c>
      <c r="G918">
        <v>1529.8736572</v>
      </c>
      <c r="H918">
        <v>1402.7302245999999</v>
      </c>
      <c r="I918">
        <v>1205.8170166</v>
      </c>
      <c r="J918">
        <v>956.66809081999997</v>
      </c>
      <c r="K918">
        <v>0</v>
      </c>
      <c r="L918">
        <v>2400</v>
      </c>
      <c r="M918">
        <v>2400</v>
      </c>
      <c r="N918">
        <v>0</v>
      </c>
    </row>
    <row r="919" spans="1:14" x14ac:dyDescent="0.25">
      <c r="A919">
        <v>549.06596300000001</v>
      </c>
      <c r="B919" s="1">
        <f>DATE(2011,11,1) + TIME(1,34,59)</f>
        <v>40848.065960648149</v>
      </c>
      <c r="C919">
        <v>80</v>
      </c>
      <c r="D919">
        <v>79.390274047999995</v>
      </c>
      <c r="E919">
        <v>50</v>
      </c>
      <c r="F919">
        <v>35.094787598000003</v>
      </c>
      <c r="G919">
        <v>1475.9606934000001</v>
      </c>
      <c r="H919">
        <v>1348.5925293</v>
      </c>
      <c r="I919">
        <v>1300.3447266000001</v>
      </c>
      <c r="J919">
        <v>1054.6547852000001</v>
      </c>
      <c r="K919">
        <v>0</v>
      </c>
      <c r="L919">
        <v>2400</v>
      </c>
      <c r="M919">
        <v>2400</v>
      </c>
      <c r="N919">
        <v>0</v>
      </c>
    </row>
    <row r="920" spans="1:14" x14ac:dyDescent="0.25">
      <c r="A920">
        <v>549.10654299999999</v>
      </c>
      <c r="B920" s="1">
        <f>DATE(2011,11,1) + TIME(2,33,25)</f>
        <v>40848.106539351851</v>
      </c>
      <c r="C920">
        <v>80</v>
      </c>
      <c r="D920">
        <v>79.290573120000005</v>
      </c>
      <c r="E920">
        <v>50</v>
      </c>
      <c r="F920">
        <v>35.899333953999999</v>
      </c>
      <c r="G920">
        <v>1441.3179932</v>
      </c>
      <c r="H920">
        <v>1313.8129882999999</v>
      </c>
      <c r="I920">
        <v>1363.9190673999999</v>
      </c>
      <c r="J920">
        <v>1121.2034911999999</v>
      </c>
      <c r="K920">
        <v>0</v>
      </c>
      <c r="L920">
        <v>2400</v>
      </c>
      <c r="M920">
        <v>2400</v>
      </c>
      <c r="N920">
        <v>0</v>
      </c>
    </row>
    <row r="921" spans="1:14" x14ac:dyDescent="0.25">
      <c r="A921">
        <v>549.15109199999995</v>
      </c>
      <c r="B921" s="1">
        <f>DATE(2011,11,1) + TIME(3,37,34)</f>
        <v>40848.151087962964</v>
      </c>
      <c r="C921">
        <v>80</v>
      </c>
      <c r="D921">
        <v>79.221038817999997</v>
      </c>
      <c r="E921">
        <v>50</v>
      </c>
      <c r="F921">
        <v>36.703693389999998</v>
      </c>
      <c r="G921">
        <v>1416.1979980000001</v>
      </c>
      <c r="H921">
        <v>1288.6035156</v>
      </c>
      <c r="I921">
        <v>1409.6693115</v>
      </c>
      <c r="J921">
        <v>1169.9440918</v>
      </c>
      <c r="K921">
        <v>0</v>
      </c>
      <c r="L921">
        <v>2400</v>
      </c>
      <c r="M921">
        <v>2400</v>
      </c>
      <c r="N921">
        <v>0</v>
      </c>
    </row>
    <row r="922" spans="1:14" x14ac:dyDescent="0.25">
      <c r="A922">
        <v>549.19913399999996</v>
      </c>
      <c r="B922" s="1">
        <f>DATE(2011,11,1) + TIME(4,46,45)</f>
        <v>40848.199131944442</v>
      </c>
      <c r="C922">
        <v>80</v>
      </c>
      <c r="D922">
        <v>79.168640136999997</v>
      </c>
      <c r="E922">
        <v>50</v>
      </c>
      <c r="F922">
        <v>37.501960754000002</v>
      </c>
      <c r="G922">
        <v>1396.5727539</v>
      </c>
      <c r="H922">
        <v>1268.9156493999999</v>
      </c>
      <c r="I922">
        <v>1444.5273437999999</v>
      </c>
      <c r="J922">
        <v>1207.8239745999999</v>
      </c>
      <c r="K922">
        <v>0</v>
      </c>
      <c r="L922">
        <v>2400</v>
      </c>
      <c r="M922">
        <v>2400</v>
      </c>
      <c r="N922">
        <v>0</v>
      </c>
    </row>
    <row r="923" spans="1:14" x14ac:dyDescent="0.25">
      <c r="A923">
        <v>549.25047099999995</v>
      </c>
      <c r="B923" s="1">
        <f>DATE(2011,11,1) + TIME(6,0,40)</f>
        <v>40848.250462962962</v>
      </c>
      <c r="C923">
        <v>80</v>
      </c>
      <c r="D923">
        <v>79.126838684000006</v>
      </c>
      <c r="E923">
        <v>50</v>
      </c>
      <c r="F923">
        <v>38.290164947999997</v>
      </c>
      <c r="G923">
        <v>1380.4276123</v>
      </c>
      <c r="H923">
        <v>1252.7242432</v>
      </c>
      <c r="I923">
        <v>1472.4346923999999</v>
      </c>
      <c r="J923">
        <v>1238.7337646000001</v>
      </c>
      <c r="K923">
        <v>0</v>
      </c>
      <c r="L923">
        <v>2400</v>
      </c>
      <c r="M923">
        <v>2400</v>
      </c>
      <c r="N923">
        <v>0</v>
      </c>
    </row>
    <row r="924" spans="1:14" x14ac:dyDescent="0.25">
      <c r="A924">
        <v>549.30510200000003</v>
      </c>
      <c r="B924" s="1">
        <f>DATE(2011,11,1) + TIME(7,19,20)</f>
        <v>40848.305092592593</v>
      </c>
      <c r="C924">
        <v>80</v>
      </c>
      <c r="D924">
        <v>79.091979980000005</v>
      </c>
      <c r="E924">
        <v>50</v>
      </c>
      <c r="F924">
        <v>39.065841675000001</v>
      </c>
      <c r="G924">
        <v>1366.6441649999999</v>
      </c>
      <c r="H924">
        <v>1238.9056396000001</v>
      </c>
      <c r="I924">
        <v>1495.6799315999999</v>
      </c>
      <c r="J924">
        <v>1264.9237060999999</v>
      </c>
      <c r="K924">
        <v>0</v>
      </c>
      <c r="L924">
        <v>2400</v>
      </c>
      <c r="M924">
        <v>2400</v>
      </c>
      <c r="N924">
        <v>0</v>
      </c>
    </row>
    <row r="925" spans="1:14" x14ac:dyDescent="0.25">
      <c r="A925">
        <v>549.36317199999996</v>
      </c>
      <c r="B925" s="1">
        <f>DATE(2011,11,1) + TIME(8,42,58)</f>
        <v>40848.363171296296</v>
      </c>
      <c r="C925">
        <v>80</v>
      </c>
      <c r="D925">
        <v>79.061851501000007</v>
      </c>
      <c r="E925">
        <v>50</v>
      </c>
      <c r="F925">
        <v>39.827472686999997</v>
      </c>
      <c r="G925">
        <v>1354.5430908000001</v>
      </c>
      <c r="H925">
        <v>1226.7770995999999</v>
      </c>
      <c r="I925">
        <v>1515.6600341999999</v>
      </c>
      <c r="J925">
        <v>1287.7692870999999</v>
      </c>
      <c r="K925">
        <v>0</v>
      </c>
      <c r="L925">
        <v>2400</v>
      </c>
      <c r="M925">
        <v>2400</v>
      </c>
      <c r="N925">
        <v>0</v>
      </c>
    </row>
    <row r="926" spans="1:14" x14ac:dyDescent="0.25">
      <c r="A926">
        <v>549.42493999999999</v>
      </c>
      <c r="B926" s="1">
        <f>DATE(2011,11,1) + TIME(10,11,54)</f>
        <v>40848.424930555557</v>
      </c>
      <c r="C926">
        <v>80</v>
      </c>
      <c r="D926">
        <v>79.034980774000005</v>
      </c>
      <c r="E926">
        <v>50</v>
      </c>
      <c r="F926">
        <v>40.574172974</v>
      </c>
      <c r="G926">
        <v>1343.6821289</v>
      </c>
      <c r="H926">
        <v>1215.8942870999999</v>
      </c>
      <c r="I926">
        <v>1533.2753906</v>
      </c>
      <c r="J926">
        <v>1308.1607666</v>
      </c>
      <c r="K926">
        <v>0</v>
      </c>
      <c r="L926">
        <v>2400</v>
      </c>
      <c r="M926">
        <v>2400</v>
      </c>
      <c r="N926">
        <v>0</v>
      </c>
    </row>
    <row r="927" spans="1:14" x14ac:dyDescent="0.25">
      <c r="A927">
        <v>549.49076500000001</v>
      </c>
      <c r="B927" s="1">
        <f>DATE(2011,11,1) + TIME(11,46,42)</f>
        <v>40848.490763888891</v>
      </c>
      <c r="C927">
        <v>80</v>
      </c>
      <c r="D927">
        <v>79.010322571000003</v>
      </c>
      <c r="E927">
        <v>50</v>
      </c>
      <c r="F927">
        <v>41.305068970000001</v>
      </c>
      <c r="G927">
        <v>1333.7561035000001</v>
      </c>
      <c r="H927">
        <v>1205.9505615</v>
      </c>
      <c r="I927">
        <v>1549.1397704999999</v>
      </c>
      <c r="J927">
        <v>1326.7075195</v>
      </c>
      <c r="K927">
        <v>0</v>
      </c>
      <c r="L927">
        <v>2400</v>
      </c>
      <c r="M927">
        <v>2400</v>
      </c>
      <c r="N927">
        <v>0</v>
      </c>
    </row>
    <row r="928" spans="1:14" x14ac:dyDescent="0.25">
      <c r="A928">
        <v>549.56111199999998</v>
      </c>
      <c r="B928" s="1">
        <f>DATE(2011,11,1) + TIME(13,28,0)</f>
        <v>40848.561111111114</v>
      </c>
      <c r="C928">
        <v>80</v>
      </c>
      <c r="D928">
        <v>78.987121582</v>
      </c>
      <c r="E928">
        <v>50</v>
      </c>
      <c r="F928">
        <v>42.019451140999998</v>
      </c>
      <c r="G928">
        <v>1324.5438231999999</v>
      </c>
      <c r="H928">
        <v>1196.7235106999999</v>
      </c>
      <c r="I928">
        <v>1563.6922606999999</v>
      </c>
      <c r="J928">
        <v>1343.8469238</v>
      </c>
      <c r="K928">
        <v>0</v>
      </c>
      <c r="L928">
        <v>2400</v>
      </c>
      <c r="M928">
        <v>2400</v>
      </c>
      <c r="N928">
        <v>0</v>
      </c>
    </row>
    <row r="929" spans="1:14" x14ac:dyDescent="0.25">
      <c r="A929">
        <v>549.63656400000002</v>
      </c>
      <c r="B929" s="1">
        <f>DATE(2011,11,1) + TIME(15,16,39)</f>
        <v>40848.636562500003</v>
      </c>
      <c r="C929">
        <v>80</v>
      </c>
      <c r="D929">
        <v>78.964744568</v>
      </c>
      <c r="E929">
        <v>50</v>
      </c>
      <c r="F929">
        <v>42.716632842999999</v>
      </c>
      <c r="G929">
        <v>1315.8773193</v>
      </c>
      <c r="H929">
        <v>1188.0445557</v>
      </c>
      <c r="I929">
        <v>1577.2608643000001</v>
      </c>
      <c r="J929">
        <v>1359.9069824000001</v>
      </c>
      <c r="K929">
        <v>0</v>
      </c>
      <c r="L929">
        <v>2400</v>
      </c>
      <c r="M929">
        <v>2400</v>
      </c>
      <c r="N929">
        <v>0</v>
      </c>
    </row>
    <row r="930" spans="1:14" x14ac:dyDescent="0.25">
      <c r="A930">
        <v>549.71784500000001</v>
      </c>
      <c r="B930" s="1">
        <f>DATE(2011,11,1) + TIME(17,13,41)</f>
        <v>40848.717835648145</v>
      </c>
      <c r="C930">
        <v>80</v>
      </c>
      <c r="D930">
        <v>78.942680358999993</v>
      </c>
      <c r="E930">
        <v>50</v>
      </c>
      <c r="F930">
        <v>43.395835876</v>
      </c>
      <c r="G930">
        <v>1307.6235352000001</v>
      </c>
      <c r="H930">
        <v>1179.7799072</v>
      </c>
      <c r="I930">
        <v>1590.1020507999999</v>
      </c>
      <c r="J930">
        <v>1375.1450195</v>
      </c>
      <c r="K930">
        <v>0</v>
      </c>
      <c r="L930">
        <v>2400</v>
      </c>
      <c r="M930">
        <v>2400</v>
      </c>
      <c r="N930">
        <v>0</v>
      </c>
    </row>
    <row r="931" spans="1:14" x14ac:dyDescent="0.25">
      <c r="A931">
        <v>549.805881</v>
      </c>
      <c r="B931" s="1">
        <f>DATE(2011,11,1) + TIME(19,20,28)</f>
        <v>40848.805879629632</v>
      </c>
      <c r="C931">
        <v>80</v>
      </c>
      <c r="D931">
        <v>78.920455933</v>
      </c>
      <c r="E931">
        <v>50</v>
      </c>
      <c r="F931">
        <v>44.056343079000001</v>
      </c>
      <c r="G931">
        <v>1299.6697998</v>
      </c>
      <c r="H931">
        <v>1171.8164062000001</v>
      </c>
      <c r="I931">
        <v>1602.4284668</v>
      </c>
      <c r="J931">
        <v>1389.7749022999999</v>
      </c>
      <c r="K931">
        <v>0</v>
      </c>
      <c r="L931">
        <v>2400</v>
      </c>
      <c r="M931">
        <v>2400</v>
      </c>
      <c r="N931">
        <v>0</v>
      </c>
    </row>
    <row r="932" spans="1:14" x14ac:dyDescent="0.25">
      <c r="A932">
        <v>549.90184599999998</v>
      </c>
      <c r="B932" s="1">
        <f>DATE(2011,11,1) + TIME(21,38,39)</f>
        <v>40848.90184027778</v>
      </c>
      <c r="C932">
        <v>80</v>
      </c>
      <c r="D932">
        <v>78.897621154999996</v>
      </c>
      <c r="E932">
        <v>50</v>
      </c>
      <c r="F932">
        <v>44.697292328000003</v>
      </c>
      <c r="G932">
        <v>1291.9167480000001</v>
      </c>
      <c r="H932">
        <v>1164.0541992000001</v>
      </c>
      <c r="I932">
        <v>1614.4233397999999</v>
      </c>
      <c r="J932">
        <v>1403.9812012</v>
      </c>
      <c r="K932">
        <v>0</v>
      </c>
      <c r="L932">
        <v>2400</v>
      </c>
      <c r="M932">
        <v>2400</v>
      </c>
      <c r="N932">
        <v>0</v>
      </c>
    </row>
    <row r="933" spans="1:14" x14ac:dyDescent="0.25">
      <c r="A933">
        <v>550.00724300000002</v>
      </c>
      <c r="B933" s="1">
        <f>DATE(2011,11,2) + TIME(0,10,25)</f>
        <v>40849.007233796299</v>
      </c>
      <c r="C933">
        <v>80</v>
      </c>
      <c r="D933">
        <v>78.873695373999993</v>
      </c>
      <c r="E933">
        <v>50</v>
      </c>
      <c r="F933">
        <v>45.317600249999998</v>
      </c>
      <c r="G933">
        <v>1284.2724608999999</v>
      </c>
      <c r="H933">
        <v>1156.401001</v>
      </c>
      <c r="I933">
        <v>1626.2521973</v>
      </c>
      <c r="J933">
        <v>1417.9301757999999</v>
      </c>
      <c r="K933">
        <v>0</v>
      </c>
      <c r="L933">
        <v>2400</v>
      </c>
      <c r="M933">
        <v>2400</v>
      </c>
      <c r="N933">
        <v>0</v>
      </c>
    </row>
    <row r="934" spans="1:14" x14ac:dyDescent="0.25">
      <c r="A934">
        <v>550.12409600000001</v>
      </c>
      <c r="B934" s="1">
        <f>DATE(2011,11,2) + TIME(2,58,41)</f>
        <v>40849.124085648145</v>
      </c>
      <c r="C934">
        <v>80</v>
      </c>
      <c r="D934">
        <v>78.848159789999997</v>
      </c>
      <c r="E934">
        <v>50</v>
      </c>
      <c r="F934">
        <v>45.916187286000003</v>
      </c>
      <c r="G934">
        <v>1276.6424560999999</v>
      </c>
      <c r="H934">
        <v>1148.7618408000001</v>
      </c>
      <c r="I934">
        <v>1638.0797118999999</v>
      </c>
      <c r="J934">
        <v>1431.7873535000001</v>
      </c>
      <c r="K934">
        <v>0</v>
      </c>
      <c r="L934">
        <v>2400</v>
      </c>
      <c r="M934">
        <v>2400</v>
      </c>
      <c r="N934">
        <v>0</v>
      </c>
    </row>
    <row r="935" spans="1:14" x14ac:dyDescent="0.25">
      <c r="A935">
        <v>550.25510999999995</v>
      </c>
      <c r="B935" s="1">
        <f>DATE(2011,11,2) + TIME(6,7,21)</f>
        <v>40849.255104166667</v>
      </c>
      <c r="C935">
        <v>80</v>
      </c>
      <c r="D935">
        <v>78.820404053000004</v>
      </c>
      <c r="E935">
        <v>50</v>
      </c>
      <c r="F935">
        <v>46.491565704000003</v>
      </c>
      <c r="G935">
        <v>1268.927124</v>
      </c>
      <c r="H935">
        <v>1141.0367432</v>
      </c>
      <c r="I935">
        <v>1650.0755615</v>
      </c>
      <c r="J935">
        <v>1445.7220459</v>
      </c>
      <c r="K935">
        <v>0</v>
      </c>
      <c r="L935">
        <v>2400</v>
      </c>
      <c r="M935">
        <v>2400</v>
      </c>
      <c r="N935">
        <v>0</v>
      </c>
    </row>
    <row r="936" spans="1:14" x14ac:dyDescent="0.25">
      <c r="A936">
        <v>550.40403800000001</v>
      </c>
      <c r="B936" s="1">
        <f>DATE(2011,11,2) + TIME(9,41,48)</f>
        <v>40849.404027777775</v>
      </c>
      <c r="C936">
        <v>80</v>
      </c>
      <c r="D936">
        <v>78.789672851999995</v>
      </c>
      <c r="E936">
        <v>50</v>
      </c>
      <c r="F936">
        <v>47.041843413999999</v>
      </c>
      <c r="G936">
        <v>1261.0130615</v>
      </c>
      <c r="H936">
        <v>1133.1116943</v>
      </c>
      <c r="I936">
        <v>1662.4293213000001</v>
      </c>
      <c r="J936">
        <v>1459.9227295000001</v>
      </c>
      <c r="K936">
        <v>0</v>
      </c>
      <c r="L936">
        <v>2400</v>
      </c>
      <c r="M936">
        <v>2400</v>
      </c>
      <c r="N936">
        <v>0</v>
      </c>
    </row>
    <row r="937" spans="1:14" x14ac:dyDescent="0.25">
      <c r="A937">
        <v>550.576277</v>
      </c>
      <c r="B937" s="1">
        <f>DATE(2011,11,2) + TIME(13,49,50)</f>
        <v>40849.576273148145</v>
      </c>
      <c r="C937">
        <v>80</v>
      </c>
      <c r="D937">
        <v>78.754989624000004</v>
      </c>
      <c r="E937">
        <v>50</v>
      </c>
      <c r="F937">
        <v>47.564575195000003</v>
      </c>
      <c r="G937">
        <v>1252.7615966999999</v>
      </c>
      <c r="H937">
        <v>1124.8475341999999</v>
      </c>
      <c r="I937">
        <v>1675.3685303</v>
      </c>
      <c r="J937">
        <v>1474.6137695</v>
      </c>
      <c r="K937">
        <v>0</v>
      </c>
      <c r="L937">
        <v>2400</v>
      </c>
      <c r="M937">
        <v>2400</v>
      </c>
      <c r="N937">
        <v>0</v>
      </c>
    </row>
    <row r="938" spans="1:14" x14ac:dyDescent="0.25">
      <c r="A938">
        <v>550.763597</v>
      </c>
      <c r="B938" s="1">
        <f>DATE(2011,11,2) + TIME(18,19,34)</f>
        <v>40849.76358796296</v>
      </c>
      <c r="C938">
        <v>80</v>
      </c>
      <c r="D938">
        <v>78.717430114999999</v>
      </c>
      <c r="E938">
        <v>50</v>
      </c>
      <c r="F938">
        <v>48.024459839000002</v>
      </c>
      <c r="G938">
        <v>1244.6320800999999</v>
      </c>
      <c r="H938">
        <v>1116.7039795000001</v>
      </c>
      <c r="I938">
        <v>1688.1339111</v>
      </c>
      <c r="J938">
        <v>1488.9219971</v>
      </c>
      <c r="K938">
        <v>0</v>
      </c>
      <c r="L938">
        <v>2400</v>
      </c>
      <c r="M938">
        <v>2400</v>
      </c>
      <c r="N938">
        <v>0</v>
      </c>
    </row>
    <row r="939" spans="1:14" x14ac:dyDescent="0.25">
      <c r="A939">
        <v>550.95358299999998</v>
      </c>
      <c r="B939" s="1">
        <f>DATE(2011,11,2) + TIME(22,53,9)</f>
        <v>40849.953576388885</v>
      </c>
      <c r="C939">
        <v>80</v>
      </c>
      <c r="D939">
        <v>78.678833007999998</v>
      </c>
      <c r="E939">
        <v>50</v>
      </c>
      <c r="F939">
        <v>48.400859832999998</v>
      </c>
      <c r="G939">
        <v>1237.0917969</v>
      </c>
      <c r="H939">
        <v>1109.1486815999999</v>
      </c>
      <c r="I939">
        <v>1699.9545897999999</v>
      </c>
      <c r="J939">
        <v>1502.0114745999999</v>
      </c>
      <c r="K939">
        <v>0</v>
      </c>
      <c r="L939">
        <v>2400</v>
      </c>
      <c r="M939">
        <v>2400</v>
      </c>
      <c r="N939">
        <v>0</v>
      </c>
    </row>
    <row r="940" spans="1:14" x14ac:dyDescent="0.25">
      <c r="A940">
        <v>551.14767900000004</v>
      </c>
      <c r="B940" s="1">
        <f>DATE(2011,11,3) + TIME(3,32,39)</f>
        <v>40850.147673611114</v>
      </c>
      <c r="C940">
        <v>80</v>
      </c>
      <c r="D940">
        <v>78.639114379999995</v>
      </c>
      <c r="E940">
        <v>50</v>
      </c>
      <c r="F940">
        <v>48.710075377999999</v>
      </c>
      <c r="G940">
        <v>1229.9990233999999</v>
      </c>
      <c r="H940">
        <v>1102.0397949000001</v>
      </c>
      <c r="I940">
        <v>1711.0690918</v>
      </c>
      <c r="J940">
        <v>1514.1774902</v>
      </c>
      <c r="K940">
        <v>0</v>
      </c>
      <c r="L940">
        <v>2400</v>
      </c>
      <c r="M940">
        <v>2400</v>
      </c>
      <c r="N940">
        <v>0</v>
      </c>
    </row>
    <row r="941" spans="1:14" x14ac:dyDescent="0.25">
      <c r="A941">
        <v>551.34766000000002</v>
      </c>
      <c r="B941" s="1">
        <f>DATE(2011,11,3) + TIME(8,20,37)</f>
        <v>40850.347650462965</v>
      </c>
      <c r="C941">
        <v>80</v>
      </c>
      <c r="D941">
        <v>78.598129271999994</v>
      </c>
      <c r="E941">
        <v>50</v>
      </c>
      <c r="F941">
        <v>48.964862822999997</v>
      </c>
      <c r="G941">
        <v>1223.2358397999999</v>
      </c>
      <c r="H941">
        <v>1095.2593993999999</v>
      </c>
      <c r="I941">
        <v>1721.6618652</v>
      </c>
      <c r="J941">
        <v>1525.6464844</v>
      </c>
      <c r="K941">
        <v>0</v>
      </c>
      <c r="L941">
        <v>2400</v>
      </c>
      <c r="M941">
        <v>2400</v>
      </c>
      <c r="N941">
        <v>0</v>
      </c>
    </row>
    <row r="942" spans="1:14" x14ac:dyDescent="0.25">
      <c r="A942">
        <v>551.55530699999997</v>
      </c>
      <c r="B942" s="1">
        <f>DATE(2011,11,3) + TIME(13,19,38)</f>
        <v>40850.555300925924</v>
      </c>
      <c r="C942">
        <v>80</v>
      </c>
      <c r="D942">
        <v>78.555686950999998</v>
      </c>
      <c r="E942">
        <v>50</v>
      </c>
      <c r="F942">
        <v>49.174907683999997</v>
      </c>
      <c r="G942">
        <v>1216.7124022999999</v>
      </c>
      <c r="H942">
        <v>1088.7177733999999</v>
      </c>
      <c r="I942">
        <v>1731.8658447</v>
      </c>
      <c r="J942">
        <v>1536.583374</v>
      </c>
      <c r="K942">
        <v>0</v>
      </c>
      <c r="L942">
        <v>2400</v>
      </c>
      <c r="M942">
        <v>2400</v>
      </c>
      <c r="N942">
        <v>0</v>
      </c>
    </row>
    <row r="943" spans="1:14" x14ac:dyDescent="0.25">
      <c r="A943">
        <v>551.77254600000003</v>
      </c>
      <c r="B943" s="1">
        <f>DATE(2011,11,3) + TIME(18,32,27)</f>
        <v>40850.772534722222</v>
      </c>
      <c r="C943">
        <v>80</v>
      </c>
      <c r="D943">
        <v>78.511573791999993</v>
      </c>
      <c r="E943">
        <v>50</v>
      </c>
      <c r="F943">
        <v>49.347782135000003</v>
      </c>
      <c r="G943">
        <v>1210.3558350000001</v>
      </c>
      <c r="H943">
        <v>1082.3421631000001</v>
      </c>
      <c r="I943">
        <v>1741.7850341999999</v>
      </c>
      <c r="J943">
        <v>1547.1164550999999</v>
      </c>
      <c r="K943">
        <v>0</v>
      </c>
      <c r="L943">
        <v>2400</v>
      </c>
      <c r="M943">
        <v>2400</v>
      </c>
      <c r="N943">
        <v>0</v>
      </c>
    </row>
    <row r="944" spans="1:14" x14ac:dyDescent="0.25">
      <c r="A944">
        <v>552.00154699999996</v>
      </c>
      <c r="B944" s="1">
        <f>DATE(2011,11,4) + TIME(0,2,13)</f>
        <v>40851.001539351855</v>
      </c>
      <c r="C944">
        <v>80</v>
      </c>
      <c r="D944">
        <v>78.465530396000005</v>
      </c>
      <c r="E944">
        <v>50</v>
      </c>
      <c r="F944">
        <v>49.489540099999999</v>
      </c>
      <c r="G944">
        <v>1204.1049805</v>
      </c>
      <c r="H944">
        <v>1076.0710449000001</v>
      </c>
      <c r="I944">
        <v>1751.5056152</v>
      </c>
      <c r="J944">
        <v>1557.3510742000001</v>
      </c>
      <c r="K944">
        <v>0</v>
      </c>
      <c r="L944">
        <v>2400</v>
      </c>
      <c r="M944">
        <v>2400</v>
      </c>
      <c r="N944">
        <v>0</v>
      </c>
    </row>
    <row r="945" spans="1:14" x14ac:dyDescent="0.25">
      <c r="A945">
        <v>552.24484700000005</v>
      </c>
      <c r="B945" s="1">
        <f>DATE(2011,11,4) + TIME(5,52,34)</f>
        <v>40851.244837962964</v>
      </c>
      <c r="C945">
        <v>80</v>
      </c>
      <c r="D945">
        <v>78.417213439999998</v>
      </c>
      <c r="E945">
        <v>50</v>
      </c>
      <c r="F945">
        <v>49.605094909999998</v>
      </c>
      <c r="G945">
        <v>1197.9046631000001</v>
      </c>
      <c r="H945">
        <v>1069.8494873</v>
      </c>
      <c r="I945">
        <v>1761.1021728999999</v>
      </c>
      <c r="J945">
        <v>1567.3776855000001</v>
      </c>
      <c r="K945">
        <v>0</v>
      </c>
      <c r="L945">
        <v>2400</v>
      </c>
      <c r="M945">
        <v>2400</v>
      </c>
      <c r="N945">
        <v>0</v>
      </c>
    </row>
    <row r="946" spans="1:14" x14ac:dyDescent="0.25">
      <c r="A946">
        <v>552.505492</v>
      </c>
      <c r="B946" s="1">
        <f>DATE(2011,11,4) + TIME(12,7,54)</f>
        <v>40851.505486111113</v>
      </c>
      <c r="C946">
        <v>80</v>
      </c>
      <c r="D946">
        <v>78.366241454999994</v>
      </c>
      <c r="E946">
        <v>50</v>
      </c>
      <c r="F946">
        <v>49.698513030999997</v>
      </c>
      <c r="G946">
        <v>1191.7034911999999</v>
      </c>
      <c r="H946">
        <v>1063.6259766000001</v>
      </c>
      <c r="I946">
        <v>1770.6431885</v>
      </c>
      <c r="J946">
        <v>1577.2773437999999</v>
      </c>
      <c r="K946">
        <v>0</v>
      </c>
      <c r="L946">
        <v>2400</v>
      </c>
      <c r="M946">
        <v>2400</v>
      </c>
      <c r="N946">
        <v>0</v>
      </c>
    </row>
    <row r="947" spans="1:14" x14ac:dyDescent="0.25">
      <c r="A947">
        <v>552.78694900000005</v>
      </c>
      <c r="B947" s="1">
        <f>DATE(2011,11,4) + TIME(18,53,12)</f>
        <v>40851.786944444444</v>
      </c>
      <c r="C947">
        <v>80</v>
      </c>
      <c r="D947">
        <v>78.312149047999995</v>
      </c>
      <c r="E947">
        <v>50</v>
      </c>
      <c r="F947">
        <v>49.773136139000002</v>
      </c>
      <c r="G947">
        <v>1185.4567870999999</v>
      </c>
      <c r="H947">
        <v>1057.3555908000001</v>
      </c>
      <c r="I947">
        <v>1780.1844481999999</v>
      </c>
      <c r="J947">
        <v>1587.1162108999999</v>
      </c>
      <c r="K947">
        <v>0</v>
      </c>
      <c r="L947">
        <v>2400</v>
      </c>
      <c r="M947">
        <v>2400</v>
      </c>
      <c r="N947">
        <v>0</v>
      </c>
    </row>
    <row r="948" spans="1:14" x14ac:dyDescent="0.25">
      <c r="A948">
        <v>553.09133499999996</v>
      </c>
      <c r="B948" s="1">
        <f>DATE(2011,11,5) + TIME(2,11,31)</f>
        <v>40852.091331018521</v>
      </c>
      <c r="C948">
        <v>80</v>
      </c>
      <c r="D948">
        <v>78.254661560000002</v>
      </c>
      <c r="E948">
        <v>50</v>
      </c>
      <c r="F948">
        <v>49.831535338999998</v>
      </c>
      <c r="G948">
        <v>1179.1606445</v>
      </c>
      <c r="H948">
        <v>1051.0344238</v>
      </c>
      <c r="I948">
        <v>1789.713501</v>
      </c>
      <c r="J948">
        <v>1596.8896483999999</v>
      </c>
      <c r="K948">
        <v>0</v>
      </c>
      <c r="L948">
        <v>2400</v>
      </c>
      <c r="M948">
        <v>2400</v>
      </c>
      <c r="N948">
        <v>0</v>
      </c>
    </row>
    <row r="949" spans="1:14" x14ac:dyDescent="0.25">
      <c r="A949">
        <v>553.42401700000005</v>
      </c>
      <c r="B949" s="1">
        <f>DATE(2011,11,5) + TIME(10,10,35)</f>
        <v>40852.424016203702</v>
      </c>
      <c r="C949">
        <v>80</v>
      </c>
      <c r="D949">
        <v>78.193084717000005</v>
      </c>
      <c r="E949">
        <v>50</v>
      </c>
      <c r="F949">
        <v>49.876491547000001</v>
      </c>
      <c r="G949">
        <v>1172.7589111</v>
      </c>
      <c r="H949">
        <v>1044.6062012</v>
      </c>
      <c r="I949">
        <v>1799.3039550999999</v>
      </c>
      <c r="J949">
        <v>1606.6799315999999</v>
      </c>
      <c r="K949">
        <v>0</v>
      </c>
      <c r="L949">
        <v>2400</v>
      </c>
      <c r="M949">
        <v>2400</v>
      </c>
      <c r="N949">
        <v>0</v>
      </c>
    </row>
    <row r="950" spans="1:14" x14ac:dyDescent="0.25">
      <c r="A950">
        <v>553.79167500000005</v>
      </c>
      <c r="B950" s="1">
        <f>DATE(2011,11,5) + TIME(19,0,0)</f>
        <v>40852.791666666664</v>
      </c>
      <c r="C950">
        <v>80</v>
      </c>
      <c r="D950">
        <v>78.126579285000005</v>
      </c>
      <c r="E950">
        <v>50</v>
      </c>
      <c r="F950">
        <v>49.910320282000001</v>
      </c>
      <c r="G950">
        <v>1166.1948242000001</v>
      </c>
      <c r="H950">
        <v>1038.0137939000001</v>
      </c>
      <c r="I950">
        <v>1809.0233154</v>
      </c>
      <c r="J950">
        <v>1616.5618896000001</v>
      </c>
      <c r="K950">
        <v>0</v>
      </c>
      <c r="L950">
        <v>2400</v>
      </c>
      <c r="M950">
        <v>2400</v>
      </c>
      <c r="N950">
        <v>0</v>
      </c>
    </row>
    <row r="951" spans="1:14" x14ac:dyDescent="0.25">
      <c r="A951">
        <v>554.17730400000005</v>
      </c>
      <c r="B951" s="1">
        <f>DATE(2011,11,6) + TIME(4,15,19)</f>
        <v>40853.177303240744</v>
      </c>
      <c r="C951">
        <v>80</v>
      </c>
      <c r="D951">
        <v>78.056991577000005</v>
      </c>
      <c r="E951">
        <v>50</v>
      </c>
      <c r="F951">
        <v>49.933948516999997</v>
      </c>
      <c r="G951">
        <v>1159.7976074000001</v>
      </c>
      <c r="H951">
        <v>1031.5874022999999</v>
      </c>
      <c r="I951">
        <v>1818.3293457</v>
      </c>
      <c r="J951">
        <v>1625.9952393000001</v>
      </c>
      <c r="K951">
        <v>0</v>
      </c>
      <c r="L951">
        <v>2400</v>
      </c>
      <c r="M951">
        <v>2400</v>
      </c>
      <c r="N951">
        <v>0</v>
      </c>
    </row>
    <row r="952" spans="1:14" x14ac:dyDescent="0.25">
      <c r="A952">
        <v>554.57246899999996</v>
      </c>
      <c r="B952" s="1">
        <f>DATE(2011,11,6) + TIME(13,44,21)</f>
        <v>40853.572465277779</v>
      </c>
      <c r="C952">
        <v>80</v>
      </c>
      <c r="D952">
        <v>77.985534668</v>
      </c>
      <c r="E952">
        <v>50</v>
      </c>
      <c r="F952">
        <v>49.949810028000002</v>
      </c>
      <c r="G952">
        <v>1153.692749</v>
      </c>
      <c r="H952">
        <v>1025.4528809000001</v>
      </c>
      <c r="I952">
        <v>1827.0562743999999</v>
      </c>
      <c r="J952">
        <v>1634.8203125</v>
      </c>
      <c r="K952">
        <v>0</v>
      </c>
      <c r="L952">
        <v>2400</v>
      </c>
      <c r="M952">
        <v>2400</v>
      </c>
      <c r="N952">
        <v>0</v>
      </c>
    </row>
    <row r="953" spans="1:14" x14ac:dyDescent="0.25">
      <c r="A953">
        <v>554.97438999999997</v>
      </c>
      <c r="B953" s="1">
        <f>DATE(2011,11,6) + TIME(23,23,7)</f>
        <v>40853.974386574075</v>
      </c>
      <c r="C953">
        <v>80</v>
      </c>
      <c r="D953">
        <v>77.912849425999994</v>
      </c>
      <c r="E953">
        <v>50</v>
      </c>
      <c r="F953">
        <v>49.960193633999999</v>
      </c>
      <c r="G953">
        <v>1147.8959961</v>
      </c>
      <c r="H953">
        <v>1019.6262207</v>
      </c>
      <c r="I953">
        <v>1835.2091064000001</v>
      </c>
      <c r="J953">
        <v>1643.0489502</v>
      </c>
      <c r="K953">
        <v>0</v>
      </c>
      <c r="L953">
        <v>2400</v>
      </c>
      <c r="M953">
        <v>2400</v>
      </c>
      <c r="N953">
        <v>0</v>
      </c>
    </row>
    <row r="954" spans="1:14" x14ac:dyDescent="0.25">
      <c r="A954">
        <v>555.38713900000005</v>
      </c>
      <c r="B954" s="1">
        <f>DATE(2011,11,7) + TIME(9,17,28)</f>
        <v>40854.387129629627</v>
      </c>
      <c r="C954">
        <v>80</v>
      </c>
      <c r="D954">
        <v>77.838775635000005</v>
      </c>
      <c r="E954">
        <v>50</v>
      </c>
      <c r="F954">
        <v>49.966869354000004</v>
      </c>
      <c r="G954">
        <v>1142.3303223</v>
      </c>
      <c r="H954">
        <v>1014.0302734000001</v>
      </c>
      <c r="I954">
        <v>1842.9227295000001</v>
      </c>
      <c r="J954">
        <v>1650.8220214999999</v>
      </c>
      <c r="K954">
        <v>0</v>
      </c>
      <c r="L954">
        <v>2400</v>
      </c>
      <c r="M954">
        <v>2400</v>
      </c>
      <c r="N954">
        <v>0</v>
      </c>
    </row>
    <row r="955" spans="1:14" x14ac:dyDescent="0.25">
      <c r="A955">
        <v>555.81470100000001</v>
      </c>
      <c r="B955" s="1">
        <f>DATE(2011,11,7) + TIME(19,33,10)</f>
        <v>40854.814699074072</v>
      </c>
      <c r="C955">
        <v>80</v>
      </c>
      <c r="D955">
        <v>77.762977599999999</v>
      </c>
      <c r="E955">
        <v>50</v>
      </c>
      <c r="F955">
        <v>49.971004485999998</v>
      </c>
      <c r="G955">
        <v>1136.9351807</v>
      </c>
      <c r="H955">
        <v>1008.6044922</v>
      </c>
      <c r="I955">
        <v>1850.2911377</v>
      </c>
      <c r="J955">
        <v>1658.2382812000001</v>
      </c>
      <c r="K955">
        <v>0</v>
      </c>
      <c r="L955">
        <v>2400</v>
      </c>
      <c r="M955">
        <v>2400</v>
      </c>
      <c r="N955">
        <v>0</v>
      </c>
    </row>
    <row r="956" spans="1:14" x14ac:dyDescent="0.25">
      <c r="A956">
        <v>556.26127699999995</v>
      </c>
      <c r="B956" s="1">
        <f>DATE(2011,11,8) + TIME(6,16,14)</f>
        <v>40855.261273148149</v>
      </c>
      <c r="C956">
        <v>80</v>
      </c>
      <c r="D956">
        <v>77.685005188000005</v>
      </c>
      <c r="E956">
        <v>50</v>
      </c>
      <c r="F956">
        <v>49.973396301000001</v>
      </c>
      <c r="G956">
        <v>1131.6607666</v>
      </c>
      <c r="H956">
        <v>1003.298645</v>
      </c>
      <c r="I956">
        <v>1857.3875731999999</v>
      </c>
      <c r="J956">
        <v>1665.3739014</v>
      </c>
      <c r="K956">
        <v>0</v>
      </c>
      <c r="L956">
        <v>2400</v>
      </c>
      <c r="M956">
        <v>2400</v>
      </c>
      <c r="N956">
        <v>0</v>
      </c>
    </row>
    <row r="957" spans="1:14" x14ac:dyDescent="0.25">
      <c r="A957">
        <v>556.73157100000003</v>
      </c>
      <c r="B957" s="1">
        <f>DATE(2011,11,8) + TIME(17,33,27)</f>
        <v>40855.731562499997</v>
      </c>
      <c r="C957">
        <v>80</v>
      </c>
      <c r="D957">
        <v>77.604301453000005</v>
      </c>
      <c r="E957">
        <v>50</v>
      </c>
      <c r="F957">
        <v>49.974578856999997</v>
      </c>
      <c r="G957">
        <v>1126.4633789</v>
      </c>
      <c r="H957">
        <v>998.06909180000002</v>
      </c>
      <c r="I957">
        <v>1864.2727050999999</v>
      </c>
      <c r="J957">
        <v>1672.2919922000001</v>
      </c>
      <c r="K957">
        <v>0</v>
      </c>
      <c r="L957">
        <v>2400</v>
      </c>
      <c r="M957">
        <v>2400</v>
      </c>
      <c r="N957">
        <v>0</v>
      </c>
    </row>
    <row r="958" spans="1:14" x14ac:dyDescent="0.25">
      <c r="A958">
        <v>557.23110499999996</v>
      </c>
      <c r="B958" s="1">
        <f>DATE(2011,11,9) + TIME(5,32,47)</f>
        <v>40856.231099537035</v>
      </c>
      <c r="C958">
        <v>80</v>
      </c>
      <c r="D958">
        <v>77.520179748999993</v>
      </c>
      <c r="E958">
        <v>50</v>
      </c>
      <c r="F958">
        <v>49.974945067999997</v>
      </c>
      <c r="G958">
        <v>1121.3026123</v>
      </c>
      <c r="H958">
        <v>992.875</v>
      </c>
      <c r="I958">
        <v>1870.9998779</v>
      </c>
      <c r="J958">
        <v>1679.0474853999999</v>
      </c>
      <c r="K958">
        <v>0</v>
      </c>
      <c r="L958">
        <v>2400</v>
      </c>
      <c r="M958">
        <v>2400</v>
      </c>
      <c r="N958">
        <v>0</v>
      </c>
    </row>
    <row r="959" spans="1:14" x14ac:dyDescent="0.25">
      <c r="A959">
        <v>557.76648899999998</v>
      </c>
      <c r="B959" s="1">
        <f>DATE(2011,11,9) + TIME(18,23,44)</f>
        <v>40856.766481481478</v>
      </c>
      <c r="C959">
        <v>80</v>
      </c>
      <c r="D959">
        <v>77.431831360000004</v>
      </c>
      <c r="E959">
        <v>50</v>
      </c>
      <c r="F959">
        <v>49.974750518999997</v>
      </c>
      <c r="G959">
        <v>1116.1396483999999</v>
      </c>
      <c r="H959">
        <v>987.67742920000001</v>
      </c>
      <c r="I959">
        <v>1877.6170654</v>
      </c>
      <c r="J959">
        <v>1685.6895752</v>
      </c>
      <c r="K959">
        <v>0</v>
      </c>
      <c r="L959">
        <v>2400</v>
      </c>
      <c r="M959">
        <v>2400</v>
      </c>
      <c r="N959">
        <v>0</v>
      </c>
    </row>
    <row r="960" spans="1:14" x14ac:dyDescent="0.25">
      <c r="A960">
        <v>558.34629399999994</v>
      </c>
      <c r="B960" s="1">
        <f>DATE(2011,11,10) + TIME(8,18,39)</f>
        <v>40857.346284722225</v>
      </c>
      <c r="C960">
        <v>80</v>
      </c>
      <c r="D960">
        <v>77.338226317999997</v>
      </c>
      <c r="E960">
        <v>50</v>
      </c>
      <c r="F960">
        <v>49.974182128999999</v>
      </c>
      <c r="G960">
        <v>1110.9324951000001</v>
      </c>
      <c r="H960">
        <v>982.43377685999997</v>
      </c>
      <c r="I960">
        <v>1884.1737060999999</v>
      </c>
      <c r="J960">
        <v>1692.2685547000001</v>
      </c>
      <c r="K960">
        <v>0</v>
      </c>
      <c r="L960">
        <v>2400</v>
      </c>
      <c r="M960">
        <v>2400</v>
      </c>
      <c r="N960">
        <v>0</v>
      </c>
    </row>
    <row r="961" spans="1:14" x14ac:dyDescent="0.25">
      <c r="A961">
        <v>558.96947599999999</v>
      </c>
      <c r="B961" s="1">
        <f>DATE(2011,11,10) + TIME(23,16,2)</f>
        <v>40857.969467592593</v>
      </c>
      <c r="C961">
        <v>80</v>
      </c>
      <c r="D961">
        <v>77.239112853999998</v>
      </c>
      <c r="E961">
        <v>50</v>
      </c>
      <c r="F961">
        <v>49.973373412999997</v>
      </c>
      <c r="G961">
        <v>1105.7277832</v>
      </c>
      <c r="H961">
        <v>977.19091796999999</v>
      </c>
      <c r="I961">
        <v>1890.5935059000001</v>
      </c>
      <c r="J961">
        <v>1698.7088623</v>
      </c>
      <c r="K961">
        <v>0</v>
      </c>
      <c r="L961">
        <v>2400</v>
      </c>
      <c r="M961">
        <v>2400</v>
      </c>
      <c r="N961">
        <v>0</v>
      </c>
    </row>
    <row r="962" spans="1:14" x14ac:dyDescent="0.25">
      <c r="A962">
        <v>559.61066300000005</v>
      </c>
      <c r="B962" s="1">
        <f>DATE(2011,11,11) + TIME(14,39,21)</f>
        <v>40858.610659722224</v>
      </c>
      <c r="C962">
        <v>80</v>
      </c>
      <c r="D962">
        <v>77.136482239000003</v>
      </c>
      <c r="E962">
        <v>50</v>
      </c>
      <c r="F962">
        <v>49.972454071000001</v>
      </c>
      <c r="G962">
        <v>1100.7387695</v>
      </c>
      <c r="H962">
        <v>972.16271973000005</v>
      </c>
      <c r="I962">
        <v>1896.5925293</v>
      </c>
      <c r="J962">
        <v>1704.7266846</v>
      </c>
      <c r="K962">
        <v>0</v>
      </c>
      <c r="L962">
        <v>2400</v>
      </c>
      <c r="M962">
        <v>2400</v>
      </c>
      <c r="N962">
        <v>0</v>
      </c>
    </row>
    <row r="963" spans="1:14" x14ac:dyDescent="0.25">
      <c r="A963">
        <v>560.27186800000004</v>
      </c>
      <c r="B963" s="1">
        <f>DATE(2011,11,12) + TIME(6,31,29)</f>
        <v>40859.271863425929</v>
      </c>
      <c r="C963">
        <v>80</v>
      </c>
      <c r="D963">
        <v>77.030975342000005</v>
      </c>
      <c r="E963">
        <v>50</v>
      </c>
      <c r="F963">
        <v>49.971515656000001</v>
      </c>
      <c r="G963">
        <v>1095.9426269999999</v>
      </c>
      <c r="H963">
        <v>967.32641602000001</v>
      </c>
      <c r="I963">
        <v>1902.2347411999999</v>
      </c>
      <c r="J963">
        <v>1710.385376</v>
      </c>
      <c r="K963">
        <v>0</v>
      </c>
      <c r="L963">
        <v>2400</v>
      </c>
      <c r="M963">
        <v>2400</v>
      </c>
      <c r="N963">
        <v>0</v>
      </c>
    </row>
    <row r="964" spans="1:14" x14ac:dyDescent="0.25">
      <c r="A964">
        <v>560.94501600000001</v>
      </c>
      <c r="B964" s="1">
        <f>DATE(2011,11,12) + TIME(22,40,49)</f>
        <v>40859.945011574076</v>
      </c>
      <c r="C964">
        <v>80</v>
      </c>
      <c r="D964">
        <v>76.923660278</v>
      </c>
      <c r="E964">
        <v>50</v>
      </c>
      <c r="F964">
        <v>49.970611572000003</v>
      </c>
      <c r="G964">
        <v>1091.3820800999999</v>
      </c>
      <c r="H964">
        <v>962.72509765999996</v>
      </c>
      <c r="I964">
        <v>1907.4786377</v>
      </c>
      <c r="J964">
        <v>1715.644043</v>
      </c>
      <c r="K964">
        <v>0</v>
      </c>
      <c r="L964">
        <v>2400</v>
      </c>
      <c r="M964">
        <v>2400</v>
      </c>
      <c r="N964">
        <v>0</v>
      </c>
    </row>
    <row r="965" spans="1:14" x14ac:dyDescent="0.25">
      <c r="A965">
        <v>561.636574</v>
      </c>
      <c r="B965" s="1">
        <f>DATE(2011,11,13) + TIME(15,16,40)</f>
        <v>40860.636574074073</v>
      </c>
      <c r="C965">
        <v>80</v>
      </c>
      <c r="D965">
        <v>76.814537048000005</v>
      </c>
      <c r="E965">
        <v>50</v>
      </c>
      <c r="F965">
        <v>49.969757080000001</v>
      </c>
      <c r="G965">
        <v>1087.0026855000001</v>
      </c>
      <c r="H965">
        <v>958.30432128999996</v>
      </c>
      <c r="I965">
        <v>1912.4113769999999</v>
      </c>
      <c r="J965">
        <v>1720.5897216999999</v>
      </c>
      <c r="K965">
        <v>0</v>
      </c>
      <c r="L965">
        <v>2400</v>
      </c>
      <c r="M965">
        <v>2400</v>
      </c>
      <c r="N965">
        <v>0</v>
      </c>
    </row>
    <row r="966" spans="1:14" x14ac:dyDescent="0.25">
      <c r="A966">
        <v>562.351809</v>
      </c>
      <c r="B966" s="1">
        <f>DATE(2011,11,14) + TIME(8,26,36)</f>
        <v>40861.351805555554</v>
      </c>
      <c r="C966">
        <v>80</v>
      </c>
      <c r="D966">
        <v>76.703239440999994</v>
      </c>
      <c r="E966">
        <v>50</v>
      </c>
      <c r="F966">
        <v>49.968955993999998</v>
      </c>
      <c r="G966">
        <v>1082.7670897999999</v>
      </c>
      <c r="H966">
        <v>954.02648925999995</v>
      </c>
      <c r="I966">
        <v>1917.0841064000001</v>
      </c>
      <c r="J966">
        <v>1725.2741699000001</v>
      </c>
      <c r="K966">
        <v>0</v>
      </c>
      <c r="L966">
        <v>2400</v>
      </c>
      <c r="M966">
        <v>2400</v>
      </c>
      <c r="N966">
        <v>0</v>
      </c>
    </row>
    <row r="967" spans="1:14" x14ac:dyDescent="0.25">
      <c r="A967">
        <v>563.09336900000005</v>
      </c>
      <c r="B967" s="1">
        <f>DATE(2011,11,15) + TIME(2,14,27)</f>
        <v>40862.093368055554</v>
      </c>
      <c r="C967">
        <v>80</v>
      </c>
      <c r="D967">
        <v>76.589462280000006</v>
      </c>
      <c r="E967">
        <v>50</v>
      </c>
      <c r="F967">
        <v>49.968208312999998</v>
      </c>
      <c r="G967">
        <v>1078.6589355000001</v>
      </c>
      <c r="H967">
        <v>949.87512206999997</v>
      </c>
      <c r="I967">
        <v>1921.5186768000001</v>
      </c>
      <c r="J967">
        <v>1729.7192382999999</v>
      </c>
      <c r="K967">
        <v>0</v>
      </c>
      <c r="L967">
        <v>2400</v>
      </c>
      <c r="M967">
        <v>2400</v>
      </c>
      <c r="N967">
        <v>0</v>
      </c>
    </row>
    <row r="968" spans="1:14" x14ac:dyDescent="0.25">
      <c r="A968">
        <v>563.86994800000002</v>
      </c>
      <c r="B968" s="1">
        <f>DATE(2011,11,15) + TIME(20,52,43)</f>
        <v>40862.869942129626</v>
      </c>
      <c r="C968">
        <v>80</v>
      </c>
      <c r="D968">
        <v>76.472419739000003</v>
      </c>
      <c r="E968">
        <v>50</v>
      </c>
      <c r="F968">
        <v>49.967514037999997</v>
      </c>
      <c r="G968">
        <v>1074.6362305</v>
      </c>
      <c r="H968">
        <v>945.80798340000001</v>
      </c>
      <c r="I968">
        <v>1925.7670897999999</v>
      </c>
      <c r="J968">
        <v>1733.9771728999999</v>
      </c>
      <c r="K968">
        <v>0</v>
      </c>
      <c r="L968">
        <v>2400</v>
      </c>
      <c r="M968">
        <v>2400</v>
      </c>
      <c r="N968">
        <v>0</v>
      </c>
    </row>
    <row r="969" spans="1:14" x14ac:dyDescent="0.25">
      <c r="A969">
        <v>564.69138099999998</v>
      </c>
      <c r="B969" s="1">
        <f>DATE(2011,11,16) + TIME(16,35,35)</f>
        <v>40863.691377314812</v>
      </c>
      <c r="C969">
        <v>80</v>
      </c>
      <c r="D969">
        <v>76.351066588999998</v>
      </c>
      <c r="E969">
        <v>50</v>
      </c>
      <c r="F969">
        <v>49.966861725000001</v>
      </c>
      <c r="G969">
        <v>1070.6619873</v>
      </c>
      <c r="H969">
        <v>941.78771973000005</v>
      </c>
      <c r="I969">
        <v>1929.8695068</v>
      </c>
      <c r="J969">
        <v>1738.0883789</v>
      </c>
      <c r="K969">
        <v>0</v>
      </c>
      <c r="L969">
        <v>2400</v>
      </c>
      <c r="M969">
        <v>2400</v>
      </c>
      <c r="N969">
        <v>0</v>
      </c>
    </row>
    <row r="970" spans="1:14" x14ac:dyDescent="0.25">
      <c r="A970">
        <v>565.56986600000005</v>
      </c>
      <c r="B970" s="1">
        <f>DATE(2011,11,17) + TIME(13,40,36)</f>
        <v>40864.569861111115</v>
      </c>
      <c r="C970">
        <v>80</v>
      </c>
      <c r="D970">
        <v>76.224090575999995</v>
      </c>
      <c r="E970">
        <v>50</v>
      </c>
      <c r="F970">
        <v>49.966247559000003</v>
      </c>
      <c r="G970">
        <v>1066.6998291</v>
      </c>
      <c r="H970">
        <v>937.77703856999995</v>
      </c>
      <c r="I970">
        <v>1933.8618164</v>
      </c>
      <c r="J970">
        <v>1742.0887451000001</v>
      </c>
      <c r="K970">
        <v>0</v>
      </c>
      <c r="L970">
        <v>2400</v>
      </c>
      <c r="M970">
        <v>2400</v>
      </c>
      <c r="N970">
        <v>0</v>
      </c>
    </row>
    <row r="971" spans="1:14" x14ac:dyDescent="0.25">
      <c r="A971">
        <v>566.03138300000001</v>
      </c>
      <c r="B971" s="1">
        <f>DATE(2011,11,18) + TIME(0,45,11)</f>
        <v>40865.031377314815</v>
      </c>
      <c r="C971">
        <v>80</v>
      </c>
      <c r="D971">
        <v>76.132858275999993</v>
      </c>
      <c r="E971">
        <v>50</v>
      </c>
      <c r="F971">
        <v>49.965751648000001</v>
      </c>
      <c r="G971">
        <v>1064.6452637</v>
      </c>
      <c r="H971">
        <v>935.69055175999995</v>
      </c>
      <c r="I971">
        <v>1935.6558838000001</v>
      </c>
      <c r="J971">
        <v>1743.8903809000001</v>
      </c>
      <c r="K971">
        <v>0</v>
      </c>
      <c r="L971">
        <v>2400</v>
      </c>
      <c r="M971">
        <v>2400</v>
      </c>
      <c r="N971">
        <v>0</v>
      </c>
    </row>
    <row r="972" spans="1:14" x14ac:dyDescent="0.25">
      <c r="A972">
        <v>566.49290099999996</v>
      </c>
      <c r="B972" s="1">
        <f>DATE(2011,11,18) + TIME(11,49,46)</f>
        <v>40865.492893518516</v>
      </c>
      <c r="C972">
        <v>80</v>
      </c>
      <c r="D972">
        <v>76.050064086999996</v>
      </c>
      <c r="E972">
        <v>50</v>
      </c>
      <c r="F972">
        <v>49.965431213000002</v>
      </c>
      <c r="G972">
        <v>1062.6872559000001</v>
      </c>
      <c r="H972">
        <v>933.69921875</v>
      </c>
      <c r="I972">
        <v>1937.4493408000001</v>
      </c>
      <c r="J972">
        <v>1745.6875</v>
      </c>
      <c r="K972">
        <v>0</v>
      </c>
      <c r="L972">
        <v>2400</v>
      </c>
      <c r="M972">
        <v>2400</v>
      </c>
      <c r="N972">
        <v>0</v>
      </c>
    </row>
    <row r="973" spans="1:14" x14ac:dyDescent="0.25">
      <c r="A973">
        <v>567.41593499999999</v>
      </c>
      <c r="B973" s="1">
        <f>DATE(2011,11,19) + TIME(9,58,56)</f>
        <v>40866.415925925925</v>
      </c>
      <c r="C973">
        <v>80</v>
      </c>
      <c r="D973">
        <v>75.937660217000001</v>
      </c>
      <c r="E973">
        <v>50</v>
      </c>
      <c r="F973">
        <v>49.965164184999999</v>
      </c>
      <c r="G973">
        <v>1059.1018065999999</v>
      </c>
      <c r="H973">
        <v>930.06689453000001</v>
      </c>
      <c r="I973">
        <v>1941.0616454999999</v>
      </c>
      <c r="J973">
        <v>1749.3029785000001</v>
      </c>
      <c r="K973">
        <v>0</v>
      </c>
      <c r="L973">
        <v>2400</v>
      </c>
      <c r="M973">
        <v>2400</v>
      </c>
      <c r="N973">
        <v>0</v>
      </c>
    </row>
    <row r="974" spans="1:14" x14ac:dyDescent="0.25">
      <c r="A974">
        <v>568.33971299999996</v>
      </c>
      <c r="B974" s="1">
        <f>DATE(2011,11,20) + TIME(8,9,11)</f>
        <v>40867.33971064815</v>
      </c>
      <c r="C974">
        <v>80</v>
      </c>
      <c r="D974">
        <v>75.812782287999994</v>
      </c>
      <c r="E974">
        <v>50</v>
      </c>
      <c r="F974">
        <v>49.964733123999999</v>
      </c>
      <c r="G974">
        <v>1055.7077637</v>
      </c>
      <c r="H974">
        <v>926.62530518000005</v>
      </c>
      <c r="I974">
        <v>1944.2243652</v>
      </c>
      <c r="J974">
        <v>1752.4716797000001</v>
      </c>
      <c r="K974">
        <v>0</v>
      </c>
      <c r="L974">
        <v>2400</v>
      </c>
      <c r="M974">
        <v>2400</v>
      </c>
      <c r="N974">
        <v>0</v>
      </c>
    </row>
    <row r="975" spans="1:14" x14ac:dyDescent="0.25">
      <c r="A975">
        <v>569.28257599999995</v>
      </c>
      <c r="B975" s="1">
        <f>DATE(2011,11,21) + TIME(6,46,54)</f>
        <v>40868.282569444447</v>
      </c>
      <c r="C975">
        <v>80</v>
      </c>
      <c r="D975">
        <v>75.681831360000004</v>
      </c>
      <c r="E975">
        <v>50</v>
      </c>
      <c r="F975">
        <v>49.964313507</v>
      </c>
      <c r="G975">
        <v>1052.4552002</v>
      </c>
      <c r="H975">
        <v>923.32177734000004</v>
      </c>
      <c r="I975">
        <v>1947.128418</v>
      </c>
      <c r="J975">
        <v>1755.3808594</v>
      </c>
      <c r="K975">
        <v>0</v>
      </c>
      <c r="L975">
        <v>2400</v>
      </c>
      <c r="M975">
        <v>2400</v>
      </c>
      <c r="N975">
        <v>0</v>
      </c>
    </row>
    <row r="976" spans="1:14" x14ac:dyDescent="0.25">
      <c r="A976">
        <v>570.25546599999996</v>
      </c>
      <c r="B976" s="1">
        <f>DATE(2011,11,22) + TIME(6,7,52)</f>
        <v>40869.255462962959</v>
      </c>
      <c r="C976">
        <v>80</v>
      </c>
      <c r="D976">
        <v>75.546691894999995</v>
      </c>
      <c r="E976">
        <v>50</v>
      </c>
      <c r="F976">
        <v>49.963935851999999</v>
      </c>
      <c r="G976">
        <v>1049.3066406</v>
      </c>
      <c r="H976">
        <v>920.11950683999999</v>
      </c>
      <c r="I976">
        <v>1949.8449707</v>
      </c>
      <c r="J976">
        <v>1758.1020507999999</v>
      </c>
      <c r="K976">
        <v>0</v>
      </c>
      <c r="L976">
        <v>2400</v>
      </c>
      <c r="M976">
        <v>2400</v>
      </c>
      <c r="N976">
        <v>0</v>
      </c>
    </row>
    <row r="977" spans="1:14" x14ac:dyDescent="0.25">
      <c r="A977">
        <v>571.270128</v>
      </c>
      <c r="B977" s="1">
        <f>DATE(2011,11,23) + TIME(6,28,59)</f>
        <v>40870.270127314812</v>
      </c>
      <c r="C977">
        <v>80</v>
      </c>
      <c r="D977">
        <v>75.407440186000002</v>
      </c>
      <c r="E977">
        <v>50</v>
      </c>
      <c r="F977">
        <v>49.963596344000003</v>
      </c>
      <c r="G977">
        <v>1046.2287598</v>
      </c>
      <c r="H977">
        <v>916.98547363</v>
      </c>
      <c r="I977">
        <v>1952.4136963000001</v>
      </c>
      <c r="J977">
        <v>1760.6749268000001</v>
      </c>
      <c r="K977">
        <v>0</v>
      </c>
      <c r="L977">
        <v>2400</v>
      </c>
      <c r="M977">
        <v>2400</v>
      </c>
      <c r="N977">
        <v>0</v>
      </c>
    </row>
    <row r="978" spans="1:14" x14ac:dyDescent="0.25">
      <c r="A978">
        <v>572.33991700000001</v>
      </c>
      <c r="B978" s="1">
        <f>DATE(2011,11,24) + TIME(8,9,28)</f>
        <v>40871.339907407404</v>
      </c>
      <c r="C978">
        <v>80</v>
      </c>
      <c r="D978">
        <v>75.263244628999999</v>
      </c>
      <c r="E978">
        <v>50</v>
      </c>
      <c r="F978">
        <v>49.963291167999998</v>
      </c>
      <c r="G978">
        <v>1043.1918945</v>
      </c>
      <c r="H978">
        <v>913.88940430000002</v>
      </c>
      <c r="I978">
        <v>1954.8614502</v>
      </c>
      <c r="J978">
        <v>1763.1264647999999</v>
      </c>
      <c r="K978">
        <v>0</v>
      </c>
      <c r="L978">
        <v>2400</v>
      </c>
      <c r="M978">
        <v>2400</v>
      </c>
      <c r="N978">
        <v>0</v>
      </c>
    </row>
    <row r="979" spans="1:14" x14ac:dyDescent="0.25">
      <c r="A979">
        <v>573.475368</v>
      </c>
      <c r="B979" s="1">
        <f>DATE(2011,11,25) + TIME(11,24,31)</f>
        <v>40872.475358796299</v>
      </c>
      <c r="C979">
        <v>80</v>
      </c>
      <c r="D979">
        <v>75.112945557000003</v>
      </c>
      <c r="E979">
        <v>50</v>
      </c>
      <c r="F979">
        <v>49.963008881</v>
      </c>
      <c r="G979">
        <v>1040.1804199000001</v>
      </c>
      <c r="H979">
        <v>910.81506348000005</v>
      </c>
      <c r="I979">
        <v>1957.1964111</v>
      </c>
      <c r="J979">
        <v>1765.4648437999999</v>
      </c>
      <c r="K979">
        <v>0</v>
      </c>
      <c r="L979">
        <v>2400</v>
      </c>
      <c r="M979">
        <v>2400</v>
      </c>
      <c r="N979">
        <v>0</v>
      </c>
    </row>
    <row r="980" spans="1:14" x14ac:dyDescent="0.25">
      <c r="A980">
        <v>574.07112600000005</v>
      </c>
      <c r="B980" s="1">
        <f>DATE(2011,11,26) + TIME(1,42,25)</f>
        <v>40873.071122685185</v>
      </c>
      <c r="C980">
        <v>80</v>
      </c>
      <c r="D980">
        <v>75.000648498999993</v>
      </c>
      <c r="E980">
        <v>50</v>
      </c>
      <c r="F980">
        <v>49.962722778</v>
      </c>
      <c r="G980">
        <v>1038.5842285000001</v>
      </c>
      <c r="H980">
        <v>909.17364501999998</v>
      </c>
      <c r="I980">
        <v>1958.1848144999999</v>
      </c>
      <c r="J980">
        <v>1766.456543</v>
      </c>
      <c r="K980">
        <v>0</v>
      </c>
      <c r="L980">
        <v>2400</v>
      </c>
      <c r="M980">
        <v>2400</v>
      </c>
      <c r="N980">
        <v>0</v>
      </c>
    </row>
    <row r="981" spans="1:14" x14ac:dyDescent="0.25">
      <c r="A981">
        <v>574.66688399999998</v>
      </c>
      <c r="B981" s="1">
        <f>DATE(2011,11,26) + TIME(16,0,18)</f>
        <v>40873.666875000003</v>
      </c>
      <c r="C981">
        <v>80</v>
      </c>
      <c r="D981">
        <v>74.901702881000006</v>
      </c>
      <c r="E981">
        <v>50</v>
      </c>
      <c r="F981">
        <v>49.962574005</v>
      </c>
      <c r="G981">
        <v>1037.0773925999999</v>
      </c>
      <c r="H981">
        <v>907.62200928000004</v>
      </c>
      <c r="I981">
        <v>1959.1842041</v>
      </c>
      <c r="J981">
        <v>1767.4573975000001</v>
      </c>
      <c r="K981">
        <v>0</v>
      </c>
      <c r="L981">
        <v>2400</v>
      </c>
      <c r="M981">
        <v>2400</v>
      </c>
      <c r="N981">
        <v>0</v>
      </c>
    </row>
    <row r="982" spans="1:14" x14ac:dyDescent="0.25">
      <c r="A982">
        <v>575.85839999999996</v>
      </c>
      <c r="B982" s="1">
        <f>DATE(2011,11,27) + TIME(20,36,5)</f>
        <v>40874.858391203707</v>
      </c>
      <c r="C982">
        <v>80</v>
      </c>
      <c r="D982">
        <v>74.774520874000004</v>
      </c>
      <c r="E982">
        <v>50</v>
      </c>
      <c r="F982">
        <v>49.962539673000002</v>
      </c>
      <c r="G982">
        <v>1034.3719481999999</v>
      </c>
      <c r="H982">
        <v>904.85723876999998</v>
      </c>
      <c r="I982">
        <v>1961.2757568</v>
      </c>
      <c r="J982">
        <v>1769.5505370999999</v>
      </c>
      <c r="K982">
        <v>0</v>
      </c>
      <c r="L982">
        <v>2400</v>
      </c>
      <c r="M982">
        <v>2400</v>
      </c>
      <c r="N982">
        <v>0</v>
      </c>
    </row>
    <row r="983" spans="1:14" x14ac:dyDescent="0.25">
      <c r="A983">
        <v>577.05293400000005</v>
      </c>
      <c r="B983" s="1">
        <f>DATE(2011,11,29) + TIME(1,16,13)</f>
        <v>40876.052928240744</v>
      </c>
      <c r="C983">
        <v>80</v>
      </c>
      <c r="D983">
        <v>74.627296447999996</v>
      </c>
      <c r="E983">
        <v>50</v>
      </c>
      <c r="F983">
        <v>49.962352752999998</v>
      </c>
      <c r="G983">
        <v>1031.7791748</v>
      </c>
      <c r="H983">
        <v>902.19921875</v>
      </c>
      <c r="I983">
        <v>1963.0456543</v>
      </c>
      <c r="J983">
        <v>1771.3229980000001</v>
      </c>
      <c r="K983">
        <v>0</v>
      </c>
      <c r="L983">
        <v>2400</v>
      </c>
      <c r="M983">
        <v>2400</v>
      </c>
      <c r="N983">
        <v>0</v>
      </c>
    </row>
    <row r="984" spans="1:14" x14ac:dyDescent="0.25">
      <c r="A984">
        <v>578.27612599999998</v>
      </c>
      <c r="B984" s="1">
        <f>DATE(2011,11,30) + TIME(6,37,37)</f>
        <v>40877.276122685187</v>
      </c>
      <c r="C984">
        <v>80</v>
      </c>
      <c r="D984">
        <v>74.471580505000006</v>
      </c>
      <c r="E984">
        <v>50</v>
      </c>
      <c r="F984">
        <v>49.962165833</v>
      </c>
      <c r="G984">
        <v>1029.2799072</v>
      </c>
      <c r="H984">
        <v>899.62792968999997</v>
      </c>
      <c r="I984">
        <v>1964.6281738</v>
      </c>
      <c r="J984">
        <v>1772.9075928</v>
      </c>
      <c r="K984">
        <v>0</v>
      </c>
      <c r="L984">
        <v>2400</v>
      </c>
      <c r="M984">
        <v>2400</v>
      </c>
      <c r="N984">
        <v>0</v>
      </c>
    </row>
    <row r="985" spans="1:14" x14ac:dyDescent="0.25">
      <c r="A985">
        <v>579</v>
      </c>
      <c r="B985" s="1">
        <f>DATE(2011,12,1) + TIME(0,0,0)</f>
        <v>40878</v>
      </c>
      <c r="C985">
        <v>80</v>
      </c>
      <c r="D985">
        <v>74.346282959000007</v>
      </c>
      <c r="E985">
        <v>50</v>
      </c>
      <c r="F985">
        <v>49.961959839000002</v>
      </c>
      <c r="G985">
        <v>1027.7791748</v>
      </c>
      <c r="H985">
        <v>898.06884765999996</v>
      </c>
      <c r="I985">
        <v>1965.3673096</v>
      </c>
      <c r="J985">
        <v>1773.6484375</v>
      </c>
      <c r="K985">
        <v>0</v>
      </c>
      <c r="L985">
        <v>2400</v>
      </c>
      <c r="M985">
        <v>2400</v>
      </c>
      <c r="N985">
        <v>0</v>
      </c>
    </row>
    <row r="986" spans="1:14" x14ac:dyDescent="0.25">
      <c r="A986">
        <v>580.25671399999999</v>
      </c>
      <c r="B986" s="1">
        <f>DATE(2011,12,2) + TIME(6,9,40)</f>
        <v>40879.256712962961</v>
      </c>
      <c r="C986">
        <v>80</v>
      </c>
      <c r="D986">
        <v>74.204269409000005</v>
      </c>
      <c r="E986">
        <v>50</v>
      </c>
      <c r="F986">
        <v>49.961925506999997</v>
      </c>
      <c r="G986">
        <v>1025.4934082</v>
      </c>
      <c r="H986">
        <v>895.71020508000004</v>
      </c>
      <c r="I986">
        <v>1966.7709961</v>
      </c>
      <c r="J986">
        <v>1775.0533447</v>
      </c>
      <c r="K986">
        <v>0</v>
      </c>
      <c r="L986">
        <v>2400</v>
      </c>
      <c r="M986">
        <v>2400</v>
      </c>
      <c r="N986">
        <v>0</v>
      </c>
    </row>
    <row r="987" spans="1:14" x14ac:dyDescent="0.25">
      <c r="A987">
        <v>581.59323199999994</v>
      </c>
      <c r="B987" s="1">
        <f>DATE(2011,12,3) + TIME(14,14,15)</f>
        <v>40880.593229166669</v>
      </c>
      <c r="C987">
        <v>80</v>
      </c>
      <c r="D987">
        <v>74.045669556000007</v>
      </c>
      <c r="E987">
        <v>50</v>
      </c>
      <c r="F987">
        <v>49.961822509999998</v>
      </c>
      <c r="G987">
        <v>1023.1794434</v>
      </c>
      <c r="H987">
        <v>893.31628418000003</v>
      </c>
      <c r="I987">
        <v>1968.0478516000001</v>
      </c>
      <c r="J987">
        <v>1776.3319091999999</v>
      </c>
      <c r="K987">
        <v>0</v>
      </c>
      <c r="L987">
        <v>2400</v>
      </c>
      <c r="M987">
        <v>2400</v>
      </c>
      <c r="N987">
        <v>0</v>
      </c>
    </row>
    <row r="988" spans="1:14" x14ac:dyDescent="0.25">
      <c r="A988">
        <v>582.99961499999995</v>
      </c>
      <c r="B988" s="1">
        <f>DATE(2011,12,4) + TIME(23,59,26)</f>
        <v>40881.999606481484</v>
      </c>
      <c r="C988">
        <v>80</v>
      </c>
      <c r="D988">
        <v>73.875648498999993</v>
      </c>
      <c r="E988">
        <v>50</v>
      </c>
      <c r="F988">
        <v>49.961711884000003</v>
      </c>
      <c r="G988">
        <v>1020.8876953</v>
      </c>
      <c r="H988">
        <v>890.93518066000001</v>
      </c>
      <c r="I988">
        <v>1969.1933594</v>
      </c>
      <c r="J988">
        <v>1777.4787598</v>
      </c>
      <c r="K988">
        <v>0</v>
      </c>
      <c r="L988">
        <v>2400</v>
      </c>
      <c r="M988">
        <v>2400</v>
      </c>
      <c r="N988">
        <v>0</v>
      </c>
    </row>
    <row r="989" spans="1:14" x14ac:dyDescent="0.25">
      <c r="A989">
        <v>584.43865300000004</v>
      </c>
      <c r="B989" s="1">
        <f>DATE(2011,12,6) + TIME(10,31,39)</f>
        <v>40883.438645833332</v>
      </c>
      <c r="C989">
        <v>80</v>
      </c>
      <c r="D989">
        <v>73.698387146000002</v>
      </c>
      <c r="E989">
        <v>50</v>
      </c>
      <c r="F989">
        <v>49.961608886999997</v>
      </c>
      <c r="G989">
        <v>1018.673584</v>
      </c>
      <c r="H989">
        <v>888.62396239999998</v>
      </c>
      <c r="I989">
        <v>1970.1837158000001</v>
      </c>
      <c r="J989">
        <v>1778.4704589999999</v>
      </c>
      <c r="K989">
        <v>0</v>
      </c>
      <c r="L989">
        <v>2400</v>
      </c>
      <c r="M989">
        <v>2400</v>
      </c>
      <c r="N989">
        <v>0</v>
      </c>
    </row>
    <row r="990" spans="1:14" x14ac:dyDescent="0.25">
      <c r="A990">
        <v>585.87841000000003</v>
      </c>
      <c r="B990" s="1">
        <f>DATE(2011,12,7) + TIME(21,4,54)</f>
        <v>40884.87840277778</v>
      </c>
      <c r="C990">
        <v>80</v>
      </c>
      <c r="D990">
        <v>73.518280028999996</v>
      </c>
      <c r="E990">
        <v>50</v>
      </c>
      <c r="F990">
        <v>49.961524963000002</v>
      </c>
      <c r="G990">
        <v>1016.574585</v>
      </c>
      <c r="H990">
        <v>886.42175293000003</v>
      </c>
      <c r="I990">
        <v>1971.0150146000001</v>
      </c>
      <c r="J990">
        <v>1779.3028564000001</v>
      </c>
      <c r="K990">
        <v>0</v>
      </c>
      <c r="L990">
        <v>2400</v>
      </c>
      <c r="M990">
        <v>2400</v>
      </c>
      <c r="N990">
        <v>0</v>
      </c>
    </row>
    <row r="991" spans="1:14" x14ac:dyDescent="0.25">
      <c r="A991">
        <v>587.33593900000005</v>
      </c>
      <c r="B991" s="1">
        <f>DATE(2011,12,9) + TIME(8,3,45)</f>
        <v>40886.3359375</v>
      </c>
      <c r="C991">
        <v>80</v>
      </c>
      <c r="D991">
        <v>73.337333678999997</v>
      </c>
      <c r="E991">
        <v>50</v>
      </c>
      <c r="F991">
        <v>49.961463928000001</v>
      </c>
      <c r="G991">
        <v>1014.5647583</v>
      </c>
      <c r="H991">
        <v>884.30310058999999</v>
      </c>
      <c r="I991">
        <v>1971.7238769999999</v>
      </c>
      <c r="J991">
        <v>1780.0128173999999</v>
      </c>
      <c r="K991">
        <v>0</v>
      </c>
      <c r="L991">
        <v>2400</v>
      </c>
      <c r="M991">
        <v>2400</v>
      </c>
      <c r="N991">
        <v>0</v>
      </c>
    </row>
    <row r="992" spans="1:14" x14ac:dyDescent="0.25">
      <c r="A992">
        <v>588.82825400000002</v>
      </c>
      <c r="B992" s="1">
        <f>DATE(2011,12,10) + TIME(19,52,41)</f>
        <v>40887.828252314815</v>
      </c>
      <c r="C992">
        <v>80</v>
      </c>
      <c r="D992">
        <v>73.154861449999999</v>
      </c>
      <c r="E992">
        <v>50</v>
      </c>
      <c r="F992">
        <v>49.961421967</v>
      </c>
      <c r="G992">
        <v>1012.617981</v>
      </c>
      <c r="H992">
        <v>882.24139404000005</v>
      </c>
      <c r="I992">
        <v>1972.3303223</v>
      </c>
      <c r="J992">
        <v>1780.6201172000001</v>
      </c>
      <c r="K992">
        <v>0</v>
      </c>
      <c r="L992">
        <v>2400</v>
      </c>
      <c r="M992">
        <v>2400</v>
      </c>
      <c r="N992">
        <v>0</v>
      </c>
    </row>
    <row r="993" spans="1:14" x14ac:dyDescent="0.25">
      <c r="A993">
        <v>590.37302899999997</v>
      </c>
      <c r="B993" s="1">
        <f>DATE(2011,12,12) + TIME(8,57,9)</f>
        <v>40889.373020833336</v>
      </c>
      <c r="C993">
        <v>80</v>
      </c>
      <c r="D993">
        <v>72.969276428000001</v>
      </c>
      <c r="E993">
        <v>50</v>
      </c>
      <c r="F993">
        <v>49.961395263999997</v>
      </c>
      <c r="G993">
        <v>1010.7108765</v>
      </c>
      <c r="H993">
        <v>880.21173095999995</v>
      </c>
      <c r="I993">
        <v>1972.8459473</v>
      </c>
      <c r="J993">
        <v>1781.1367187999999</v>
      </c>
      <c r="K993">
        <v>0</v>
      </c>
      <c r="L993">
        <v>2400</v>
      </c>
      <c r="M993">
        <v>2400</v>
      </c>
      <c r="N993">
        <v>0</v>
      </c>
    </row>
    <row r="994" spans="1:14" x14ac:dyDescent="0.25">
      <c r="A994">
        <v>591.99003700000003</v>
      </c>
      <c r="B994" s="1">
        <f>DATE(2011,12,13) + TIME(23,45,39)</f>
        <v>40890.990034722221</v>
      </c>
      <c r="C994">
        <v>80</v>
      </c>
      <c r="D994">
        <v>72.778564453000001</v>
      </c>
      <c r="E994">
        <v>50</v>
      </c>
      <c r="F994">
        <v>49.961380005000002</v>
      </c>
      <c r="G994">
        <v>1008.8214111</v>
      </c>
      <c r="H994">
        <v>878.19006348000005</v>
      </c>
      <c r="I994">
        <v>1973.2777100000001</v>
      </c>
      <c r="J994">
        <v>1781.5692139</v>
      </c>
      <c r="K994">
        <v>0</v>
      </c>
      <c r="L994">
        <v>2400</v>
      </c>
      <c r="M994">
        <v>2400</v>
      </c>
      <c r="N994">
        <v>0</v>
      </c>
    </row>
    <row r="995" spans="1:14" x14ac:dyDescent="0.25">
      <c r="A995">
        <v>593.68989299999998</v>
      </c>
      <c r="B995" s="1">
        <f>DATE(2011,12,15) + TIME(16,33,26)</f>
        <v>40892.689884259256</v>
      </c>
      <c r="C995">
        <v>80</v>
      </c>
      <c r="D995">
        <v>72.580856323000006</v>
      </c>
      <c r="E995">
        <v>50</v>
      </c>
      <c r="F995">
        <v>49.961376190000003</v>
      </c>
      <c r="G995">
        <v>1006.9382323999999</v>
      </c>
      <c r="H995">
        <v>876.16265868999994</v>
      </c>
      <c r="I995">
        <v>1973.6246338000001</v>
      </c>
      <c r="J995">
        <v>1781.9167480000001</v>
      </c>
      <c r="K995">
        <v>0</v>
      </c>
      <c r="L995">
        <v>2400</v>
      </c>
      <c r="M995">
        <v>2400</v>
      </c>
      <c r="N995">
        <v>0</v>
      </c>
    </row>
    <row r="996" spans="1:14" x14ac:dyDescent="0.25">
      <c r="A996">
        <v>595.39027099999998</v>
      </c>
      <c r="B996" s="1">
        <f>DATE(2011,12,17) + TIME(9,21,59)</f>
        <v>40894.390266203707</v>
      </c>
      <c r="C996">
        <v>80</v>
      </c>
      <c r="D996">
        <v>72.378097534000005</v>
      </c>
      <c r="E996">
        <v>50</v>
      </c>
      <c r="F996">
        <v>49.961372375000003</v>
      </c>
      <c r="G996">
        <v>1005.1228027</v>
      </c>
      <c r="H996">
        <v>874.19140625</v>
      </c>
      <c r="I996">
        <v>1973.8586425999999</v>
      </c>
      <c r="J996">
        <v>1782.1513672000001</v>
      </c>
      <c r="K996">
        <v>0</v>
      </c>
      <c r="L996">
        <v>2400</v>
      </c>
      <c r="M996">
        <v>2400</v>
      </c>
      <c r="N996">
        <v>0</v>
      </c>
    </row>
    <row r="997" spans="1:14" x14ac:dyDescent="0.25">
      <c r="A997">
        <v>597.10376399999996</v>
      </c>
      <c r="B997" s="1">
        <f>DATE(2011,12,19) + TIME(2,29,25)</f>
        <v>40896.103761574072</v>
      </c>
      <c r="C997">
        <v>80</v>
      </c>
      <c r="D997">
        <v>72.173980713000006</v>
      </c>
      <c r="E997">
        <v>50</v>
      </c>
      <c r="F997">
        <v>49.961383820000002</v>
      </c>
      <c r="G997">
        <v>1003.3677368</v>
      </c>
      <c r="H997">
        <v>872.27038574000005</v>
      </c>
      <c r="I997">
        <v>1974.0062256000001</v>
      </c>
      <c r="J997">
        <v>1782.2994385</v>
      </c>
      <c r="K997">
        <v>0</v>
      </c>
      <c r="L997">
        <v>2400</v>
      </c>
      <c r="M997">
        <v>2400</v>
      </c>
      <c r="N997">
        <v>0</v>
      </c>
    </row>
    <row r="998" spans="1:14" x14ac:dyDescent="0.25">
      <c r="A998">
        <v>598.85109699999998</v>
      </c>
      <c r="B998" s="1">
        <f>DATE(2011,12,20) + TIME(20,25,34)</f>
        <v>40897.851087962961</v>
      </c>
      <c r="C998">
        <v>80</v>
      </c>
      <c r="D998">
        <v>71.968284607000001</v>
      </c>
      <c r="E998">
        <v>50</v>
      </c>
      <c r="F998">
        <v>49.961406707999998</v>
      </c>
      <c r="G998">
        <v>1001.6512451</v>
      </c>
      <c r="H998">
        <v>870.37750243999994</v>
      </c>
      <c r="I998">
        <v>1974.0828856999999</v>
      </c>
      <c r="J998">
        <v>1782.3765868999999</v>
      </c>
      <c r="K998">
        <v>0</v>
      </c>
      <c r="L998">
        <v>2400</v>
      </c>
      <c r="M998">
        <v>2400</v>
      </c>
      <c r="N998">
        <v>0</v>
      </c>
    </row>
    <row r="999" spans="1:14" x14ac:dyDescent="0.25">
      <c r="A999">
        <v>600.65335700000003</v>
      </c>
      <c r="B999" s="1">
        <f>DATE(2011,12,22) + TIME(15,40,50)</f>
        <v>40899.653356481482</v>
      </c>
      <c r="C999">
        <v>80</v>
      </c>
      <c r="D999">
        <v>71.759300232000001</v>
      </c>
      <c r="E999">
        <v>50</v>
      </c>
      <c r="F999">
        <v>49.961441039999997</v>
      </c>
      <c r="G999">
        <v>999.95135498000002</v>
      </c>
      <c r="H999">
        <v>868.48840331999997</v>
      </c>
      <c r="I999">
        <v>1974.0957031</v>
      </c>
      <c r="J999">
        <v>1782.3898925999999</v>
      </c>
      <c r="K999">
        <v>0</v>
      </c>
      <c r="L999">
        <v>2400</v>
      </c>
      <c r="M999">
        <v>2400</v>
      </c>
      <c r="N999">
        <v>0</v>
      </c>
    </row>
    <row r="1000" spans="1:14" x14ac:dyDescent="0.25">
      <c r="A1000">
        <v>602.51251300000001</v>
      </c>
      <c r="B1000" s="1">
        <f>DATE(2011,12,24) + TIME(12,18,1)</f>
        <v>40901.512511574074</v>
      </c>
      <c r="C1000">
        <v>80</v>
      </c>
      <c r="D1000">
        <v>71.545555114999999</v>
      </c>
      <c r="E1000">
        <v>50</v>
      </c>
      <c r="F1000">
        <v>49.961483002000001</v>
      </c>
      <c r="G1000">
        <v>998.25891113</v>
      </c>
      <c r="H1000">
        <v>866.59155272999999</v>
      </c>
      <c r="I1000">
        <v>1974.0454102000001</v>
      </c>
      <c r="J1000">
        <v>1782.3398437999999</v>
      </c>
      <c r="K1000">
        <v>0</v>
      </c>
      <c r="L1000">
        <v>2400</v>
      </c>
      <c r="M1000">
        <v>2400</v>
      </c>
      <c r="N1000">
        <v>0</v>
      </c>
    </row>
    <row r="1001" spans="1:14" x14ac:dyDescent="0.25">
      <c r="A1001">
        <v>604.441329</v>
      </c>
      <c r="B1001" s="1">
        <f>DATE(2011,12,26) + TIME(10,35,30)</f>
        <v>40903.441319444442</v>
      </c>
      <c r="C1001">
        <v>80</v>
      </c>
      <c r="D1001">
        <v>71.325935364000003</v>
      </c>
      <c r="E1001">
        <v>50</v>
      </c>
      <c r="F1001">
        <v>49.961532593000001</v>
      </c>
      <c r="G1001">
        <v>996.56140137</v>
      </c>
      <c r="H1001">
        <v>864.67205810999997</v>
      </c>
      <c r="I1001">
        <v>1973.9354248</v>
      </c>
      <c r="J1001">
        <v>1782.2302245999999</v>
      </c>
      <c r="K1001">
        <v>0</v>
      </c>
      <c r="L1001">
        <v>2400</v>
      </c>
      <c r="M1001">
        <v>2400</v>
      </c>
      <c r="N1001">
        <v>0</v>
      </c>
    </row>
    <row r="1002" spans="1:14" x14ac:dyDescent="0.25">
      <c r="A1002">
        <v>606.42945599999996</v>
      </c>
      <c r="B1002" s="1">
        <f>DATE(2011,12,28) + TIME(10,18,25)</f>
        <v>40905.429456018515</v>
      </c>
      <c r="C1002">
        <v>80</v>
      </c>
      <c r="D1002">
        <v>71.099754333000007</v>
      </c>
      <c r="E1002">
        <v>50</v>
      </c>
      <c r="F1002">
        <v>49.961589813000003</v>
      </c>
      <c r="G1002">
        <v>994.85772704999999</v>
      </c>
      <c r="H1002">
        <v>862.72662353999999</v>
      </c>
      <c r="I1002">
        <v>1973.7663574000001</v>
      </c>
      <c r="J1002">
        <v>1782.0616454999999</v>
      </c>
      <c r="K1002">
        <v>0</v>
      </c>
      <c r="L1002">
        <v>2400</v>
      </c>
      <c r="M1002">
        <v>2400</v>
      </c>
      <c r="N1002">
        <v>0</v>
      </c>
    </row>
    <row r="1003" spans="1:14" x14ac:dyDescent="0.25">
      <c r="A1003">
        <v>608.43421599999999</v>
      </c>
      <c r="B1003" s="1">
        <f>DATE(2011,12,30) + TIME(10,25,16)</f>
        <v>40907.434212962966</v>
      </c>
      <c r="C1003">
        <v>80</v>
      </c>
      <c r="D1003">
        <v>70.868576050000001</v>
      </c>
      <c r="E1003">
        <v>50</v>
      </c>
      <c r="F1003">
        <v>49.961650847999998</v>
      </c>
      <c r="G1003">
        <v>993.16564941000001</v>
      </c>
      <c r="H1003">
        <v>860.77288818</v>
      </c>
      <c r="I1003">
        <v>1973.5421143000001</v>
      </c>
      <c r="J1003">
        <v>1781.8376464999999</v>
      </c>
      <c r="K1003">
        <v>0</v>
      </c>
      <c r="L1003">
        <v>2400</v>
      </c>
      <c r="M1003">
        <v>2400</v>
      </c>
      <c r="N1003">
        <v>0</v>
      </c>
    </row>
    <row r="1004" spans="1:14" x14ac:dyDescent="0.25">
      <c r="A1004">
        <v>610</v>
      </c>
      <c r="B1004" s="1">
        <f>DATE(2012,1,1) + TIME(0,0,0)</f>
        <v>40909</v>
      </c>
      <c r="C1004">
        <v>80</v>
      </c>
      <c r="D1004">
        <v>70.652770996000001</v>
      </c>
      <c r="E1004">
        <v>50</v>
      </c>
      <c r="F1004">
        <v>49.961666106999999</v>
      </c>
      <c r="G1004">
        <v>991.71679687999995</v>
      </c>
      <c r="H1004">
        <v>859.06359863</v>
      </c>
      <c r="I1004">
        <v>1973.2783202999999</v>
      </c>
      <c r="J1004">
        <v>1781.5739745999999</v>
      </c>
      <c r="K1004">
        <v>0</v>
      </c>
      <c r="L1004">
        <v>2400</v>
      </c>
      <c r="M1004">
        <v>2400</v>
      </c>
      <c r="N1004">
        <v>0</v>
      </c>
    </row>
    <row r="1005" spans="1:14" x14ac:dyDescent="0.25">
      <c r="A1005">
        <v>612.02878299999998</v>
      </c>
      <c r="B1005" s="1">
        <f>DATE(2012,1,3) + TIME(0,41,26)</f>
        <v>40911.028773148151</v>
      </c>
      <c r="C1005">
        <v>80</v>
      </c>
      <c r="D1005">
        <v>70.442230225000003</v>
      </c>
      <c r="E1005">
        <v>50</v>
      </c>
      <c r="F1005">
        <v>49.961776733000001</v>
      </c>
      <c r="G1005">
        <v>990.15551758000004</v>
      </c>
      <c r="H1005">
        <v>857.23895263999998</v>
      </c>
      <c r="I1005">
        <v>1973.0197754000001</v>
      </c>
      <c r="J1005">
        <v>1781.3157959</v>
      </c>
      <c r="K1005">
        <v>0</v>
      </c>
      <c r="L1005">
        <v>2400</v>
      </c>
      <c r="M1005">
        <v>2400</v>
      </c>
      <c r="N1005">
        <v>0</v>
      </c>
    </row>
    <row r="1006" spans="1:14" x14ac:dyDescent="0.25">
      <c r="A1006">
        <v>614.14182400000004</v>
      </c>
      <c r="B1006" s="1">
        <f>DATE(2012,1,5) + TIME(3,24,13)</f>
        <v>40913.141817129632</v>
      </c>
      <c r="C1006">
        <v>80</v>
      </c>
      <c r="D1006">
        <v>70.210502625000004</v>
      </c>
      <c r="E1006">
        <v>50</v>
      </c>
      <c r="F1006">
        <v>49.961860657000003</v>
      </c>
      <c r="G1006">
        <v>988.48608397999999</v>
      </c>
      <c r="H1006">
        <v>855.26422118999994</v>
      </c>
      <c r="I1006">
        <v>1972.7073975000001</v>
      </c>
      <c r="J1006">
        <v>1781.0035399999999</v>
      </c>
      <c r="K1006">
        <v>0</v>
      </c>
      <c r="L1006">
        <v>2400</v>
      </c>
      <c r="M1006">
        <v>2400</v>
      </c>
      <c r="N1006">
        <v>0</v>
      </c>
    </row>
    <row r="1007" spans="1:14" x14ac:dyDescent="0.25">
      <c r="A1007">
        <v>616.33352600000001</v>
      </c>
      <c r="B1007" s="1">
        <f>DATE(2012,1,7) + TIME(8,0,16)</f>
        <v>40915.333518518521</v>
      </c>
      <c r="C1007">
        <v>80</v>
      </c>
      <c r="D1007">
        <v>69.965476989999999</v>
      </c>
      <c r="E1007">
        <v>50</v>
      </c>
      <c r="F1007">
        <v>49.961944580000001</v>
      </c>
      <c r="G1007">
        <v>986.76245116999996</v>
      </c>
      <c r="H1007">
        <v>853.20037841999999</v>
      </c>
      <c r="I1007">
        <v>1972.3474120999999</v>
      </c>
      <c r="J1007">
        <v>1780.6439209</v>
      </c>
      <c r="K1007">
        <v>0</v>
      </c>
      <c r="L1007">
        <v>2400</v>
      </c>
      <c r="M1007">
        <v>2400</v>
      </c>
      <c r="N1007">
        <v>0</v>
      </c>
    </row>
    <row r="1008" spans="1:14" x14ac:dyDescent="0.25">
      <c r="A1008">
        <v>618.56962299999998</v>
      </c>
      <c r="B1008" s="1">
        <f>DATE(2012,1,9) + TIME(13,40,15)</f>
        <v>40917.569618055553</v>
      </c>
      <c r="C1008">
        <v>80</v>
      </c>
      <c r="D1008">
        <v>69.710327148000005</v>
      </c>
      <c r="E1008">
        <v>50</v>
      </c>
      <c r="F1008">
        <v>49.962028502999999</v>
      </c>
      <c r="G1008">
        <v>985.00036621000004</v>
      </c>
      <c r="H1008">
        <v>851.06524658000001</v>
      </c>
      <c r="I1008">
        <v>1971.9501952999999</v>
      </c>
      <c r="J1008">
        <v>1780.2468262</v>
      </c>
      <c r="K1008">
        <v>0</v>
      </c>
      <c r="L1008">
        <v>2400</v>
      </c>
      <c r="M1008">
        <v>2400</v>
      </c>
      <c r="N1008">
        <v>0</v>
      </c>
    </row>
    <row r="1009" spans="1:14" x14ac:dyDescent="0.25">
      <c r="A1009">
        <v>620.82759299999998</v>
      </c>
      <c r="B1009" s="1">
        <f>DATE(2012,1,11) + TIME(19,51,44)</f>
        <v>40919.827592592592</v>
      </c>
      <c r="C1009">
        <v>80</v>
      </c>
      <c r="D1009">
        <v>69.448638915999993</v>
      </c>
      <c r="E1009">
        <v>50</v>
      </c>
      <c r="F1009">
        <v>49.962120056000003</v>
      </c>
      <c r="G1009">
        <v>983.21356201000003</v>
      </c>
      <c r="H1009">
        <v>848.87561034999999</v>
      </c>
      <c r="I1009">
        <v>1971.526001</v>
      </c>
      <c r="J1009">
        <v>1779.822876</v>
      </c>
      <c r="K1009">
        <v>0</v>
      </c>
      <c r="L1009">
        <v>2400</v>
      </c>
      <c r="M1009">
        <v>2400</v>
      </c>
      <c r="N1009">
        <v>0</v>
      </c>
    </row>
    <row r="1010" spans="1:14" x14ac:dyDescent="0.25">
      <c r="A1010">
        <v>623.13129200000003</v>
      </c>
      <c r="B1010" s="1">
        <f>DATE(2012,1,14) + TIME(3,9,3)</f>
        <v>40922.131284722222</v>
      </c>
      <c r="C1010">
        <v>80</v>
      </c>
      <c r="D1010">
        <v>69.181594849000007</v>
      </c>
      <c r="E1010">
        <v>50</v>
      </c>
      <c r="F1010">
        <v>49.962215424</v>
      </c>
      <c r="G1010">
        <v>981.39672852000001</v>
      </c>
      <c r="H1010">
        <v>846.62664795000001</v>
      </c>
      <c r="I1010">
        <v>1971.0809326000001</v>
      </c>
      <c r="J1010">
        <v>1779.3779297000001</v>
      </c>
      <c r="K1010">
        <v>0</v>
      </c>
      <c r="L1010">
        <v>2400</v>
      </c>
      <c r="M1010">
        <v>2400</v>
      </c>
      <c r="N1010">
        <v>0</v>
      </c>
    </row>
    <row r="1011" spans="1:14" x14ac:dyDescent="0.25">
      <c r="A1011">
        <v>625.48686799999996</v>
      </c>
      <c r="B1011" s="1">
        <f>DATE(2012,1,16) + TIME(11,41,5)</f>
        <v>40924.486863425926</v>
      </c>
      <c r="C1011">
        <v>80</v>
      </c>
      <c r="D1011">
        <v>68.907676696999999</v>
      </c>
      <c r="E1011">
        <v>50</v>
      </c>
      <c r="F1011">
        <v>49.962314606</v>
      </c>
      <c r="G1011">
        <v>979.53741454999999</v>
      </c>
      <c r="H1011">
        <v>844.30230713000003</v>
      </c>
      <c r="I1011">
        <v>1970.6171875</v>
      </c>
      <c r="J1011">
        <v>1778.9143065999999</v>
      </c>
      <c r="K1011">
        <v>0</v>
      </c>
      <c r="L1011">
        <v>2400</v>
      </c>
      <c r="M1011">
        <v>2400</v>
      </c>
      <c r="N1011">
        <v>0</v>
      </c>
    </row>
    <row r="1012" spans="1:14" x14ac:dyDescent="0.25">
      <c r="A1012">
        <v>627.90030200000001</v>
      </c>
      <c r="B1012" s="1">
        <f>DATE(2012,1,18) + TIME(21,36,26)</f>
        <v>40926.900300925925</v>
      </c>
      <c r="C1012">
        <v>80</v>
      </c>
      <c r="D1012">
        <v>68.625556946000003</v>
      </c>
      <c r="E1012">
        <v>50</v>
      </c>
      <c r="F1012">
        <v>49.962421417000002</v>
      </c>
      <c r="G1012">
        <v>977.62591553000004</v>
      </c>
      <c r="H1012">
        <v>841.88916015999996</v>
      </c>
      <c r="I1012">
        <v>1970.1361084</v>
      </c>
      <c r="J1012">
        <v>1778.4334716999999</v>
      </c>
      <c r="K1012">
        <v>0</v>
      </c>
      <c r="L1012">
        <v>2400</v>
      </c>
      <c r="M1012">
        <v>2400</v>
      </c>
      <c r="N1012">
        <v>0</v>
      </c>
    </row>
    <row r="1013" spans="1:14" x14ac:dyDescent="0.25">
      <c r="A1013">
        <v>630.39417300000002</v>
      </c>
      <c r="B1013" s="1">
        <f>DATE(2012,1,21) + TIME(9,27,36)</f>
        <v>40929.394166666665</v>
      </c>
      <c r="C1013">
        <v>80</v>
      </c>
      <c r="D1013">
        <v>68.333831786999994</v>
      </c>
      <c r="E1013">
        <v>50</v>
      </c>
      <c r="F1013">
        <v>49.962532043000003</v>
      </c>
      <c r="G1013">
        <v>975.64721680000002</v>
      </c>
      <c r="H1013">
        <v>839.36743163999995</v>
      </c>
      <c r="I1013">
        <v>1969.6375731999999</v>
      </c>
      <c r="J1013">
        <v>1777.9350586</v>
      </c>
      <c r="K1013">
        <v>0</v>
      </c>
      <c r="L1013">
        <v>2400</v>
      </c>
      <c r="M1013">
        <v>2400</v>
      </c>
      <c r="N1013">
        <v>0</v>
      </c>
    </row>
    <row r="1014" spans="1:14" x14ac:dyDescent="0.25">
      <c r="A1014">
        <v>632.906699</v>
      </c>
      <c r="B1014" s="1">
        <f>DATE(2012,1,23) + TIME(21,45,38)</f>
        <v>40931.906689814816</v>
      </c>
      <c r="C1014">
        <v>80</v>
      </c>
      <c r="D1014">
        <v>68.031898498999993</v>
      </c>
      <c r="E1014">
        <v>50</v>
      </c>
      <c r="F1014">
        <v>49.962638855000002</v>
      </c>
      <c r="G1014">
        <v>973.60675048999997</v>
      </c>
      <c r="H1014">
        <v>836.73895263999998</v>
      </c>
      <c r="I1014">
        <v>1969.1276855000001</v>
      </c>
      <c r="J1014">
        <v>1777.425293</v>
      </c>
      <c r="K1014">
        <v>0</v>
      </c>
      <c r="L1014">
        <v>2400</v>
      </c>
      <c r="M1014">
        <v>2400</v>
      </c>
      <c r="N1014">
        <v>0</v>
      </c>
    </row>
    <row r="1015" spans="1:14" x14ac:dyDescent="0.25">
      <c r="A1015">
        <v>635.43877299999997</v>
      </c>
      <c r="B1015" s="1">
        <f>DATE(2012,1,26) + TIME(10,31,49)</f>
        <v>40934.438761574071</v>
      </c>
      <c r="C1015">
        <v>80</v>
      </c>
      <c r="D1015">
        <v>67.723045349000003</v>
      </c>
      <c r="E1015">
        <v>50</v>
      </c>
      <c r="F1015">
        <v>49.962749481000003</v>
      </c>
      <c r="G1015">
        <v>971.52075194999998</v>
      </c>
      <c r="H1015">
        <v>834.02508545000001</v>
      </c>
      <c r="I1015">
        <v>1968.6124268000001</v>
      </c>
      <c r="J1015">
        <v>1776.9102783000001</v>
      </c>
      <c r="K1015">
        <v>0</v>
      </c>
      <c r="L1015">
        <v>2400</v>
      </c>
      <c r="M1015">
        <v>2400</v>
      </c>
      <c r="N1015">
        <v>0</v>
      </c>
    </row>
    <row r="1016" spans="1:14" x14ac:dyDescent="0.25">
      <c r="A1016">
        <v>638.00256000000002</v>
      </c>
      <c r="B1016" s="1">
        <f>DATE(2012,1,29) + TIME(0,3,41)</f>
        <v>40937.002557870372</v>
      </c>
      <c r="C1016">
        <v>80</v>
      </c>
      <c r="D1016">
        <v>67.407257079999994</v>
      </c>
      <c r="E1016">
        <v>50</v>
      </c>
      <c r="F1016">
        <v>49.962860106999997</v>
      </c>
      <c r="G1016">
        <v>969.38446045000001</v>
      </c>
      <c r="H1016">
        <v>831.22058104999996</v>
      </c>
      <c r="I1016">
        <v>1968.0942382999999</v>
      </c>
      <c r="J1016">
        <v>1776.3922118999999</v>
      </c>
      <c r="K1016">
        <v>0</v>
      </c>
      <c r="L1016">
        <v>2400</v>
      </c>
      <c r="M1016">
        <v>2400</v>
      </c>
      <c r="N1016">
        <v>0</v>
      </c>
    </row>
    <row r="1017" spans="1:14" x14ac:dyDescent="0.25">
      <c r="A1017">
        <v>640.62202400000001</v>
      </c>
      <c r="B1017" s="1">
        <f>DATE(2012,1,31) + TIME(14,55,42)</f>
        <v>40939.622013888889</v>
      </c>
      <c r="C1017">
        <v>80</v>
      </c>
      <c r="D1017">
        <v>67.082687378000003</v>
      </c>
      <c r="E1017">
        <v>50</v>
      </c>
      <c r="F1017">
        <v>49.962978362999998</v>
      </c>
      <c r="G1017">
        <v>967.18304443</v>
      </c>
      <c r="H1017">
        <v>828.30578613</v>
      </c>
      <c r="I1017">
        <v>1967.5721435999999</v>
      </c>
      <c r="J1017">
        <v>1775.8702393000001</v>
      </c>
      <c r="K1017">
        <v>0</v>
      </c>
      <c r="L1017">
        <v>2400</v>
      </c>
      <c r="M1017">
        <v>2400</v>
      </c>
      <c r="N1017">
        <v>0</v>
      </c>
    </row>
    <row r="1018" spans="1:14" x14ac:dyDescent="0.25">
      <c r="A1018">
        <v>641</v>
      </c>
      <c r="B1018" s="1">
        <f>DATE(2012,2,1) + TIME(0,0,0)</f>
        <v>40940</v>
      </c>
      <c r="C1018">
        <v>80</v>
      </c>
      <c r="D1018">
        <v>66.939826964999995</v>
      </c>
      <c r="E1018">
        <v>50</v>
      </c>
      <c r="F1018">
        <v>49.962947845000002</v>
      </c>
      <c r="G1018">
        <v>966.06933593999997</v>
      </c>
      <c r="H1018">
        <v>826.82012939000003</v>
      </c>
      <c r="I1018">
        <v>1967.4515381000001</v>
      </c>
      <c r="J1018">
        <v>1775.7495117000001</v>
      </c>
      <c r="K1018">
        <v>0</v>
      </c>
      <c r="L1018">
        <v>2400</v>
      </c>
      <c r="M1018">
        <v>2400</v>
      </c>
      <c r="N1018">
        <v>0</v>
      </c>
    </row>
    <row r="1019" spans="1:14" x14ac:dyDescent="0.25">
      <c r="A1019">
        <v>643.70064400000001</v>
      </c>
      <c r="B1019" s="1">
        <f>DATE(2012,2,3) + TIME(16,48,55)</f>
        <v>40942.700636574074</v>
      </c>
      <c r="C1019">
        <v>80</v>
      </c>
      <c r="D1019">
        <v>66.674903869999994</v>
      </c>
      <c r="E1019">
        <v>50</v>
      </c>
      <c r="F1019">
        <v>49.963108063</v>
      </c>
      <c r="G1019">
        <v>964.47491454999999</v>
      </c>
      <c r="H1019">
        <v>824.66033935999997</v>
      </c>
      <c r="I1019">
        <v>1966.9388428</v>
      </c>
      <c r="J1019">
        <v>1775.2370605000001</v>
      </c>
      <c r="K1019">
        <v>0</v>
      </c>
      <c r="L1019">
        <v>2400</v>
      </c>
      <c r="M1019">
        <v>2400</v>
      </c>
      <c r="N1019">
        <v>0</v>
      </c>
    </row>
    <row r="1020" spans="1:14" x14ac:dyDescent="0.25">
      <c r="A1020">
        <v>646.46661700000004</v>
      </c>
      <c r="B1020" s="1">
        <f>DATE(2012,2,6) + TIME(11,11,55)</f>
        <v>40945.466608796298</v>
      </c>
      <c r="C1020">
        <v>80</v>
      </c>
      <c r="D1020">
        <v>66.340011597</v>
      </c>
      <c r="E1020">
        <v>50</v>
      </c>
      <c r="F1020">
        <v>49.963241576999998</v>
      </c>
      <c r="G1020">
        <v>962.14013671999999</v>
      </c>
      <c r="H1020">
        <v>821.53375243999994</v>
      </c>
      <c r="I1020">
        <v>1966.4240723</v>
      </c>
      <c r="J1020">
        <v>1774.7224120999999</v>
      </c>
      <c r="K1020">
        <v>0</v>
      </c>
      <c r="L1020">
        <v>2400</v>
      </c>
      <c r="M1020">
        <v>2400</v>
      </c>
      <c r="N1020">
        <v>0</v>
      </c>
    </row>
    <row r="1021" spans="1:14" x14ac:dyDescent="0.25">
      <c r="A1021">
        <v>649.23803899999996</v>
      </c>
      <c r="B1021" s="1">
        <f>DATE(2012,2,9) + TIME(5,42,46)</f>
        <v>40948.238032407404</v>
      </c>
      <c r="C1021">
        <v>80</v>
      </c>
      <c r="D1021">
        <v>65.977737426999994</v>
      </c>
      <c r="E1021">
        <v>50</v>
      </c>
      <c r="F1021">
        <v>49.963356017999999</v>
      </c>
      <c r="G1021">
        <v>959.67175293000003</v>
      </c>
      <c r="H1021">
        <v>818.17932128999996</v>
      </c>
      <c r="I1021">
        <v>1965.8981934000001</v>
      </c>
      <c r="J1021">
        <v>1774.1966553</v>
      </c>
      <c r="K1021">
        <v>0</v>
      </c>
      <c r="L1021">
        <v>2400</v>
      </c>
      <c r="M1021">
        <v>2400</v>
      </c>
      <c r="N1021">
        <v>0</v>
      </c>
    </row>
    <row r="1022" spans="1:14" x14ac:dyDescent="0.25">
      <c r="A1022">
        <v>652.040435</v>
      </c>
      <c r="B1022" s="1">
        <f>DATE(2012,2,12) + TIME(0,58,13)</f>
        <v>40951.04042824074</v>
      </c>
      <c r="C1022">
        <v>80</v>
      </c>
      <c r="D1022">
        <v>65.602249146000005</v>
      </c>
      <c r="E1022">
        <v>50</v>
      </c>
      <c r="F1022">
        <v>49.963474273999999</v>
      </c>
      <c r="G1022">
        <v>957.12841796999999</v>
      </c>
      <c r="H1022">
        <v>814.69018555000002</v>
      </c>
      <c r="I1022">
        <v>1965.3709716999999</v>
      </c>
      <c r="J1022">
        <v>1773.6695557</v>
      </c>
      <c r="K1022">
        <v>0</v>
      </c>
      <c r="L1022">
        <v>2400</v>
      </c>
      <c r="M1022">
        <v>2400</v>
      </c>
      <c r="N1022">
        <v>0</v>
      </c>
    </row>
    <row r="1023" spans="1:14" x14ac:dyDescent="0.25">
      <c r="A1023">
        <v>654.89983400000006</v>
      </c>
      <c r="B1023" s="1">
        <f>DATE(2012,2,14) + TIME(21,35,45)</f>
        <v>40953.899826388886</v>
      </c>
      <c r="C1023">
        <v>80</v>
      </c>
      <c r="D1023">
        <v>65.213325499999996</v>
      </c>
      <c r="E1023">
        <v>50</v>
      </c>
      <c r="F1023">
        <v>49.963600159000002</v>
      </c>
      <c r="G1023">
        <v>954.49798583999996</v>
      </c>
      <c r="H1023">
        <v>811.05352783000001</v>
      </c>
      <c r="I1023">
        <v>1964.84375</v>
      </c>
      <c r="J1023">
        <v>1773.1424560999999</v>
      </c>
      <c r="K1023">
        <v>0</v>
      </c>
      <c r="L1023">
        <v>2400</v>
      </c>
      <c r="M1023">
        <v>2400</v>
      </c>
      <c r="N1023">
        <v>0</v>
      </c>
    </row>
    <row r="1024" spans="1:14" x14ac:dyDescent="0.25">
      <c r="A1024">
        <v>657.84365400000002</v>
      </c>
      <c r="B1024" s="1">
        <f>DATE(2012,2,17) + TIME(20,14,51)</f>
        <v>40956.843645833331</v>
      </c>
      <c r="C1024">
        <v>80</v>
      </c>
      <c r="D1024">
        <v>64.807289123999993</v>
      </c>
      <c r="E1024">
        <v>50</v>
      </c>
      <c r="F1024">
        <v>49.963726043999998</v>
      </c>
      <c r="G1024">
        <v>951.75689696999996</v>
      </c>
      <c r="H1024">
        <v>807.23638916000004</v>
      </c>
      <c r="I1024">
        <v>1964.3142089999999</v>
      </c>
      <c r="J1024">
        <v>1772.6130370999999</v>
      </c>
      <c r="K1024">
        <v>0</v>
      </c>
      <c r="L1024">
        <v>2400</v>
      </c>
      <c r="M1024">
        <v>2400</v>
      </c>
      <c r="N1024">
        <v>0</v>
      </c>
    </row>
    <row r="1025" spans="1:14" x14ac:dyDescent="0.25">
      <c r="A1025">
        <v>660.84719600000005</v>
      </c>
      <c r="B1025" s="1">
        <f>DATE(2012,2,20) + TIME(20,19,57)</f>
        <v>40959.847187500003</v>
      </c>
      <c r="C1025">
        <v>80</v>
      </c>
      <c r="D1025">
        <v>64.380859375</v>
      </c>
      <c r="E1025">
        <v>50</v>
      </c>
      <c r="F1025">
        <v>49.963851929</v>
      </c>
      <c r="G1025">
        <v>948.88964843999997</v>
      </c>
      <c r="H1025">
        <v>803.21313477000001</v>
      </c>
      <c r="I1025">
        <v>1963.7834473</v>
      </c>
      <c r="J1025">
        <v>1772.0823975000001</v>
      </c>
      <c r="K1025">
        <v>0</v>
      </c>
      <c r="L1025">
        <v>2400</v>
      </c>
      <c r="M1025">
        <v>2400</v>
      </c>
      <c r="N1025">
        <v>0</v>
      </c>
    </row>
    <row r="1026" spans="1:14" x14ac:dyDescent="0.25">
      <c r="A1026">
        <v>663.87706900000001</v>
      </c>
      <c r="B1026" s="1">
        <f>DATE(2012,2,23) + TIME(21,2,58)</f>
        <v>40962.877060185187</v>
      </c>
      <c r="C1026">
        <v>80</v>
      </c>
      <c r="D1026">
        <v>63.935153960999997</v>
      </c>
      <c r="E1026">
        <v>50</v>
      </c>
      <c r="F1026">
        <v>49.963977814000003</v>
      </c>
      <c r="G1026">
        <v>945.91204833999996</v>
      </c>
      <c r="H1026">
        <v>799.00213623000002</v>
      </c>
      <c r="I1026">
        <v>1963.2557373</v>
      </c>
      <c r="J1026">
        <v>1771.5546875</v>
      </c>
      <c r="K1026">
        <v>0</v>
      </c>
      <c r="L1026">
        <v>2400</v>
      </c>
      <c r="M1026">
        <v>2400</v>
      </c>
      <c r="N1026">
        <v>0</v>
      </c>
    </row>
    <row r="1027" spans="1:14" x14ac:dyDescent="0.25">
      <c r="A1027">
        <v>666.92058699999995</v>
      </c>
      <c r="B1027" s="1">
        <f>DATE(2012,2,26) + TIME(22,5,38)</f>
        <v>40965.920578703706</v>
      </c>
      <c r="C1027">
        <v>80</v>
      </c>
      <c r="D1027">
        <v>63.473007201999998</v>
      </c>
      <c r="E1027">
        <v>50</v>
      </c>
      <c r="F1027">
        <v>49.964103698999999</v>
      </c>
      <c r="G1027">
        <v>942.84594727000001</v>
      </c>
      <c r="H1027">
        <v>794.63287353999999</v>
      </c>
      <c r="I1027">
        <v>1962.7342529</v>
      </c>
      <c r="J1027">
        <v>1771.0333252</v>
      </c>
      <c r="K1027">
        <v>0</v>
      </c>
      <c r="L1027">
        <v>2400</v>
      </c>
      <c r="M1027">
        <v>2400</v>
      </c>
      <c r="N1027">
        <v>0</v>
      </c>
    </row>
    <row r="1028" spans="1:14" x14ac:dyDescent="0.25">
      <c r="A1028">
        <v>670</v>
      </c>
      <c r="B1028" s="1">
        <f>DATE(2012,3,1) + TIME(0,0,0)</f>
        <v>40969</v>
      </c>
      <c r="C1028">
        <v>80</v>
      </c>
      <c r="D1028">
        <v>62.994960785000004</v>
      </c>
      <c r="E1028">
        <v>50</v>
      </c>
      <c r="F1028">
        <v>49.964229584000002</v>
      </c>
      <c r="G1028">
        <v>939.69549560999997</v>
      </c>
      <c r="H1028">
        <v>790.11169433999999</v>
      </c>
      <c r="I1028">
        <v>1962.2183838000001</v>
      </c>
      <c r="J1028">
        <v>1770.5177002</v>
      </c>
      <c r="K1028">
        <v>0</v>
      </c>
      <c r="L1028">
        <v>2400</v>
      </c>
      <c r="M1028">
        <v>2400</v>
      </c>
      <c r="N1028">
        <v>0</v>
      </c>
    </row>
    <row r="1029" spans="1:14" x14ac:dyDescent="0.25">
      <c r="A1029">
        <v>673.06198400000005</v>
      </c>
      <c r="B1029" s="1">
        <f>DATE(2012,3,4) + TIME(1,29,15)</f>
        <v>40972.061979166669</v>
      </c>
      <c r="C1029">
        <v>80</v>
      </c>
      <c r="D1029">
        <v>62.500324249000002</v>
      </c>
      <c r="E1029">
        <v>50</v>
      </c>
      <c r="F1029">
        <v>49.964351653999998</v>
      </c>
      <c r="G1029">
        <v>936.45989989999998</v>
      </c>
      <c r="H1029">
        <v>785.43530272999999</v>
      </c>
      <c r="I1029">
        <v>1961.7125243999999</v>
      </c>
      <c r="J1029">
        <v>1770.0118408000001</v>
      </c>
      <c r="K1029">
        <v>0</v>
      </c>
      <c r="L1029">
        <v>2400</v>
      </c>
      <c r="M1029">
        <v>2400</v>
      </c>
      <c r="N1029">
        <v>0</v>
      </c>
    </row>
    <row r="1030" spans="1:14" x14ac:dyDescent="0.25">
      <c r="A1030">
        <v>676.16029300000002</v>
      </c>
      <c r="B1030" s="1">
        <f>DATE(2012,3,7) + TIME(3,50,49)</f>
        <v>40975.16028935185</v>
      </c>
      <c r="C1030">
        <v>80</v>
      </c>
      <c r="D1030">
        <v>61.992050171000002</v>
      </c>
      <c r="E1030">
        <v>50</v>
      </c>
      <c r="F1030">
        <v>49.964477539000001</v>
      </c>
      <c r="G1030">
        <v>933.16143798999997</v>
      </c>
      <c r="H1030">
        <v>780.63562012</v>
      </c>
      <c r="I1030">
        <v>1961.2133789</v>
      </c>
      <c r="J1030">
        <v>1769.5128173999999</v>
      </c>
      <c r="K1030">
        <v>0</v>
      </c>
      <c r="L1030">
        <v>2400</v>
      </c>
      <c r="M1030">
        <v>2400</v>
      </c>
      <c r="N1030">
        <v>0</v>
      </c>
    </row>
    <row r="1031" spans="1:14" x14ac:dyDescent="0.25">
      <c r="A1031">
        <v>679.27936799999998</v>
      </c>
      <c r="B1031" s="1">
        <f>DATE(2012,3,10) + TIME(6,42,17)</f>
        <v>40978.279363425929</v>
      </c>
      <c r="C1031">
        <v>80</v>
      </c>
      <c r="D1031">
        <v>61.465976714999996</v>
      </c>
      <c r="E1031">
        <v>50</v>
      </c>
      <c r="F1031">
        <v>49.964599608999997</v>
      </c>
      <c r="G1031">
        <v>929.77087401999995</v>
      </c>
      <c r="H1031">
        <v>775.67053223000005</v>
      </c>
      <c r="I1031">
        <v>1960.7209473</v>
      </c>
      <c r="J1031">
        <v>1769.0203856999999</v>
      </c>
      <c r="K1031">
        <v>0</v>
      </c>
      <c r="L1031">
        <v>2400</v>
      </c>
      <c r="M1031">
        <v>2400</v>
      </c>
      <c r="N1031">
        <v>0</v>
      </c>
    </row>
    <row r="1032" spans="1:14" x14ac:dyDescent="0.25">
      <c r="A1032">
        <v>682.42410099999995</v>
      </c>
      <c r="B1032" s="1">
        <f>DATE(2012,3,13) + TIME(10,10,42)</f>
        <v>40981.424097222225</v>
      </c>
      <c r="C1032">
        <v>80</v>
      </c>
      <c r="D1032">
        <v>60.921947479000004</v>
      </c>
      <c r="E1032">
        <v>50</v>
      </c>
      <c r="F1032">
        <v>49.964725494</v>
      </c>
      <c r="G1032">
        <v>926.29479979999996</v>
      </c>
      <c r="H1032">
        <v>770.54693603999999</v>
      </c>
      <c r="I1032">
        <v>1960.2341309000001</v>
      </c>
      <c r="J1032">
        <v>1768.5338135</v>
      </c>
      <c r="K1032">
        <v>0</v>
      </c>
      <c r="L1032">
        <v>2400</v>
      </c>
      <c r="M1032">
        <v>2400</v>
      </c>
      <c r="N1032">
        <v>0</v>
      </c>
    </row>
    <row r="1033" spans="1:14" x14ac:dyDescent="0.25">
      <c r="A1033">
        <v>685.58379100000002</v>
      </c>
      <c r="B1033" s="1">
        <f>DATE(2012,3,16) + TIME(14,0,39)</f>
        <v>40984.583784722221</v>
      </c>
      <c r="C1033">
        <v>80</v>
      </c>
      <c r="D1033">
        <v>60.359928130999997</v>
      </c>
      <c r="E1033">
        <v>50</v>
      </c>
      <c r="F1033">
        <v>49.964847564999999</v>
      </c>
      <c r="G1033">
        <v>922.73345946999996</v>
      </c>
      <c r="H1033">
        <v>765.26428223000005</v>
      </c>
      <c r="I1033">
        <v>1959.7535399999999</v>
      </c>
      <c r="J1033">
        <v>1768.0532227000001</v>
      </c>
      <c r="K1033">
        <v>0</v>
      </c>
      <c r="L1033">
        <v>2400</v>
      </c>
      <c r="M1033">
        <v>2400</v>
      </c>
      <c r="N1033">
        <v>0</v>
      </c>
    </row>
    <row r="1034" spans="1:14" x14ac:dyDescent="0.25">
      <c r="A1034">
        <v>688.76024299999995</v>
      </c>
      <c r="B1034" s="1">
        <f>DATE(2012,3,19) + TIME(18,14,44)</f>
        <v>40987.760231481479</v>
      </c>
      <c r="C1034">
        <v>80</v>
      </c>
      <c r="D1034">
        <v>59.781024932999998</v>
      </c>
      <c r="E1034">
        <v>50</v>
      </c>
      <c r="F1034">
        <v>49.964969635000003</v>
      </c>
      <c r="G1034">
        <v>919.09582520000004</v>
      </c>
      <c r="H1034">
        <v>759.83459473000005</v>
      </c>
      <c r="I1034">
        <v>1959.2788086</v>
      </c>
      <c r="J1034">
        <v>1767.5787353999999</v>
      </c>
      <c r="K1034">
        <v>0</v>
      </c>
      <c r="L1034">
        <v>2400</v>
      </c>
      <c r="M1034">
        <v>2400</v>
      </c>
      <c r="N1034">
        <v>0</v>
      </c>
    </row>
    <row r="1035" spans="1:14" x14ac:dyDescent="0.25">
      <c r="A1035">
        <v>691.95163300000002</v>
      </c>
      <c r="B1035" s="1">
        <f>DATE(2012,3,22) + TIME(22,50,21)</f>
        <v>40990.951631944445</v>
      </c>
      <c r="C1035">
        <v>80</v>
      </c>
      <c r="D1035">
        <v>59.184963226000001</v>
      </c>
      <c r="E1035">
        <v>50</v>
      </c>
      <c r="F1035">
        <v>49.965091704999999</v>
      </c>
      <c r="G1035">
        <v>915.38348388999998</v>
      </c>
      <c r="H1035">
        <v>754.25952147999999</v>
      </c>
      <c r="I1035">
        <v>1958.8099365</v>
      </c>
      <c r="J1035">
        <v>1767.1097411999999</v>
      </c>
      <c r="K1035">
        <v>0</v>
      </c>
      <c r="L1035">
        <v>2400</v>
      </c>
      <c r="M1035">
        <v>2400</v>
      </c>
      <c r="N1035">
        <v>0</v>
      </c>
    </row>
    <row r="1036" spans="1:14" x14ac:dyDescent="0.25">
      <c r="A1036">
        <v>695.16381899999999</v>
      </c>
      <c r="B1036" s="1">
        <f>DATE(2012,3,26) + TIME(3,55,53)</f>
        <v>40994.163807870369</v>
      </c>
      <c r="C1036">
        <v>80</v>
      </c>
      <c r="D1036">
        <v>58.573028563999998</v>
      </c>
      <c r="E1036">
        <v>50</v>
      </c>
      <c r="F1036">
        <v>49.965213775999999</v>
      </c>
      <c r="G1036">
        <v>911.59924316000001</v>
      </c>
      <c r="H1036">
        <v>748.54284668000003</v>
      </c>
      <c r="I1036">
        <v>1958.3457031</v>
      </c>
      <c r="J1036">
        <v>1766.6457519999999</v>
      </c>
      <c r="K1036">
        <v>0</v>
      </c>
      <c r="L1036">
        <v>2400</v>
      </c>
      <c r="M1036">
        <v>2400</v>
      </c>
      <c r="N1036">
        <v>0</v>
      </c>
    </row>
    <row r="1037" spans="1:14" x14ac:dyDescent="0.25">
      <c r="A1037">
        <v>698.40258100000005</v>
      </c>
      <c r="B1037" s="1">
        <f>DATE(2012,3,29) + TIME(9,39,42)</f>
        <v>40997.402569444443</v>
      </c>
      <c r="C1037">
        <v>80</v>
      </c>
      <c r="D1037">
        <v>57.944778442</v>
      </c>
      <c r="E1037">
        <v>50</v>
      </c>
      <c r="F1037">
        <v>49.965332031000003</v>
      </c>
      <c r="G1037">
        <v>907.73980713000003</v>
      </c>
      <c r="H1037">
        <v>742.67889404000005</v>
      </c>
      <c r="I1037">
        <v>1957.885376</v>
      </c>
      <c r="J1037">
        <v>1766.1854248</v>
      </c>
      <c r="K1037">
        <v>0</v>
      </c>
      <c r="L1037">
        <v>2400</v>
      </c>
      <c r="M1037">
        <v>2400</v>
      </c>
      <c r="N1037">
        <v>0</v>
      </c>
    </row>
    <row r="1038" spans="1:14" x14ac:dyDescent="0.25">
      <c r="A1038">
        <v>701</v>
      </c>
      <c r="B1038" s="1">
        <f>DATE(2012,4,1) + TIME(0,0,0)</f>
        <v>41000</v>
      </c>
      <c r="C1038">
        <v>80</v>
      </c>
      <c r="D1038">
        <v>57.329509735000002</v>
      </c>
      <c r="E1038">
        <v>50</v>
      </c>
      <c r="F1038">
        <v>49.965415954999997</v>
      </c>
      <c r="G1038">
        <v>903.97137451000003</v>
      </c>
      <c r="H1038">
        <v>736.92242432</v>
      </c>
      <c r="I1038">
        <v>1957.4860839999999</v>
      </c>
      <c r="J1038">
        <v>1765.7861327999999</v>
      </c>
      <c r="K1038">
        <v>0</v>
      </c>
      <c r="L1038">
        <v>2400</v>
      </c>
      <c r="M1038">
        <v>2400</v>
      </c>
      <c r="N1038">
        <v>0</v>
      </c>
    </row>
    <row r="1039" spans="1:14" x14ac:dyDescent="0.25">
      <c r="A1039">
        <v>704.25383099999999</v>
      </c>
      <c r="B1039" s="1">
        <f>DATE(2012,4,4) + TIME(6,5,31)</f>
        <v>41003.253831018519</v>
      </c>
      <c r="C1039">
        <v>80</v>
      </c>
      <c r="D1039">
        <v>56.756439209</v>
      </c>
      <c r="E1039">
        <v>50</v>
      </c>
      <c r="F1039">
        <v>49.965549469000003</v>
      </c>
      <c r="G1039">
        <v>900.54870604999996</v>
      </c>
      <c r="H1039">
        <v>731.63214111000002</v>
      </c>
      <c r="I1039">
        <v>1957.0500488</v>
      </c>
      <c r="J1039">
        <v>1765.3502197</v>
      </c>
      <c r="K1039">
        <v>0</v>
      </c>
      <c r="L1039">
        <v>2400</v>
      </c>
      <c r="M1039">
        <v>2400</v>
      </c>
      <c r="N1039">
        <v>0</v>
      </c>
    </row>
    <row r="1040" spans="1:14" x14ac:dyDescent="0.25">
      <c r="A1040">
        <v>707.54841299999998</v>
      </c>
      <c r="B1040" s="1">
        <f>DATE(2012,4,7) + TIME(13,9,42)</f>
        <v>41006.548402777778</v>
      </c>
      <c r="C1040">
        <v>80</v>
      </c>
      <c r="D1040">
        <v>56.106796265</v>
      </c>
      <c r="E1040">
        <v>50</v>
      </c>
      <c r="F1040">
        <v>49.965667725000003</v>
      </c>
      <c r="G1040">
        <v>896.56896973000005</v>
      </c>
      <c r="H1040">
        <v>725.51983643000005</v>
      </c>
      <c r="I1040">
        <v>1956.6091309000001</v>
      </c>
      <c r="J1040">
        <v>1764.9094238</v>
      </c>
      <c r="K1040">
        <v>0</v>
      </c>
      <c r="L1040">
        <v>2400</v>
      </c>
      <c r="M1040">
        <v>2400</v>
      </c>
      <c r="N1040">
        <v>0</v>
      </c>
    </row>
    <row r="1041" spans="1:14" x14ac:dyDescent="0.25">
      <c r="A1041">
        <v>710.87400000000002</v>
      </c>
      <c r="B1041" s="1">
        <f>DATE(2012,4,10) + TIME(20,58,33)</f>
        <v>41009.873993055553</v>
      </c>
      <c r="C1041">
        <v>80</v>
      </c>
      <c r="D1041">
        <v>55.428798676</v>
      </c>
      <c r="E1041">
        <v>50</v>
      </c>
      <c r="F1041">
        <v>49.96578598</v>
      </c>
      <c r="G1041">
        <v>892.46911621000004</v>
      </c>
      <c r="H1041">
        <v>719.16467284999999</v>
      </c>
      <c r="I1041">
        <v>1956.1633300999999</v>
      </c>
      <c r="J1041">
        <v>1764.4637451000001</v>
      </c>
      <c r="K1041">
        <v>0</v>
      </c>
      <c r="L1041">
        <v>2400</v>
      </c>
      <c r="M1041">
        <v>2400</v>
      </c>
      <c r="N1041">
        <v>0</v>
      </c>
    </row>
    <row r="1042" spans="1:14" x14ac:dyDescent="0.25">
      <c r="A1042">
        <v>714.23395100000005</v>
      </c>
      <c r="B1042" s="1">
        <f>DATE(2012,4,14) + TIME(5,36,53)</f>
        <v>41013.233946759261</v>
      </c>
      <c r="C1042">
        <v>80</v>
      </c>
      <c r="D1042">
        <v>54.735988616999997</v>
      </c>
      <c r="E1042">
        <v>50</v>
      </c>
      <c r="F1042">
        <v>49.965904236</v>
      </c>
      <c r="G1042">
        <v>888.29364013999998</v>
      </c>
      <c r="H1042">
        <v>712.65332031000003</v>
      </c>
      <c r="I1042">
        <v>1955.7152100000001</v>
      </c>
      <c r="J1042">
        <v>1764.015625</v>
      </c>
      <c r="K1042">
        <v>0</v>
      </c>
      <c r="L1042">
        <v>2400</v>
      </c>
      <c r="M1042">
        <v>2400</v>
      </c>
      <c r="N1042">
        <v>0</v>
      </c>
    </row>
    <row r="1043" spans="1:14" x14ac:dyDescent="0.25">
      <c r="A1043">
        <v>717.62361699999997</v>
      </c>
      <c r="B1043" s="1">
        <f>DATE(2012,4,17) + TIME(14,58,0)</f>
        <v>41016.623611111114</v>
      </c>
      <c r="C1043">
        <v>80</v>
      </c>
      <c r="D1043">
        <v>54.031177520999996</v>
      </c>
      <c r="E1043">
        <v>50</v>
      </c>
      <c r="F1043">
        <v>49.966022490999997</v>
      </c>
      <c r="G1043">
        <v>884.05041503999996</v>
      </c>
      <c r="H1043">
        <v>706.00152588000003</v>
      </c>
      <c r="I1043">
        <v>1955.2662353999999</v>
      </c>
      <c r="J1043">
        <v>1763.5667725000001</v>
      </c>
      <c r="K1043">
        <v>0</v>
      </c>
      <c r="L1043">
        <v>2400</v>
      </c>
      <c r="M1043">
        <v>2400</v>
      </c>
      <c r="N1043">
        <v>0</v>
      </c>
    </row>
    <row r="1044" spans="1:14" x14ac:dyDescent="0.25">
      <c r="A1044">
        <v>721.04753400000004</v>
      </c>
      <c r="B1044" s="1">
        <f>DATE(2012,4,21) + TIME(1,8,26)</f>
        <v>41020.047523148147</v>
      </c>
      <c r="C1044">
        <v>80</v>
      </c>
      <c r="D1044">
        <v>53.317237853999998</v>
      </c>
      <c r="E1044">
        <v>50</v>
      </c>
      <c r="F1044">
        <v>49.966136931999998</v>
      </c>
      <c r="G1044">
        <v>879.75036621000004</v>
      </c>
      <c r="H1044">
        <v>699.22613524999997</v>
      </c>
      <c r="I1044">
        <v>1954.8161620999999</v>
      </c>
      <c r="J1044">
        <v>1763.1166992000001</v>
      </c>
      <c r="K1044">
        <v>0</v>
      </c>
      <c r="L1044">
        <v>2400</v>
      </c>
      <c r="M1044">
        <v>2400</v>
      </c>
      <c r="N1044">
        <v>0</v>
      </c>
    </row>
    <row r="1045" spans="1:14" x14ac:dyDescent="0.25">
      <c r="A1045">
        <v>724.50487799999996</v>
      </c>
      <c r="B1045" s="1">
        <f>DATE(2012,4,24) + TIME(12,7,1)</f>
        <v>41023.504872685182</v>
      </c>
      <c r="C1045">
        <v>80</v>
      </c>
      <c r="D1045">
        <v>52.595592498999999</v>
      </c>
      <c r="E1045">
        <v>50</v>
      </c>
      <c r="F1045">
        <v>49.966255187999998</v>
      </c>
      <c r="G1045">
        <v>875.39648437999995</v>
      </c>
      <c r="H1045">
        <v>692.33264159999999</v>
      </c>
      <c r="I1045">
        <v>1954.364624</v>
      </c>
      <c r="J1045">
        <v>1762.6652832</v>
      </c>
      <c r="K1045">
        <v>0</v>
      </c>
      <c r="L1045">
        <v>2400</v>
      </c>
      <c r="M1045">
        <v>2400</v>
      </c>
      <c r="N1045">
        <v>0</v>
      </c>
    </row>
    <row r="1046" spans="1:14" x14ac:dyDescent="0.25">
      <c r="A1046">
        <v>727.99313700000005</v>
      </c>
      <c r="B1046" s="1">
        <f>DATE(2012,4,27) + TIME(23,50,7)</f>
        <v>41026.993136574078</v>
      </c>
      <c r="C1046">
        <v>80</v>
      </c>
      <c r="D1046">
        <v>51.868568420000003</v>
      </c>
      <c r="E1046">
        <v>50</v>
      </c>
      <c r="F1046">
        <v>49.966373443999998</v>
      </c>
      <c r="G1046">
        <v>870.99658203000001</v>
      </c>
      <c r="H1046">
        <v>685.33325194999998</v>
      </c>
      <c r="I1046">
        <v>1953.9116211</v>
      </c>
      <c r="J1046">
        <v>1762.2122803</v>
      </c>
      <c r="K1046">
        <v>0</v>
      </c>
      <c r="L1046">
        <v>2400</v>
      </c>
      <c r="M1046">
        <v>2400</v>
      </c>
      <c r="N1046">
        <v>0</v>
      </c>
    </row>
    <row r="1047" spans="1:14" x14ac:dyDescent="0.25">
      <c r="A1047">
        <v>731</v>
      </c>
      <c r="B1047" s="1">
        <f>DATE(2012,5,1) + TIME(0,0,0)</f>
        <v>41030</v>
      </c>
      <c r="C1047">
        <v>80</v>
      </c>
      <c r="D1047">
        <v>51.159107208000002</v>
      </c>
      <c r="E1047">
        <v>50</v>
      </c>
      <c r="F1047">
        <v>49.966464995999999</v>
      </c>
      <c r="G1047">
        <v>866.66979979999996</v>
      </c>
      <c r="H1047">
        <v>678.42724609000004</v>
      </c>
      <c r="I1047">
        <v>1953.4998779</v>
      </c>
      <c r="J1047">
        <v>1761.8006591999999</v>
      </c>
      <c r="K1047">
        <v>0</v>
      </c>
      <c r="L1047">
        <v>2400</v>
      </c>
      <c r="M1047">
        <v>2400</v>
      </c>
      <c r="N1047">
        <v>0</v>
      </c>
    </row>
    <row r="1048" spans="1:14" x14ac:dyDescent="0.25">
      <c r="A1048">
        <v>731.000001</v>
      </c>
      <c r="B1048" s="1">
        <f>DATE(2012,5,1) + TIME(0,0,0)</f>
        <v>41030</v>
      </c>
      <c r="C1048">
        <v>80</v>
      </c>
      <c r="D1048">
        <v>51.159160614000001</v>
      </c>
      <c r="E1048">
        <v>50</v>
      </c>
      <c r="F1048">
        <v>49.966449738000001</v>
      </c>
      <c r="G1048">
        <v>1054.8742675999999</v>
      </c>
      <c r="H1048">
        <v>866.67962646000001</v>
      </c>
      <c r="I1048">
        <v>1761.7907714999999</v>
      </c>
      <c r="J1048">
        <v>1570.0900879000001</v>
      </c>
      <c r="K1048">
        <v>2400</v>
      </c>
      <c r="L1048">
        <v>0</v>
      </c>
      <c r="M1048">
        <v>0</v>
      </c>
      <c r="N1048">
        <v>2400</v>
      </c>
    </row>
    <row r="1049" spans="1:14" x14ac:dyDescent="0.25">
      <c r="A1049">
        <v>731.00000399999999</v>
      </c>
      <c r="B1049" s="1">
        <f>DATE(2012,5,1) + TIME(0,0,0)</f>
        <v>41030</v>
      </c>
      <c r="C1049">
        <v>80</v>
      </c>
      <c r="D1049">
        <v>51.159328461000001</v>
      </c>
      <c r="E1049">
        <v>50</v>
      </c>
      <c r="F1049">
        <v>49.966407775999997</v>
      </c>
      <c r="G1049">
        <v>1054.9033202999999</v>
      </c>
      <c r="H1049">
        <v>866.70904541000004</v>
      </c>
      <c r="I1049">
        <v>1761.7613524999999</v>
      </c>
      <c r="J1049">
        <v>1570.0604248</v>
      </c>
      <c r="K1049">
        <v>2400</v>
      </c>
      <c r="L1049">
        <v>0</v>
      </c>
      <c r="M1049">
        <v>0</v>
      </c>
      <c r="N1049">
        <v>2400</v>
      </c>
    </row>
    <row r="1050" spans="1:14" x14ac:dyDescent="0.25">
      <c r="A1050">
        <v>731.00001299999997</v>
      </c>
      <c r="B1050" s="1">
        <f>DATE(2012,5,1) + TIME(0,0,1)</f>
        <v>41030.000011574077</v>
      </c>
      <c r="C1050">
        <v>80</v>
      </c>
      <c r="D1050">
        <v>51.159835815000001</v>
      </c>
      <c r="E1050">
        <v>50</v>
      </c>
      <c r="F1050">
        <v>49.966274261000002</v>
      </c>
      <c r="G1050">
        <v>1054.9906006000001</v>
      </c>
      <c r="H1050">
        <v>866.79736328000001</v>
      </c>
      <c r="I1050">
        <v>1761.6729736</v>
      </c>
      <c r="J1050">
        <v>1569.9716797000001</v>
      </c>
      <c r="K1050">
        <v>2400</v>
      </c>
      <c r="L1050">
        <v>0</v>
      </c>
      <c r="M1050">
        <v>0</v>
      </c>
      <c r="N1050">
        <v>2400</v>
      </c>
    </row>
    <row r="1051" spans="1:14" x14ac:dyDescent="0.25">
      <c r="A1051">
        <v>731.00004000000001</v>
      </c>
      <c r="B1051" s="1">
        <f>DATE(2012,5,1) + TIME(0,0,3)</f>
        <v>41030.000034722223</v>
      </c>
      <c r="C1051">
        <v>80</v>
      </c>
      <c r="D1051">
        <v>51.161354064999998</v>
      </c>
      <c r="E1051">
        <v>50</v>
      </c>
      <c r="F1051">
        <v>49.965873717999997</v>
      </c>
      <c r="G1051">
        <v>1055.2518310999999</v>
      </c>
      <c r="H1051">
        <v>867.06219481999995</v>
      </c>
      <c r="I1051">
        <v>1761.4080810999999</v>
      </c>
      <c r="J1051">
        <v>1569.7054443</v>
      </c>
      <c r="K1051">
        <v>2400</v>
      </c>
      <c r="L1051">
        <v>0</v>
      </c>
      <c r="M1051">
        <v>0</v>
      </c>
      <c r="N1051">
        <v>2400</v>
      </c>
    </row>
    <row r="1052" spans="1:14" x14ac:dyDescent="0.25">
      <c r="A1052">
        <v>731.00012100000004</v>
      </c>
      <c r="B1052" s="1">
        <f>DATE(2012,5,1) + TIME(0,0,10)</f>
        <v>41030.000115740739</v>
      </c>
      <c r="C1052">
        <v>80</v>
      </c>
      <c r="D1052">
        <v>51.165908813000001</v>
      </c>
      <c r="E1052">
        <v>50</v>
      </c>
      <c r="F1052">
        <v>49.964675903</v>
      </c>
      <c r="G1052">
        <v>1056.0327147999999</v>
      </c>
      <c r="H1052">
        <v>867.85546875</v>
      </c>
      <c r="I1052">
        <v>1760.6166992000001</v>
      </c>
      <c r="J1052">
        <v>1568.9100341999999</v>
      </c>
      <c r="K1052">
        <v>2400</v>
      </c>
      <c r="L1052">
        <v>0</v>
      </c>
      <c r="M1052">
        <v>0</v>
      </c>
      <c r="N1052">
        <v>2400</v>
      </c>
    </row>
    <row r="1053" spans="1:14" x14ac:dyDescent="0.25">
      <c r="A1053">
        <v>731.00036399999999</v>
      </c>
      <c r="B1053" s="1">
        <f>DATE(2012,5,1) + TIME(0,0,31)</f>
        <v>41030.000358796293</v>
      </c>
      <c r="C1053">
        <v>80</v>
      </c>
      <c r="D1053">
        <v>51.179561614999997</v>
      </c>
      <c r="E1053">
        <v>50</v>
      </c>
      <c r="F1053">
        <v>49.961128234999997</v>
      </c>
      <c r="G1053">
        <v>1058.3480225000001</v>
      </c>
      <c r="H1053">
        <v>870.22125243999994</v>
      </c>
      <c r="I1053">
        <v>1758.2691649999999</v>
      </c>
      <c r="J1053">
        <v>1566.5507812000001</v>
      </c>
      <c r="K1053">
        <v>2400</v>
      </c>
      <c r="L1053">
        <v>0</v>
      </c>
      <c r="M1053">
        <v>0</v>
      </c>
      <c r="N1053">
        <v>2400</v>
      </c>
    </row>
    <row r="1054" spans="1:14" x14ac:dyDescent="0.25">
      <c r="A1054">
        <v>731.00109299999997</v>
      </c>
      <c r="B1054" s="1">
        <f>DATE(2012,5,1) + TIME(0,1,34)</f>
        <v>41030.001087962963</v>
      </c>
      <c r="C1054">
        <v>80</v>
      </c>
      <c r="D1054">
        <v>51.220321654999999</v>
      </c>
      <c r="E1054">
        <v>50</v>
      </c>
      <c r="F1054">
        <v>49.950843810999999</v>
      </c>
      <c r="G1054">
        <v>1065.0584716999999</v>
      </c>
      <c r="H1054">
        <v>877.15380859000004</v>
      </c>
      <c r="I1054">
        <v>1751.4570312000001</v>
      </c>
      <c r="J1054">
        <v>1559.7053223</v>
      </c>
      <c r="K1054">
        <v>2400</v>
      </c>
      <c r="L1054">
        <v>0</v>
      </c>
      <c r="M1054">
        <v>0</v>
      </c>
      <c r="N1054">
        <v>2400</v>
      </c>
    </row>
    <row r="1055" spans="1:14" x14ac:dyDescent="0.25">
      <c r="A1055">
        <v>731.00328000000002</v>
      </c>
      <c r="B1055" s="1">
        <f>DATE(2012,5,1) + TIME(0,4,43)</f>
        <v>41030.003275462965</v>
      </c>
      <c r="C1055">
        <v>80</v>
      </c>
      <c r="D1055">
        <v>51.339309692</v>
      </c>
      <c r="E1055">
        <v>50</v>
      </c>
      <c r="F1055">
        <v>49.922729492000002</v>
      </c>
      <c r="G1055">
        <v>1083.3386230000001</v>
      </c>
      <c r="H1055">
        <v>896.25164795000001</v>
      </c>
      <c r="I1055">
        <v>1732.8530272999999</v>
      </c>
      <c r="J1055">
        <v>1541.0123291</v>
      </c>
      <c r="K1055">
        <v>2400</v>
      </c>
      <c r="L1055">
        <v>0</v>
      </c>
      <c r="M1055">
        <v>0</v>
      </c>
      <c r="N1055">
        <v>2400</v>
      </c>
    </row>
    <row r="1056" spans="1:14" x14ac:dyDescent="0.25">
      <c r="A1056">
        <v>731.00984100000005</v>
      </c>
      <c r="B1056" s="1">
        <f>DATE(2012,5,1) + TIME(0,14,10)</f>
        <v>41030.009837962964</v>
      </c>
      <c r="C1056">
        <v>80</v>
      </c>
      <c r="D1056">
        <v>51.671798705999997</v>
      </c>
      <c r="E1056">
        <v>50</v>
      </c>
      <c r="F1056">
        <v>49.856376648000001</v>
      </c>
      <c r="G1056">
        <v>1126.2408447</v>
      </c>
      <c r="H1056">
        <v>941.09802246000004</v>
      </c>
      <c r="I1056">
        <v>1688.9495850000001</v>
      </c>
      <c r="J1056">
        <v>1496.9036865</v>
      </c>
      <c r="K1056">
        <v>2400</v>
      </c>
      <c r="L1056">
        <v>0</v>
      </c>
      <c r="M1056">
        <v>0</v>
      </c>
      <c r="N1056">
        <v>2400</v>
      </c>
    </row>
    <row r="1057" spans="1:14" x14ac:dyDescent="0.25">
      <c r="A1057">
        <v>731.02952400000004</v>
      </c>
      <c r="B1057" s="1">
        <f>DATE(2012,5,1) + TIME(0,42,30)</f>
        <v>41030.029513888891</v>
      </c>
      <c r="C1057">
        <v>80</v>
      </c>
      <c r="D1057">
        <v>52.548713683999999</v>
      </c>
      <c r="E1057">
        <v>50</v>
      </c>
      <c r="F1057">
        <v>49.736854553000001</v>
      </c>
      <c r="G1057">
        <v>1202.3297118999999</v>
      </c>
      <c r="H1057">
        <v>1020.0997314</v>
      </c>
      <c r="I1057">
        <v>1609.7752685999999</v>
      </c>
      <c r="J1057">
        <v>1417.3671875</v>
      </c>
      <c r="K1057">
        <v>2400</v>
      </c>
      <c r="L1057">
        <v>0</v>
      </c>
      <c r="M1057">
        <v>0</v>
      </c>
      <c r="N1057">
        <v>2400</v>
      </c>
    </row>
    <row r="1058" spans="1:14" x14ac:dyDescent="0.25">
      <c r="A1058">
        <v>731.05157999999994</v>
      </c>
      <c r="B1058" s="1">
        <f>DATE(2012,5,1) + TIME(1,14,16)</f>
        <v>41030.051574074074</v>
      </c>
      <c r="C1058">
        <v>80</v>
      </c>
      <c r="D1058">
        <v>53.431186676000003</v>
      </c>
      <c r="E1058">
        <v>50</v>
      </c>
      <c r="F1058">
        <v>49.652973175</v>
      </c>
      <c r="G1058">
        <v>1254.8198242000001</v>
      </c>
      <c r="H1058">
        <v>1074.6816406</v>
      </c>
      <c r="I1058">
        <v>1553.6988524999999</v>
      </c>
      <c r="J1058">
        <v>1361.0404053</v>
      </c>
      <c r="K1058">
        <v>2400</v>
      </c>
      <c r="L1058">
        <v>0</v>
      </c>
      <c r="M1058">
        <v>0</v>
      </c>
      <c r="N1058">
        <v>2400</v>
      </c>
    </row>
    <row r="1059" spans="1:14" x14ac:dyDescent="0.25">
      <c r="A1059">
        <v>731.07554500000003</v>
      </c>
      <c r="B1059" s="1">
        <f>DATE(2012,5,1) + TIME(1,48,47)</f>
        <v>41030.075543981482</v>
      </c>
      <c r="C1059">
        <v>80</v>
      </c>
      <c r="D1059">
        <v>54.318435669000003</v>
      </c>
      <c r="E1059">
        <v>50</v>
      </c>
      <c r="F1059">
        <v>49.592735290999997</v>
      </c>
      <c r="G1059">
        <v>1292.1976318</v>
      </c>
      <c r="H1059">
        <v>1114.0065918</v>
      </c>
      <c r="I1059">
        <v>1512.5515137</v>
      </c>
      <c r="J1059">
        <v>1319.7158202999999</v>
      </c>
      <c r="K1059">
        <v>2400</v>
      </c>
      <c r="L1059">
        <v>0</v>
      </c>
      <c r="M1059">
        <v>0</v>
      </c>
      <c r="N1059">
        <v>2400</v>
      </c>
    </row>
    <row r="1060" spans="1:14" x14ac:dyDescent="0.25">
      <c r="A1060">
        <v>731.101091</v>
      </c>
      <c r="B1060" s="1">
        <f>DATE(2012,5,1) + TIME(2,25,34)</f>
        <v>41030.101087962961</v>
      </c>
      <c r="C1060">
        <v>80</v>
      </c>
      <c r="D1060">
        <v>55.207809447999999</v>
      </c>
      <c r="E1060">
        <v>50</v>
      </c>
      <c r="F1060">
        <v>49.547775268999999</v>
      </c>
      <c r="G1060">
        <v>1320.0690918</v>
      </c>
      <c r="H1060">
        <v>1143.8475341999999</v>
      </c>
      <c r="I1060">
        <v>1480.9234618999999</v>
      </c>
      <c r="J1060">
        <v>1287.9580077999999</v>
      </c>
      <c r="K1060">
        <v>2400</v>
      </c>
      <c r="L1060">
        <v>0</v>
      </c>
      <c r="M1060">
        <v>0</v>
      </c>
      <c r="N1060">
        <v>2400</v>
      </c>
    </row>
    <row r="1061" spans="1:14" x14ac:dyDescent="0.25">
      <c r="A1061">
        <v>731.12796500000002</v>
      </c>
      <c r="B1061" s="1">
        <f>DATE(2012,5,1) + TIME(3,4,16)</f>
        <v>41030.127962962964</v>
      </c>
      <c r="C1061">
        <v>80</v>
      </c>
      <c r="D1061">
        <v>56.095142365000001</v>
      </c>
      <c r="E1061">
        <v>50</v>
      </c>
      <c r="F1061">
        <v>49.512886047000002</v>
      </c>
      <c r="G1061">
        <v>1341.8017577999999</v>
      </c>
      <c r="H1061">
        <v>1167.5765381000001</v>
      </c>
      <c r="I1061">
        <v>1455.5432129000001</v>
      </c>
      <c r="J1061">
        <v>1262.479126</v>
      </c>
      <c r="K1061">
        <v>2400</v>
      </c>
      <c r="L1061">
        <v>0</v>
      </c>
      <c r="M1061">
        <v>0</v>
      </c>
      <c r="N1061">
        <v>2400</v>
      </c>
    </row>
    <row r="1062" spans="1:14" x14ac:dyDescent="0.25">
      <c r="A1062">
        <v>731.15601400000003</v>
      </c>
      <c r="B1062" s="1">
        <f>DATE(2012,5,1) + TIME(3,44,39)</f>
        <v>41030.156006944446</v>
      </c>
      <c r="C1062">
        <v>80</v>
      </c>
      <c r="D1062">
        <v>56.977302551000001</v>
      </c>
      <c r="E1062">
        <v>50</v>
      </c>
      <c r="F1062">
        <v>49.484855652</v>
      </c>
      <c r="G1062">
        <v>1359.4130858999999</v>
      </c>
      <c r="H1062">
        <v>1187.1857910000001</v>
      </c>
      <c r="I1062">
        <v>1434.4238281</v>
      </c>
      <c r="J1062">
        <v>1241.2823486</v>
      </c>
      <c r="K1062">
        <v>2400</v>
      </c>
      <c r="L1062">
        <v>0</v>
      </c>
      <c r="M1062">
        <v>0</v>
      </c>
      <c r="N1062">
        <v>2400</v>
      </c>
    </row>
    <row r="1063" spans="1:14" x14ac:dyDescent="0.25">
      <c r="A1063">
        <v>731.185158</v>
      </c>
      <c r="B1063" s="1">
        <f>DATE(2012,5,1) + TIME(4,26,37)</f>
        <v>41030.185150462959</v>
      </c>
      <c r="C1063">
        <v>80</v>
      </c>
      <c r="D1063">
        <v>57.852294921999999</v>
      </c>
      <c r="E1063">
        <v>50</v>
      </c>
      <c r="F1063">
        <v>49.461688995000003</v>
      </c>
      <c r="G1063">
        <v>1374.1385498</v>
      </c>
      <c r="H1063">
        <v>1203.8896483999999</v>
      </c>
      <c r="I1063">
        <v>1416.3326416</v>
      </c>
      <c r="J1063">
        <v>1223.1290283000001</v>
      </c>
      <c r="K1063">
        <v>2400</v>
      </c>
      <c r="L1063">
        <v>0</v>
      </c>
      <c r="M1063">
        <v>0</v>
      </c>
      <c r="N1063">
        <v>2400</v>
      </c>
    </row>
    <row r="1064" spans="1:14" x14ac:dyDescent="0.25">
      <c r="A1064">
        <v>731.21536700000001</v>
      </c>
      <c r="B1064" s="1">
        <f>DATE(2012,5,1) + TIME(5,10,7)</f>
        <v>41030.215358796297</v>
      </c>
      <c r="C1064">
        <v>80</v>
      </c>
      <c r="D1064">
        <v>58.718860626000001</v>
      </c>
      <c r="E1064">
        <v>50</v>
      </c>
      <c r="F1064">
        <v>49.442089080999999</v>
      </c>
      <c r="G1064">
        <v>1386.7630615</v>
      </c>
      <c r="H1064">
        <v>1218.4592285000001</v>
      </c>
      <c r="I1064">
        <v>1400.4781493999999</v>
      </c>
      <c r="J1064">
        <v>1207.2236327999999</v>
      </c>
      <c r="K1064">
        <v>2400</v>
      </c>
      <c r="L1064">
        <v>0</v>
      </c>
      <c r="M1064">
        <v>0</v>
      </c>
      <c r="N1064">
        <v>2400</v>
      </c>
    </row>
    <row r="1065" spans="1:14" x14ac:dyDescent="0.25">
      <c r="A1065">
        <v>731.24664099999995</v>
      </c>
      <c r="B1065" s="1">
        <f>DATE(2012,5,1) + TIME(5,55,9)</f>
        <v>41030.246631944443</v>
      </c>
      <c r="C1065">
        <v>80</v>
      </c>
      <c r="D1065">
        <v>59.576194762999997</v>
      </c>
      <c r="E1065">
        <v>50</v>
      </c>
      <c r="F1065">
        <v>49.425186156999999</v>
      </c>
      <c r="G1065">
        <v>1397.8067627</v>
      </c>
      <c r="H1065">
        <v>1231.4066161999999</v>
      </c>
      <c r="I1065">
        <v>1386.3312988</v>
      </c>
      <c r="J1065">
        <v>1193.0344238</v>
      </c>
      <c r="K1065">
        <v>2400</v>
      </c>
      <c r="L1065">
        <v>0</v>
      </c>
      <c r="M1065">
        <v>0</v>
      </c>
      <c r="N1065">
        <v>2400</v>
      </c>
    </row>
    <row r="1066" spans="1:14" x14ac:dyDescent="0.25">
      <c r="A1066">
        <v>731.27901599999996</v>
      </c>
      <c r="B1066" s="1">
        <f>DATE(2012,5,1) + TIME(6,41,47)</f>
        <v>41030.279016203705</v>
      </c>
      <c r="C1066">
        <v>80</v>
      </c>
      <c r="D1066">
        <v>60.423755645999996</v>
      </c>
      <c r="E1066">
        <v>50</v>
      </c>
      <c r="F1066">
        <v>49.410377502000003</v>
      </c>
      <c r="G1066">
        <v>1407.6324463000001</v>
      </c>
      <c r="H1066">
        <v>1243.0905762</v>
      </c>
      <c r="I1066">
        <v>1373.5195312000001</v>
      </c>
      <c r="J1066">
        <v>1180.1871338000001</v>
      </c>
      <c r="K1066">
        <v>2400</v>
      </c>
      <c r="L1066">
        <v>0</v>
      </c>
      <c r="M1066">
        <v>0</v>
      </c>
      <c r="N1066">
        <v>2400</v>
      </c>
    </row>
    <row r="1067" spans="1:14" x14ac:dyDescent="0.25">
      <c r="A1067">
        <v>731.31252400000005</v>
      </c>
      <c r="B1067" s="1">
        <f>DATE(2012,5,1) + TIME(7,30,2)</f>
        <v>41030.312523148146</v>
      </c>
      <c r="C1067">
        <v>80</v>
      </c>
      <c r="D1067">
        <v>61.260944365999997</v>
      </c>
      <c r="E1067">
        <v>50</v>
      </c>
      <c r="F1067">
        <v>49.397220611999998</v>
      </c>
      <c r="G1067">
        <v>1416.4962158000001</v>
      </c>
      <c r="H1067">
        <v>1253.7645264</v>
      </c>
      <c r="I1067">
        <v>1361.7803954999999</v>
      </c>
      <c r="J1067">
        <v>1168.4177245999999</v>
      </c>
      <c r="K1067">
        <v>2400</v>
      </c>
      <c r="L1067">
        <v>0</v>
      </c>
      <c r="M1067">
        <v>0</v>
      </c>
      <c r="N1067">
        <v>2400</v>
      </c>
    </row>
    <row r="1068" spans="1:14" x14ac:dyDescent="0.25">
      <c r="A1068">
        <v>731.34721300000001</v>
      </c>
      <c r="B1068" s="1">
        <f>DATE(2012,5,1) + TIME(8,19,59)</f>
        <v>41030.347210648149</v>
      </c>
      <c r="C1068">
        <v>80</v>
      </c>
      <c r="D1068">
        <v>62.087600707999997</v>
      </c>
      <c r="E1068">
        <v>50</v>
      </c>
      <c r="F1068">
        <v>49.385391235</v>
      </c>
      <c r="G1068">
        <v>1424.5882568</v>
      </c>
      <c r="H1068">
        <v>1263.6177978999999</v>
      </c>
      <c r="I1068">
        <v>1350.9174805</v>
      </c>
      <c r="J1068">
        <v>1157.5290527</v>
      </c>
      <c r="K1068">
        <v>2400</v>
      </c>
      <c r="L1068">
        <v>0</v>
      </c>
      <c r="M1068">
        <v>0</v>
      </c>
      <c r="N1068">
        <v>2400</v>
      </c>
    </row>
    <row r="1069" spans="1:14" x14ac:dyDescent="0.25">
      <c r="A1069">
        <v>731.38313900000003</v>
      </c>
      <c r="B1069" s="1">
        <f>DATE(2012,5,1) + TIME(9,11,43)</f>
        <v>41030.383136574077</v>
      </c>
      <c r="C1069">
        <v>80</v>
      </c>
      <c r="D1069">
        <v>62.903293609999999</v>
      </c>
      <c r="E1069">
        <v>50</v>
      </c>
      <c r="F1069">
        <v>49.374637604</v>
      </c>
      <c r="G1069">
        <v>1432.0533447</v>
      </c>
      <c r="H1069">
        <v>1272.7951660000001</v>
      </c>
      <c r="I1069">
        <v>1340.7811279</v>
      </c>
      <c r="J1069">
        <v>1147.3704834</v>
      </c>
      <c r="K1069">
        <v>2400</v>
      </c>
      <c r="L1069">
        <v>0</v>
      </c>
      <c r="M1069">
        <v>0</v>
      </c>
      <c r="N1069">
        <v>2400</v>
      </c>
    </row>
    <row r="1070" spans="1:14" x14ac:dyDescent="0.25">
      <c r="A1070">
        <v>731.42037900000003</v>
      </c>
      <c r="B1070" s="1">
        <f>DATE(2012,5,1) + TIME(10,5,20)</f>
        <v>41030.420370370368</v>
      </c>
      <c r="C1070">
        <v>80</v>
      </c>
      <c r="D1070">
        <v>63.707813262999998</v>
      </c>
      <c r="E1070">
        <v>50</v>
      </c>
      <c r="F1070">
        <v>49.364757537999999</v>
      </c>
      <c r="G1070">
        <v>1439.0061035000001</v>
      </c>
      <c r="H1070">
        <v>1281.4112548999999</v>
      </c>
      <c r="I1070">
        <v>1331.2519531</v>
      </c>
      <c r="J1070">
        <v>1137.8221435999999</v>
      </c>
      <c r="K1070">
        <v>2400</v>
      </c>
      <c r="L1070">
        <v>0</v>
      </c>
      <c r="M1070">
        <v>0</v>
      </c>
      <c r="N1070">
        <v>2400</v>
      </c>
    </row>
    <row r="1071" spans="1:14" x14ac:dyDescent="0.25">
      <c r="A1071">
        <v>731.45901900000001</v>
      </c>
      <c r="B1071" s="1">
        <f>DATE(2012,5,1) + TIME(11,0,59)</f>
        <v>41030.459016203706</v>
      </c>
      <c r="C1071">
        <v>80</v>
      </c>
      <c r="D1071">
        <v>64.500953674000002</v>
      </c>
      <c r="E1071">
        <v>50</v>
      </c>
      <c r="F1071">
        <v>49.355590820000003</v>
      </c>
      <c r="G1071">
        <v>1445.5375977000001</v>
      </c>
      <c r="H1071">
        <v>1289.5582274999999</v>
      </c>
      <c r="I1071">
        <v>1322.2344971</v>
      </c>
      <c r="J1071">
        <v>1128.7879639</v>
      </c>
      <c r="K1071">
        <v>2400</v>
      </c>
      <c r="L1071">
        <v>0</v>
      </c>
      <c r="M1071">
        <v>0</v>
      </c>
      <c r="N1071">
        <v>2400</v>
      </c>
    </row>
    <row r="1072" spans="1:14" x14ac:dyDescent="0.25">
      <c r="A1072">
        <v>731.49916199999996</v>
      </c>
      <c r="B1072" s="1">
        <f>DATE(2012,5,1) + TIME(11,58,47)</f>
        <v>41030.499155092592</v>
      </c>
      <c r="C1072">
        <v>80</v>
      </c>
      <c r="D1072">
        <v>65.282608031999999</v>
      </c>
      <c r="E1072">
        <v>50</v>
      </c>
      <c r="F1072">
        <v>49.347000121999997</v>
      </c>
      <c r="G1072">
        <v>1451.7219238</v>
      </c>
      <c r="H1072">
        <v>1297.3112793</v>
      </c>
      <c r="I1072">
        <v>1313.6507568</v>
      </c>
      <c r="J1072">
        <v>1120.1896973</v>
      </c>
      <c r="K1072">
        <v>2400</v>
      </c>
      <c r="L1072">
        <v>0</v>
      </c>
      <c r="M1072">
        <v>0</v>
      </c>
      <c r="N1072">
        <v>2400</v>
      </c>
    </row>
    <row r="1073" spans="1:14" x14ac:dyDescent="0.25">
      <c r="A1073">
        <v>731.54092200000002</v>
      </c>
      <c r="B1073" s="1">
        <f>DATE(2012,5,1) + TIME(12,58,55)</f>
        <v>41030.540914351855</v>
      </c>
      <c r="C1073">
        <v>80</v>
      </c>
      <c r="D1073">
        <v>66.052612304999997</v>
      </c>
      <c r="E1073">
        <v>50</v>
      </c>
      <c r="F1073">
        <v>49.338874816999997</v>
      </c>
      <c r="G1073">
        <v>1457.6206055</v>
      </c>
      <c r="H1073">
        <v>1304.7330322</v>
      </c>
      <c r="I1073">
        <v>1305.4359131000001</v>
      </c>
      <c r="J1073">
        <v>1111.9621582</v>
      </c>
      <c r="K1073">
        <v>2400</v>
      </c>
      <c r="L1073">
        <v>0</v>
      </c>
      <c r="M1073">
        <v>0</v>
      </c>
      <c r="N1073">
        <v>2400</v>
      </c>
    </row>
    <row r="1074" spans="1:14" x14ac:dyDescent="0.25">
      <c r="A1074">
        <v>731.58443299999999</v>
      </c>
      <c r="B1074" s="1">
        <f>DATE(2012,5,1) + TIME(14,1,34)</f>
        <v>41030.584421296298</v>
      </c>
      <c r="C1074">
        <v>80</v>
      </c>
      <c r="D1074">
        <v>66.810691833000007</v>
      </c>
      <c r="E1074">
        <v>50</v>
      </c>
      <c r="F1074">
        <v>49.331111907999997</v>
      </c>
      <c r="G1074">
        <v>1463.2854004000001</v>
      </c>
      <c r="H1074">
        <v>1311.8767089999999</v>
      </c>
      <c r="I1074">
        <v>1297.5350341999999</v>
      </c>
      <c r="J1074">
        <v>1104.0500488</v>
      </c>
      <c r="K1074">
        <v>2400</v>
      </c>
      <c r="L1074">
        <v>0</v>
      </c>
      <c r="M1074">
        <v>0</v>
      </c>
      <c r="N1074">
        <v>2400</v>
      </c>
    </row>
    <row r="1075" spans="1:14" x14ac:dyDescent="0.25">
      <c r="A1075">
        <v>731.62984500000005</v>
      </c>
      <c r="B1075" s="1">
        <f>DATE(2012,5,1) + TIME(15,6,58)</f>
        <v>41030.629837962966</v>
      </c>
      <c r="C1075">
        <v>80</v>
      </c>
      <c r="D1075">
        <v>67.556617736999996</v>
      </c>
      <c r="E1075">
        <v>50</v>
      </c>
      <c r="F1075">
        <v>49.323631286999998</v>
      </c>
      <c r="G1075">
        <v>1468.7609863</v>
      </c>
      <c r="H1075">
        <v>1318.7878418</v>
      </c>
      <c r="I1075">
        <v>1289.9007568</v>
      </c>
      <c r="J1075">
        <v>1096.4060059000001</v>
      </c>
      <c r="K1075">
        <v>2400</v>
      </c>
      <c r="L1075">
        <v>0</v>
      </c>
      <c r="M1075">
        <v>0</v>
      </c>
      <c r="N1075">
        <v>2400</v>
      </c>
    </row>
    <row r="1076" spans="1:14" x14ac:dyDescent="0.25">
      <c r="A1076">
        <v>731.67734499999995</v>
      </c>
      <c r="B1076" s="1">
        <f>DATE(2012,5,1) + TIME(16,15,22)</f>
        <v>41030.677337962959</v>
      </c>
      <c r="C1076">
        <v>80</v>
      </c>
      <c r="D1076">
        <v>68.290382385000001</v>
      </c>
      <c r="E1076">
        <v>50</v>
      </c>
      <c r="F1076">
        <v>49.316345214999998</v>
      </c>
      <c r="G1076">
        <v>1474.0877685999999</v>
      </c>
      <c r="H1076">
        <v>1325.5084228999999</v>
      </c>
      <c r="I1076">
        <v>1282.4897461</v>
      </c>
      <c r="J1076">
        <v>1088.9862060999999</v>
      </c>
      <c r="K1076">
        <v>2400</v>
      </c>
      <c r="L1076">
        <v>0</v>
      </c>
      <c r="M1076">
        <v>0</v>
      </c>
      <c r="N1076">
        <v>2400</v>
      </c>
    </row>
    <row r="1077" spans="1:14" x14ac:dyDescent="0.25">
      <c r="A1077">
        <v>731.72714800000006</v>
      </c>
      <c r="B1077" s="1">
        <f>DATE(2012,5,1) + TIME(17,27,5)</f>
        <v>41030.727141203701</v>
      </c>
      <c r="C1077">
        <v>80</v>
      </c>
      <c r="D1077">
        <v>69.011901855000005</v>
      </c>
      <c r="E1077">
        <v>50</v>
      </c>
      <c r="F1077">
        <v>49.309185028000002</v>
      </c>
      <c r="G1077">
        <v>1479.3017577999999</v>
      </c>
      <c r="H1077">
        <v>1332.0761719</v>
      </c>
      <c r="I1077">
        <v>1275.2633057</v>
      </c>
      <c r="J1077">
        <v>1081.7519531</v>
      </c>
      <c r="K1077">
        <v>2400</v>
      </c>
      <c r="L1077">
        <v>0</v>
      </c>
      <c r="M1077">
        <v>0</v>
      </c>
      <c r="N1077">
        <v>2400</v>
      </c>
    </row>
    <row r="1078" spans="1:14" x14ac:dyDescent="0.25">
      <c r="A1078">
        <v>731.77946699999995</v>
      </c>
      <c r="B1078" s="1">
        <f>DATE(2012,5,1) + TIME(18,42,25)</f>
        <v>41030.779456018521</v>
      </c>
      <c r="C1078">
        <v>80</v>
      </c>
      <c r="D1078">
        <v>69.720596313000001</v>
      </c>
      <c r="E1078">
        <v>50</v>
      </c>
      <c r="F1078">
        <v>49.302085876</v>
      </c>
      <c r="G1078">
        <v>1484.4324951000001</v>
      </c>
      <c r="H1078">
        <v>1338.520874</v>
      </c>
      <c r="I1078">
        <v>1268.190918</v>
      </c>
      <c r="J1078">
        <v>1074.6724853999999</v>
      </c>
      <c r="K1078">
        <v>2400</v>
      </c>
      <c r="L1078">
        <v>0</v>
      </c>
      <c r="M1078">
        <v>0</v>
      </c>
      <c r="N1078">
        <v>2400</v>
      </c>
    </row>
    <row r="1079" spans="1:14" x14ac:dyDescent="0.25">
      <c r="A1079">
        <v>731.83457199999998</v>
      </c>
      <c r="B1079" s="1">
        <f>DATE(2012,5,1) + TIME(20,1,47)</f>
        <v>41030.83457175926</v>
      </c>
      <c r="C1079">
        <v>80</v>
      </c>
      <c r="D1079">
        <v>70.415885924999998</v>
      </c>
      <c r="E1079">
        <v>50</v>
      </c>
      <c r="F1079">
        <v>49.294979095000002</v>
      </c>
      <c r="G1079">
        <v>1489.5100098</v>
      </c>
      <c r="H1079">
        <v>1344.8736572</v>
      </c>
      <c r="I1079">
        <v>1261.2409668</v>
      </c>
      <c r="J1079">
        <v>1067.7160644999999</v>
      </c>
      <c r="K1079">
        <v>2400</v>
      </c>
      <c r="L1079">
        <v>0</v>
      </c>
      <c r="M1079">
        <v>0</v>
      </c>
      <c r="N1079">
        <v>2400</v>
      </c>
    </row>
    <row r="1080" spans="1:14" x14ac:dyDescent="0.25">
      <c r="A1080">
        <v>731.89278300000001</v>
      </c>
      <c r="B1080" s="1">
        <f>DATE(2012,5,1) + TIME(21,25,36)</f>
        <v>41030.892777777779</v>
      </c>
      <c r="C1080">
        <v>80</v>
      </c>
      <c r="D1080">
        <v>71.097541809000006</v>
      </c>
      <c r="E1080">
        <v>50</v>
      </c>
      <c r="F1080">
        <v>49.287799835000001</v>
      </c>
      <c r="G1080">
        <v>1494.5628661999999</v>
      </c>
      <c r="H1080">
        <v>1351.1641846</v>
      </c>
      <c r="I1080">
        <v>1254.3834228999999</v>
      </c>
      <c r="J1080">
        <v>1060.8525391000001</v>
      </c>
      <c r="K1080">
        <v>2400</v>
      </c>
      <c r="L1080">
        <v>0</v>
      </c>
      <c r="M1080">
        <v>0</v>
      </c>
      <c r="N1080">
        <v>2400</v>
      </c>
    </row>
    <row r="1081" spans="1:14" x14ac:dyDescent="0.25">
      <c r="A1081">
        <v>731.954477</v>
      </c>
      <c r="B1081" s="1">
        <f>DATE(2012,5,1) + TIME(22,54,26)</f>
        <v>41030.954467592594</v>
      </c>
      <c r="C1081">
        <v>80</v>
      </c>
      <c r="D1081">
        <v>71.765380859000004</v>
      </c>
      <c r="E1081">
        <v>50</v>
      </c>
      <c r="F1081">
        <v>49.280475615999997</v>
      </c>
      <c r="G1081">
        <v>1499.6193848</v>
      </c>
      <c r="H1081">
        <v>1357.4216309000001</v>
      </c>
      <c r="I1081">
        <v>1247.5886230000001</v>
      </c>
      <c r="J1081">
        <v>1054.052124</v>
      </c>
      <c r="K1081">
        <v>2400</v>
      </c>
      <c r="L1081">
        <v>0</v>
      </c>
      <c r="M1081">
        <v>0</v>
      </c>
      <c r="N1081">
        <v>2400</v>
      </c>
    </row>
    <row r="1082" spans="1:14" x14ac:dyDescent="0.25">
      <c r="A1082">
        <v>732.02008799999999</v>
      </c>
      <c r="B1082" s="1">
        <f>DATE(2012,5,2) + TIME(0,28,55)</f>
        <v>41031.02008101852</v>
      </c>
      <c r="C1082">
        <v>80</v>
      </c>
      <c r="D1082">
        <v>72.418876647999994</v>
      </c>
      <c r="E1082">
        <v>50</v>
      </c>
      <c r="F1082">
        <v>49.272937775000003</v>
      </c>
      <c r="G1082">
        <v>1504.7070312000001</v>
      </c>
      <c r="H1082">
        <v>1363.6741943</v>
      </c>
      <c r="I1082">
        <v>1240.8286132999999</v>
      </c>
      <c r="J1082">
        <v>1047.2867432</v>
      </c>
      <c r="K1082">
        <v>2400</v>
      </c>
      <c r="L1082">
        <v>0</v>
      </c>
      <c r="M1082">
        <v>0</v>
      </c>
      <c r="N1082">
        <v>2400</v>
      </c>
    </row>
    <row r="1083" spans="1:14" x14ac:dyDescent="0.25">
      <c r="A1083">
        <v>732.09017400000005</v>
      </c>
      <c r="B1083" s="1">
        <f>DATE(2012,5,2) + TIME(2,9,51)</f>
        <v>41031.090173611112</v>
      </c>
      <c r="C1083">
        <v>80</v>
      </c>
      <c r="D1083">
        <v>73.057701111</v>
      </c>
      <c r="E1083">
        <v>50</v>
      </c>
      <c r="F1083">
        <v>49.265110016000001</v>
      </c>
      <c r="G1083">
        <v>1509.8570557</v>
      </c>
      <c r="H1083">
        <v>1369.9541016000001</v>
      </c>
      <c r="I1083">
        <v>1234.0712891000001</v>
      </c>
      <c r="J1083">
        <v>1040.5240478999999</v>
      </c>
      <c r="K1083">
        <v>2400</v>
      </c>
      <c r="L1083">
        <v>0</v>
      </c>
      <c r="M1083">
        <v>0</v>
      </c>
      <c r="N1083">
        <v>2400</v>
      </c>
    </row>
    <row r="1084" spans="1:14" x14ac:dyDescent="0.25">
      <c r="A1084">
        <v>732.16539499999999</v>
      </c>
      <c r="B1084" s="1">
        <f>DATE(2012,5,2) + TIME(3,58,10)</f>
        <v>41031.165393518517</v>
      </c>
      <c r="C1084">
        <v>80</v>
      </c>
      <c r="D1084">
        <v>73.681350707999997</v>
      </c>
      <c r="E1084">
        <v>50</v>
      </c>
      <c r="F1084">
        <v>49.256900786999999</v>
      </c>
      <c r="G1084">
        <v>1515.1019286999999</v>
      </c>
      <c r="H1084">
        <v>1376.2943115</v>
      </c>
      <c r="I1084">
        <v>1227.2839355000001</v>
      </c>
      <c r="J1084">
        <v>1033.7313231999999</v>
      </c>
      <c r="K1084">
        <v>2400</v>
      </c>
      <c r="L1084">
        <v>0</v>
      </c>
      <c r="M1084">
        <v>0</v>
      </c>
      <c r="N1084">
        <v>2400</v>
      </c>
    </row>
    <row r="1085" spans="1:14" x14ac:dyDescent="0.25">
      <c r="A1085">
        <v>732.24656800000002</v>
      </c>
      <c r="B1085" s="1">
        <f>DATE(2012,5,2) + TIME(5,55,3)</f>
        <v>41031.246562499997</v>
      </c>
      <c r="C1085">
        <v>80</v>
      </c>
      <c r="D1085">
        <v>74.289207458000007</v>
      </c>
      <c r="E1085">
        <v>50</v>
      </c>
      <c r="F1085">
        <v>49.248214722</v>
      </c>
      <c r="G1085">
        <v>1520.4776611</v>
      </c>
      <c r="H1085">
        <v>1382.7314452999999</v>
      </c>
      <c r="I1085">
        <v>1220.4309082</v>
      </c>
      <c r="J1085">
        <v>1026.8726807</v>
      </c>
      <c r="K1085">
        <v>2400</v>
      </c>
      <c r="L1085">
        <v>0</v>
      </c>
      <c r="M1085">
        <v>0</v>
      </c>
      <c r="N1085">
        <v>2400</v>
      </c>
    </row>
    <row r="1086" spans="1:14" x14ac:dyDescent="0.25">
      <c r="A1086">
        <v>732.33471799999995</v>
      </c>
      <c r="B1086" s="1">
        <f>DATE(2012,5,2) + TIME(8,1,59)</f>
        <v>41031.334710648145</v>
      </c>
      <c r="C1086">
        <v>80</v>
      </c>
      <c r="D1086">
        <v>74.880531310999999</v>
      </c>
      <c r="E1086">
        <v>50</v>
      </c>
      <c r="F1086">
        <v>49.238929749</v>
      </c>
      <c r="G1086">
        <v>1526.0252685999999</v>
      </c>
      <c r="H1086">
        <v>1389.3068848</v>
      </c>
      <c r="I1086">
        <v>1213.4719238</v>
      </c>
      <c r="J1086">
        <v>1019.9078979</v>
      </c>
      <c r="K1086">
        <v>2400</v>
      </c>
      <c r="L1086">
        <v>0</v>
      </c>
      <c r="M1086">
        <v>0</v>
      </c>
      <c r="N1086">
        <v>2400</v>
      </c>
    </row>
    <row r="1087" spans="1:14" x14ac:dyDescent="0.25">
      <c r="A1087">
        <v>732.43120199999998</v>
      </c>
      <c r="B1087" s="1">
        <f>DATE(2012,5,2) + TIME(10,20,55)</f>
        <v>41031.431192129632</v>
      </c>
      <c r="C1087">
        <v>80</v>
      </c>
      <c r="D1087">
        <v>75.454421996999997</v>
      </c>
      <c r="E1087">
        <v>50</v>
      </c>
      <c r="F1087">
        <v>49.228912354000002</v>
      </c>
      <c r="G1087">
        <v>1531.7962646000001</v>
      </c>
      <c r="H1087">
        <v>1396.072876</v>
      </c>
      <c r="I1087">
        <v>1206.3564452999999</v>
      </c>
      <c r="J1087">
        <v>1012.7859496999999</v>
      </c>
      <c r="K1087">
        <v>2400</v>
      </c>
      <c r="L1087">
        <v>0</v>
      </c>
      <c r="M1087">
        <v>0</v>
      </c>
      <c r="N1087">
        <v>2400</v>
      </c>
    </row>
    <row r="1088" spans="1:14" x14ac:dyDescent="0.25">
      <c r="A1088">
        <v>732.53770399999996</v>
      </c>
      <c r="B1088" s="1">
        <f>DATE(2012,5,2) + TIME(12,54,17)</f>
        <v>41031.53769675926</v>
      </c>
      <c r="C1088">
        <v>80</v>
      </c>
      <c r="D1088">
        <v>76.009864807</v>
      </c>
      <c r="E1088">
        <v>50</v>
      </c>
      <c r="F1088">
        <v>49.217979431000003</v>
      </c>
      <c r="G1088">
        <v>1537.8477783000001</v>
      </c>
      <c r="H1088">
        <v>1403.0861815999999</v>
      </c>
      <c r="I1088">
        <v>1199.0294189000001</v>
      </c>
      <c r="J1088">
        <v>1005.4519043</v>
      </c>
      <c r="K1088">
        <v>2400</v>
      </c>
      <c r="L1088">
        <v>0</v>
      </c>
      <c r="M1088">
        <v>0</v>
      </c>
      <c r="N1088">
        <v>2400</v>
      </c>
    </row>
    <row r="1089" spans="1:14" x14ac:dyDescent="0.25">
      <c r="A1089">
        <v>732.64863700000001</v>
      </c>
      <c r="B1089" s="1">
        <f>DATE(2012,5,2) + TIME(15,34,2)</f>
        <v>41031.648634259262</v>
      </c>
      <c r="C1089">
        <v>80</v>
      </c>
      <c r="D1089">
        <v>76.514633179</v>
      </c>
      <c r="E1089">
        <v>50</v>
      </c>
      <c r="F1089">
        <v>49.206577301000003</v>
      </c>
      <c r="G1089">
        <v>1543.8344727000001</v>
      </c>
      <c r="H1089">
        <v>1409.9455565999999</v>
      </c>
      <c r="I1089">
        <v>1191.8924560999999</v>
      </c>
      <c r="J1089">
        <v>998.30737305000002</v>
      </c>
      <c r="K1089">
        <v>2400</v>
      </c>
      <c r="L1089">
        <v>0</v>
      </c>
      <c r="M1089">
        <v>0</v>
      </c>
      <c r="N1089">
        <v>2400</v>
      </c>
    </row>
    <row r="1090" spans="1:14" x14ac:dyDescent="0.25">
      <c r="A1090">
        <v>732.75981400000001</v>
      </c>
      <c r="B1090" s="1">
        <f>DATE(2012,5,2) + TIME(18,14,7)</f>
        <v>41031.75980324074</v>
      </c>
      <c r="C1090">
        <v>80</v>
      </c>
      <c r="D1090">
        <v>76.955924988000007</v>
      </c>
      <c r="E1090">
        <v>50</v>
      </c>
      <c r="F1090">
        <v>49.195045471</v>
      </c>
      <c r="G1090">
        <v>1549.546875</v>
      </c>
      <c r="H1090">
        <v>1416.4221190999999</v>
      </c>
      <c r="I1090">
        <v>1185.1741943</v>
      </c>
      <c r="J1090">
        <v>991.58117675999995</v>
      </c>
      <c r="K1090">
        <v>2400</v>
      </c>
      <c r="L1090">
        <v>0</v>
      </c>
      <c r="M1090">
        <v>0</v>
      </c>
      <c r="N1090">
        <v>2400</v>
      </c>
    </row>
    <row r="1091" spans="1:14" x14ac:dyDescent="0.25">
      <c r="A1091">
        <v>732.87187300000005</v>
      </c>
      <c r="B1091" s="1">
        <f>DATE(2012,5,2) + TIME(20,55,29)</f>
        <v>41031.871863425928</v>
      </c>
      <c r="C1091">
        <v>80</v>
      </c>
      <c r="D1091">
        <v>77.343612671000002</v>
      </c>
      <c r="E1091">
        <v>50</v>
      </c>
      <c r="F1091">
        <v>49.183341980000002</v>
      </c>
      <c r="G1091">
        <v>1555.0499268000001</v>
      </c>
      <c r="H1091">
        <v>1422.6000977000001</v>
      </c>
      <c r="I1091">
        <v>1178.7919922000001</v>
      </c>
      <c r="J1091">
        <v>985.19049071999996</v>
      </c>
      <c r="K1091">
        <v>2400</v>
      </c>
      <c r="L1091">
        <v>0</v>
      </c>
      <c r="M1091">
        <v>0</v>
      </c>
      <c r="N1091">
        <v>2400</v>
      </c>
    </row>
    <row r="1092" spans="1:14" x14ac:dyDescent="0.25">
      <c r="A1092">
        <v>732.985229</v>
      </c>
      <c r="B1092" s="1">
        <f>DATE(2012,5,2) + TIME(23,38,43)</f>
        <v>41031.985219907408</v>
      </c>
      <c r="C1092">
        <v>80</v>
      </c>
      <c r="D1092">
        <v>77.684982300000001</v>
      </c>
      <c r="E1092">
        <v>50</v>
      </c>
      <c r="F1092">
        <v>49.171443939</v>
      </c>
      <c r="G1092">
        <v>1560.3848877</v>
      </c>
      <c r="H1092">
        <v>1428.5333252</v>
      </c>
      <c r="I1092">
        <v>1172.6890868999999</v>
      </c>
      <c r="J1092">
        <v>979.07867432</v>
      </c>
      <c r="K1092">
        <v>2400</v>
      </c>
      <c r="L1092">
        <v>0</v>
      </c>
      <c r="M1092">
        <v>0</v>
      </c>
      <c r="N1092">
        <v>2400</v>
      </c>
    </row>
    <row r="1093" spans="1:14" x14ac:dyDescent="0.25">
      <c r="A1093">
        <v>733.10028699999998</v>
      </c>
      <c r="B1093" s="1">
        <f>DATE(2012,5,3) + TIME(2,24,24)</f>
        <v>41032.100277777776</v>
      </c>
      <c r="C1093">
        <v>80</v>
      </c>
      <c r="D1093">
        <v>77.986053467000005</v>
      </c>
      <c r="E1093">
        <v>50</v>
      </c>
      <c r="F1093">
        <v>49.159320831000002</v>
      </c>
      <c r="G1093">
        <v>1565.5837402</v>
      </c>
      <c r="H1093">
        <v>1434.2642822</v>
      </c>
      <c r="I1093">
        <v>1166.8186035000001</v>
      </c>
      <c r="J1093">
        <v>973.19891356999995</v>
      </c>
      <c r="K1093">
        <v>2400</v>
      </c>
      <c r="L1093">
        <v>0</v>
      </c>
      <c r="M1093">
        <v>0</v>
      </c>
      <c r="N1093">
        <v>2400</v>
      </c>
    </row>
    <row r="1094" spans="1:14" x14ac:dyDescent="0.25">
      <c r="A1094">
        <v>733.21744799999999</v>
      </c>
      <c r="B1094" s="1">
        <f>DATE(2012,5,3) + TIME(5,13,7)</f>
        <v>41032.217442129629</v>
      </c>
      <c r="C1094">
        <v>80</v>
      </c>
      <c r="D1094">
        <v>78.251846313000001</v>
      </c>
      <c r="E1094">
        <v>50</v>
      </c>
      <c r="F1094">
        <v>49.146953582999998</v>
      </c>
      <c r="G1094">
        <v>1570.6724853999999</v>
      </c>
      <c r="H1094">
        <v>1439.8275146000001</v>
      </c>
      <c r="I1094">
        <v>1161.1416016000001</v>
      </c>
      <c r="J1094">
        <v>967.51214600000003</v>
      </c>
      <c r="K1094">
        <v>2400</v>
      </c>
      <c r="L1094">
        <v>0</v>
      </c>
      <c r="M1094">
        <v>0</v>
      </c>
      <c r="N1094">
        <v>2400</v>
      </c>
    </row>
    <row r="1095" spans="1:14" x14ac:dyDescent="0.25">
      <c r="A1095">
        <v>733.33711800000003</v>
      </c>
      <c r="B1095" s="1">
        <f>DATE(2012,5,3) + TIME(8,5,26)</f>
        <v>41032.337106481478</v>
      </c>
      <c r="C1095">
        <v>80</v>
      </c>
      <c r="D1095">
        <v>78.486572265999996</v>
      </c>
      <c r="E1095">
        <v>50</v>
      </c>
      <c r="F1095">
        <v>49.134311676000003</v>
      </c>
      <c r="G1095">
        <v>1575.6733397999999</v>
      </c>
      <c r="H1095">
        <v>1445.2525635</v>
      </c>
      <c r="I1095">
        <v>1155.625</v>
      </c>
      <c r="J1095">
        <v>961.98529053000004</v>
      </c>
      <c r="K1095">
        <v>2400</v>
      </c>
      <c r="L1095">
        <v>0</v>
      </c>
      <c r="M1095">
        <v>0</v>
      </c>
      <c r="N1095">
        <v>2400</v>
      </c>
    </row>
    <row r="1096" spans="1:14" x14ac:dyDescent="0.25">
      <c r="A1096">
        <v>733.45971999999995</v>
      </c>
      <c r="B1096" s="1">
        <f>DATE(2012,5,3) + TIME(11,1,59)</f>
        <v>41032.459710648145</v>
      </c>
      <c r="C1096">
        <v>80</v>
      </c>
      <c r="D1096">
        <v>78.693824767999999</v>
      </c>
      <c r="E1096">
        <v>50</v>
      </c>
      <c r="F1096">
        <v>49.121368408000002</v>
      </c>
      <c r="G1096">
        <v>1580.6057129000001</v>
      </c>
      <c r="H1096">
        <v>1450.5644531</v>
      </c>
      <c r="I1096">
        <v>1150.2401123</v>
      </c>
      <c r="J1096">
        <v>956.58978271000001</v>
      </c>
      <c r="K1096">
        <v>2400</v>
      </c>
      <c r="L1096">
        <v>0</v>
      </c>
      <c r="M1096">
        <v>0</v>
      </c>
      <c r="N1096">
        <v>2400</v>
      </c>
    </row>
    <row r="1097" spans="1:14" x14ac:dyDescent="0.25">
      <c r="A1097">
        <v>733.58569799999998</v>
      </c>
      <c r="B1097" s="1">
        <f>DATE(2012,5,3) + TIME(14,3,24)</f>
        <v>41032.585694444446</v>
      </c>
      <c r="C1097">
        <v>80</v>
      </c>
      <c r="D1097">
        <v>78.876693725999999</v>
      </c>
      <c r="E1097">
        <v>50</v>
      </c>
      <c r="F1097">
        <v>49.108089446999998</v>
      </c>
      <c r="G1097">
        <v>1585.4864502</v>
      </c>
      <c r="H1097">
        <v>1455.7855225000001</v>
      </c>
      <c r="I1097">
        <v>1144.9617920000001</v>
      </c>
      <c r="J1097">
        <v>951.30041503999996</v>
      </c>
      <c r="K1097">
        <v>2400</v>
      </c>
      <c r="L1097">
        <v>0</v>
      </c>
      <c r="M1097">
        <v>0</v>
      </c>
      <c r="N1097">
        <v>2400</v>
      </c>
    </row>
    <row r="1098" spans="1:14" x14ac:dyDescent="0.25">
      <c r="A1098">
        <v>733.71553400000005</v>
      </c>
      <c r="B1098" s="1">
        <f>DATE(2012,5,3) + TIME(17,10,22)</f>
        <v>41032.715532407405</v>
      </c>
      <c r="C1098">
        <v>80</v>
      </c>
      <c r="D1098">
        <v>79.037834167</v>
      </c>
      <c r="E1098">
        <v>50</v>
      </c>
      <c r="F1098">
        <v>49.09444809</v>
      </c>
      <c r="G1098">
        <v>1590.3312988</v>
      </c>
      <c r="H1098">
        <v>1460.9356689000001</v>
      </c>
      <c r="I1098">
        <v>1139.7674560999999</v>
      </c>
      <c r="J1098">
        <v>946.09460449000005</v>
      </c>
      <c r="K1098">
        <v>2400</v>
      </c>
      <c r="L1098">
        <v>0</v>
      </c>
      <c r="M1098">
        <v>0</v>
      </c>
      <c r="N1098">
        <v>2400</v>
      </c>
    </row>
    <row r="1099" spans="1:14" x14ac:dyDescent="0.25">
      <c r="A1099">
        <v>733.84979099999998</v>
      </c>
      <c r="B1099" s="1">
        <f>DATE(2012,5,3) + TIME(20,23,41)</f>
        <v>41032.849780092591</v>
      </c>
      <c r="C1099">
        <v>80</v>
      </c>
      <c r="D1099">
        <v>79.179626464999998</v>
      </c>
      <c r="E1099">
        <v>50</v>
      </c>
      <c r="F1099">
        <v>49.080398559999999</v>
      </c>
      <c r="G1099">
        <v>1595.1560059000001</v>
      </c>
      <c r="H1099">
        <v>1466.034668</v>
      </c>
      <c r="I1099">
        <v>1134.6350098</v>
      </c>
      <c r="J1099">
        <v>940.95013428000004</v>
      </c>
      <c r="K1099">
        <v>2400</v>
      </c>
      <c r="L1099">
        <v>0</v>
      </c>
      <c r="M1099">
        <v>0</v>
      </c>
      <c r="N1099">
        <v>2400</v>
      </c>
    </row>
    <row r="1100" spans="1:14" x14ac:dyDescent="0.25">
      <c r="A1100">
        <v>733.98907399999996</v>
      </c>
      <c r="B1100" s="1">
        <f>DATE(2012,5,3) + TIME(23,44,16)</f>
        <v>41032.989074074074</v>
      </c>
      <c r="C1100">
        <v>80</v>
      </c>
      <c r="D1100">
        <v>79.304100036999998</v>
      </c>
      <c r="E1100">
        <v>50</v>
      </c>
      <c r="F1100">
        <v>49.065898894999997</v>
      </c>
      <c r="G1100">
        <v>1599.9752197</v>
      </c>
      <c r="H1100">
        <v>1471.1000977000001</v>
      </c>
      <c r="I1100">
        <v>1129.5445557</v>
      </c>
      <c r="J1100">
        <v>935.84729003999996</v>
      </c>
      <c r="K1100">
        <v>2400</v>
      </c>
      <c r="L1100">
        <v>0</v>
      </c>
      <c r="M1100">
        <v>0</v>
      </c>
      <c r="N1100">
        <v>2400</v>
      </c>
    </row>
    <row r="1101" spans="1:14" x14ac:dyDescent="0.25">
      <c r="A1101">
        <v>734.13386100000002</v>
      </c>
      <c r="B1101" s="1">
        <f>DATE(2012,5,4) + TIME(3,12,45)</f>
        <v>41033.13385416667</v>
      </c>
      <c r="C1101">
        <v>80</v>
      </c>
      <c r="D1101">
        <v>79.412933350000003</v>
      </c>
      <c r="E1101">
        <v>50</v>
      </c>
      <c r="F1101">
        <v>49.050914763999998</v>
      </c>
      <c r="G1101">
        <v>1604.7960204999999</v>
      </c>
      <c r="H1101">
        <v>1476.1418457</v>
      </c>
      <c r="I1101">
        <v>1124.4837646000001</v>
      </c>
      <c r="J1101">
        <v>930.77355956999997</v>
      </c>
      <c r="K1101">
        <v>2400</v>
      </c>
      <c r="L1101">
        <v>0</v>
      </c>
      <c r="M1101">
        <v>0</v>
      </c>
      <c r="N1101">
        <v>2400</v>
      </c>
    </row>
    <row r="1102" spans="1:14" x14ac:dyDescent="0.25">
      <c r="A1102">
        <v>734.28428399999996</v>
      </c>
      <c r="B1102" s="1">
        <f>DATE(2012,5,4) + TIME(6,49,22)</f>
        <v>41033.284282407411</v>
      </c>
      <c r="C1102">
        <v>80</v>
      </c>
      <c r="D1102">
        <v>79.507431030000006</v>
      </c>
      <c r="E1102">
        <v>50</v>
      </c>
      <c r="F1102">
        <v>49.035442351999997</v>
      </c>
      <c r="G1102">
        <v>1609.6124268000001</v>
      </c>
      <c r="H1102">
        <v>1481.1561279</v>
      </c>
      <c r="I1102">
        <v>1119.4536132999999</v>
      </c>
      <c r="J1102">
        <v>925.73010253999996</v>
      </c>
      <c r="K1102">
        <v>2400</v>
      </c>
      <c r="L1102">
        <v>0</v>
      </c>
      <c r="M1102">
        <v>0</v>
      </c>
      <c r="N1102">
        <v>2400</v>
      </c>
    </row>
    <row r="1103" spans="1:14" x14ac:dyDescent="0.25">
      <c r="A1103">
        <v>734.44097299999999</v>
      </c>
      <c r="B1103" s="1">
        <f>DATE(2012,5,4) + TIME(10,35,0)</f>
        <v>41033.440972222219</v>
      </c>
      <c r="C1103">
        <v>80</v>
      </c>
      <c r="D1103">
        <v>79.589141846000004</v>
      </c>
      <c r="E1103">
        <v>50</v>
      </c>
      <c r="F1103">
        <v>49.019439697000003</v>
      </c>
      <c r="G1103">
        <v>1614.4349365</v>
      </c>
      <c r="H1103">
        <v>1486.1555175999999</v>
      </c>
      <c r="I1103">
        <v>1114.4400635</v>
      </c>
      <c r="J1103">
        <v>920.70275878999996</v>
      </c>
      <c r="K1103">
        <v>2400</v>
      </c>
      <c r="L1103">
        <v>0</v>
      </c>
      <c r="M1103">
        <v>0</v>
      </c>
      <c r="N1103">
        <v>2400</v>
      </c>
    </row>
    <row r="1104" spans="1:14" x14ac:dyDescent="0.25">
      <c r="A1104">
        <v>734.60472200000004</v>
      </c>
      <c r="B1104" s="1">
        <f>DATE(2012,5,4) + TIME(14,30,47)</f>
        <v>41033.604710648149</v>
      </c>
      <c r="C1104">
        <v>80</v>
      </c>
      <c r="D1104">
        <v>79.659454346000004</v>
      </c>
      <c r="E1104">
        <v>50</v>
      </c>
      <c r="F1104">
        <v>49.002845764</v>
      </c>
      <c r="G1104">
        <v>1619.2758789</v>
      </c>
      <c r="H1104">
        <v>1491.1547852000001</v>
      </c>
      <c r="I1104">
        <v>1109.4268798999999</v>
      </c>
      <c r="J1104">
        <v>915.67529296999999</v>
      </c>
      <c r="K1104">
        <v>2400</v>
      </c>
      <c r="L1104">
        <v>0</v>
      </c>
      <c r="M1104">
        <v>0</v>
      </c>
      <c r="N1104">
        <v>2400</v>
      </c>
    </row>
    <row r="1105" spans="1:14" x14ac:dyDescent="0.25">
      <c r="A1105">
        <v>734.77643899999998</v>
      </c>
      <c r="B1105" s="1">
        <f>DATE(2012,5,4) + TIME(18,38,4)</f>
        <v>41033.776435185187</v>
      </c>
      <c r="C1105">
        <v>80</v>
      </c>
      <c r="D1105">
        <v>79.719642639</v>
      </c>
      <c r="E1105">
        <v>50</v>
      </c>
      <c r="F1105">
        <v>48.985595703000001</v>
      </c>
      <c r="G1105">
        <v>1624.1477050999999</v>
      </c>
      <c r="H1105">
        <v>1496.1680908000001</v>
      </c>
      <c r="I1105">
        <v>1104.3980713000001</v>
      </c>
      <c r="J1105">
        <v>910.63165283000001</v>
      </c>
      <c r="K1105">
        <v>2400</v>
      </c>
      <c r="L1105">
        <v>0</v>
      </c>
      <c r="M1105">
        <v>0</v>
      </c>
      <c r="N1105">
        <v>2400</v>
      </c>
    </row>
    <row r="1106" spans="1:14" x14ac:dyDescent="0.25">
      <c r="A1106">
        <v>734.95718099999999</v>
      </c>
      <c r="B1106" s="1">
        <f>DATE(2012,5,4) + TIME(22,58,20)</f>
        <v>41033.957175925927</v>
      </c>
      <c r="C1106">
        <v>80</v>
      </c>
      <c r="D1106">
        <v>79.770820618000002</v>
      </c>
      <c r="E1106">
        <v>50</v>
      </c>
      <c r="F1106">
        <v>48.967609406000001</v>
      </c>
      <c r="G1106">
        <v>1629.0634766000001</v>
      </c>
      <c r="H1106">
        <v>1501.2104492000001</v>
      </c>
      <c r="I1106">
        <v>1099.3367920000001</v>
      </c>
      <c r="J1106">
        <v>905.55499268000005</v>
      </c>
      <c r="K1106">
        <v>2400</v>
      </c>
      <c r="L1106">
        <v>0</v>
      </c>
      <c r="M1106">
        <v>0</v>
      </c>
      <c r="N1106">
        <v>2400</v>
      </c>
    </row>
    <row r="1107" spans="1:14" x14ac:dyDescent="0.25">
      <c r="A1107">
        <v>735.148145</v>
      </c>
      <c r="B1107" s="1">
        <f>DATE(2012,5,5) + TIME(3,33,19)</f>
        <v>41034.148136574076</v>
      </c>
      <c r="C1107">
        <v>80</v>
      </c>
      <c r="D1107">
        <v>79.814002990999995</v>
      </c>
      <c r="E1107">
        <v>50</v>
      </c>
      <c r="F1107">
        <v>48.948802948000001</v>
      </c>
      <c r="G1107">
        <v>1634.0358887</v>
      </c>
      <c r="H1107">
        <v>1506.2961425999999</v>
      </c>
      <c r="I1107">
        <v>1094.2266846</v>
      </c>
      <c r="J1107">
        <v>900.42883300999995</v>
      </c>
      <c r="K1107">
        <v>2400</v>
      </c>
      <c r="L1107">
        <v>0</v>
      </c>
      <c r="M1107">
        <v>0</v>
      </c>
      <c r="N1107">
        <v>2400</v>
      </c>
    </row>
    <row r="1108" spans="1:14" x14ac:dyDescent="0.25">
      <c r="A1108">
        <v>735.35084199999994</v>
      </c>
      <c r="B1108" s="1">
        <f>DATE(2012,5,5) + TIME(8,25,12)</f>
        <v>41034.35083333333</v>
      </c>
      <c r="C1108">
        <v>80</v>
      </c>
      <c r="D1108">
        <v>79.850112914999997</v>
      </c>
      <c r="E1108">
        <v>50</v>
      </c>
      <c r="F1108">
        <v>48.92906189</v>
      </c>
      <c r="G1108">
        <v>1639.0812988</v>
      </c>
      <c r="H1108">
        <v>1511.4431152</v>
      </c>
      <c r="I1108">
        <v>1089.0478516000001</v>
      </c>
      <c r="J1108">
        <v>895.23333739999998</v>
      </c>
      <c r="K1108">
        <v>2400</v>
      </c>
      <c r="L1108">
        <v>0</v>
      </c>
      <c r="M1108">
        <v>0</v>
      </c>
      <c r="N1108">
        <v>2400</v>
      </c>
    </row>
    <row r="1109" spans="1:14" x14ac:dyDescent="0.25">
      <c r="A1109">
        <v>735.56704400000001</v>
      </c>
      <c r="B1109" s="1">
        <f>DATE(2012,5,5) + TIME(13,36,32)</f>
        <v>41034.567037037035</v>
      </c>
      <c r="C1109">
        <v>80</v>
      </c>
      <c r="D1109">
        <v>79.879974364999995</v>
      </c>
      <c r="E1109">
        <v>50</v>
      </c>
      <c r="F1109">
        <v>48.908260345000002</v>
      </c>
      <c r="G1109">
        <v>1644.2169189000001</v>
      </c>
      <c r="H1109">
        <v>1516.6697998</v>
      </c>
      <c r="I1109">
        <v>1083.7795410000001</v>
      </c>
      <c r="J1109">
        <v>889.94757079999999</v>
      </c>
      <c r="K1109">
        <v>2400</v>
      </c>
      <c r="L1109">
        <v>0</v>
      </c>
      <c r="M1109">
        <v>0</v>
      </c>
      <c r="N1109">
        <v>2400</v>
      </c>
    </row>
    <row r="1110" spans="1:14" x14ac:dyDescent="0.25">
      <c r="A1110">
        <v>735.79590199999996</v>
      </c>
      <c r="B1110" s="1">
        <f>DATE(2012,5,5) + TIME(19,6,5)</f>
        <v>41034.795891203707</v>
      </c>
      <c r="C1110">
        <v>80</v>
      </c>
      <c r="D1110">
        <v>79.904098511000001</v>
      </c>
      <c r="E1110">
        <v>50</v>
      </c>
      <c r="F1110">
        <v>48.886451721</v>
      </c>
      <c r="G1110">
        <v>1649.3923339999999</v>
      </c>
      <c r="H1110">
        <v>1521.9266356999999</v>
      </c>
      <c r="I1110">
        <v>1078.4647216999999</v>
      </c>
      <c r="J1110">
        <v>884.61468506000006</v>
      </c>
      <c r="K1110">
        <v>2400</v>
      </c>
      <c r="L1110">
        <v>0</v>
      </c>
      <c r="M1110">
        <v>0</v>
      </c>
      <c r="N1110">
        <v>2400</v>
      </c>
    </row>
    <row r="1111" spans="1:14" x14ac:dyDescent="0.25">
      <c r="A1111">
        <v>736.02502900000002</v>
      </c>
      <c r="B1111" s="1">
        <f>DATE(2012,5,6) + TIME(0,36,2)</f>
        <v>41035.025023148148</v>
      </c>
      <c r="C1111">
        <v>80</v>
      </c>
      <c r="D1111">
        <v>79.922409058</v>
      </c>
      <c r="E1111">
        <v>50</v>
      </c>
      <c r="F1111">
        <v>48.864532470999997</v>
      </c>
      <c r="G1111">
        <v>1654.3111572</v>
      </c>
      <c r="H1111">
        <v>1526.9161377</v>
      </c>
      <c r="I1111">
        <v>1073.3839111</v>
      </c>
      <c r="J1111">
        <v>879.51593018000005</v>
      </c>
      <c r="K1111">
        <v>2400</v>
      </c>
      <c r="L1111">
        <v>0</v>
      </c>
      <c r="M1111">
        <v>0</v>
      </c>
      <c r="N1111">
        <v>2400</v>
      </c>
    </row>
    <row r="1112" spans="1:14" x14ac:dyDescent="0.25">
      <c r="A1112">
        <v>736.25529300000005</v>
      </c>
      <c r="B1112" s="1">
        <f>DATE(2012,5,6) + TIME(6,7,37)</f>
        <v>41035.255289351851</v>
      </c>
      <c r="C1112">
        <v>80</v>
      </c>
      <c r="D1112">
        <v>79.936302185000002</v>
      </c>
      <c r="E1112">
        <v>50</v>
      </c>
      <c r="F1112">
        <v>48.842487335000001</v>
      </c>
      <c r="G1112">
        <v>1659.0236815999999</v>
      </c>
      <c r="H1112">
        <v>1531.6894531</v>
      </c>
      <c r="I1112">
        <v>1068.5024414</v>
      </c>
      <c r="J1112">
        <v>874.61657715000001</v>
      </c>
      <c r="K1112">
        <v>2400</v>
      </c>
      <c r="L1112">
        <v>0</v>
      </c>
      <c r="M1112">
        <v>0</v>
      </c>
      <c r="N1112">
        <v>2400</v>
      </c>
    </row>
    <row r="1113" spans="1:14" x14ac:dyDescent="0.25">
      <c r="A1113">
        <v>736.48758699999996</v>
      </c>
      <c r="B1113" s="1">
        <f>DATE(2012,5,6) + TIME(11,42,7)</f>
        <v>41035.487581018519</v>
      </c>
      <c r="C1113">
        <v>80</v>
      </c>
      <c r="D1113">
        <v>79.946807860999996</v>
      </c>
      <c r="E1113">
        <v>50</v>
      </c>
      <c r="F1113">
        <v>48.820301055999998</v>
      </c>
      <c r="G1113">
        <v>1663.5638428</v>
      </c>
      <c r="H1113">
        <v>1536.2825928</v>
      </c>
      <c r="I1113">
        <v>1063.7896728999999</v>
      </c>
      <c r="J1113">
        <v>869.88592529000005</v>
      </c>
      <c r="K1113">
        <v>2400</v>
      </c>
      <c r="L1113">
        <v>0</v>
      </c>
      <c r="M1113">
        <v>0</v>
      </c>
      <c r="N1113">
        <v>2400</v>
      </c>
    </row>
    <row r="1114" spans="1:14" x14ac:dyDescent="0.25">
      <c r="A1114">
        <v>736.72274300000004</v>
      </c>
      <c r="B1114" s="1">
        <f>DATE(2012,5,6) + TIME(17,20,44)</f>
        <v>41035.722731481481</v>
      </c>
      <c r="C1114">
        <v>80</v>
      </c>
      <c r="D1114">
        <v>79.954696655000006</v>
      </c>
      <c r="E1114">
        <v>50</v>
      </c>
      <c r="F1114">
        <v>48.797927856000001</v>
      </c>
      <c r="G1114">
        <v>1667.9569091999999</v>
      </c>
      <c r="H1114">
        <v>1540.722168</v>
      </c>
      <c r="I1114">
        <v>1059.2198486</v>
      </c>
      <c r="J1114">
        <v>865.29821776999995</v>
      </c>
      <c r="K1114">
        <v>2400</v>
      </c>
      <c r="L1114">
        <v>0</v>
      </c>
      <c r="M1114">
        <v>0</v>
      </c>
      <c r="N1114">
        <v>2400</v>
      </c>
    </row>
    <row r="1115" spans="1:14" x14ac:dyDescent="0.25">
      <c r="A1115">
        <v>736.96157400000004</v>
      </c>
      <c r="B1115" s="1">
        <f>DATE(2012,5,6) + TIME(23,4,40)</f>
        <v>41035.961574074077</v>
      </c>
      <c r="C1115">
        <v>80</v>
      </c>
      <c r="D1115">
        <v>79.960533142000003</v>
      </c>
      <c r="E1115">
        <v>50</v>
      </c>
      <c r="F1115">
        <v>48.775333404999998</v>
      </c>
      <c r="G1115">
        <v>1672.2232666</v>
      </c>
      <c r="H1115">
        <v>1545.0297852000001</v>
      </c>
      <c r="I1115">
        <v>1054.7713623</v>
      </c>
      <c r="J1115">
        <v>860.83160399999997</v>
      </c>
      <c r="K1115">
        <v>2400</v>
      </c>
      <c r="L1115">
        <v>0</v>
      </c>
      <c r="M1115">
        <v>0</v>
      </c>
      <c r="N1115">
        <v>2400</v>
      </c>
    </row>
    <row r="1116" spans="1:14" x14ac:dyDescent="0.25">
      <c r="A1116">
        <v>737.20489299999997</v>
      </c>
      <c r="B1116" s="1">
        <f>DATE(2012,5,7) + TIME(4,55,2)</f>
        <v>41036.204884259256</v>
      </c>
      <c r="C1116">
        <v>80</v>
      </c>
      <c r="D1116">
        <v>79.964782714999998</v>
      </c>
      <c r="E1116">
        <v>50</v>
      </c>
      <c r="F1116">
        <v>48.752464293999999</v>
      </c>
      <c r="G1116">
        <v>1676.3807373</v>
      </c>
      <c r="H1116">
        <v>1549.2243652</v>
      </c>
      <c r="I1116">
        <v>1050.4250488</v>
      </c>
      <c r="J1116">
        <v>856.46722411999997</v>
      </c>
      <c r="K1116">
        <v>2400</v>
      </c>
      <c r="L1116">
        <v>0</v>
      </c>
      <c r="M1116">
        <v>0</v>
      </c>
      <c r="N1116">
        <v>2400</v>
      </c>
    </row>
    <row r="1117" spans="1:14" x14ac:dyDescent="0.25">
      <c r="A1117">
        <v>737.45353799999998</v>
      </c>
      <c r="B1117" s="1">
        <f>DATE(2012,5,7) + TIME(10,53,5)</f>
        <v>41036.453530092593</v>
      </c>
      <c r="C1117">
        <v>80</v>
      </c>
      <c r="D1117">
        <v>79.967788696</v>
      </c>
      <c r="E1117">
        <v>50</v>
      </c>
      <c r="F1117">
        <v>48.729267120000003</v>
      </c>
      <c r="G1117">
        <v>1680.4448242000001</v>
      </c>
      <c r="H1117">
        <v>1553.3218993999999</v>
      </c>
      <c r="I1117">
        <v>1046.1641846</v>
      </c>
      <c r="J1117">
        <v>852.18823241999996</v>
      </c>
      <c r="K1117">
        <v>2400</v>
      </c>
      <c r="L1117">
        <v>0</v>
      </c>
      <c r="M1117">
        <v>0</v>
      </c>
      <c r="N1117">
        <v>2400</v>
      </c>
    </row>
    <row r="1118" spans="1:14" x14ac:dyDescent="0.25">
      <c r="A1118">
        <v>737.70838900000001</v>
      </c>
      <c r="B1118" s="1">
        <f>DATE(2012,5,7) + TIME(17,0,4)</f>
        <v>41036.708379629628</v>
      </c>
      <c r="C1118">
        <v>80</v>
      </c>
      <c r="D1118">
        <v>79.969818114999995</v>
      </c>
      <c r="E1118">
        <v>50</v>
      </c>
      <c r="F1118">
        <v>48.705677031999997</v>
      </c>
      <c r="G1118">
        <v>1684.4291992000001</v>
      </c>
      <c r="H1118">
        <v>1557.3370361</v>
      </c>
      <c r="I1118">
        <v>1041.9738769999999</v>
      </c>
      <c r="J1118">
        <v>847.97949218999997</v>
      </c>
      <c r="K1118">
        <v>2400</v>
      </c>
      <c r="L1118">
        <v>0</v>
      </c>
      <c r="M1118">
        <v>0</v>
      </c>
      <c r="N1118">
        <v>2400</v>
      </c>
    </row>
    <row r="1119" spans="1:14" x14ac:dyDescent="0.25">
      <c r="A1119">
        <v>737.97038899999995</v>
      </c>
      <c r="B1119" s="1">
        <f>DATE(2012,5,7) + TIME(23,17,21)</f>
        <v>41036.970381944448</v>
      </c>
      <c r="C1119">
        <v>80</v>
      </c>
      <c r="D1119">
        <v>79.971084594999994</v>
      </c>
      <c r="E1119">
        <v>50</v>
      </c>
      <c r="F1119">
        <v>48.681632995999998</v>
      </c>
      <c r="G1119">
        <v>1688.3466797000001</v>
      </c>
      <c r="H1119">
        <v>1561.2827147999999</v>
      </c>
      <c r="I1119">
        <v>1037.8402100000001</v>
      </c>
      <c r="J1119">
        <v>843.82714843999997</v>
      </c>
      <c r="K1119">
        <v>2400</v>
      </c>
      <c r="L1119">
        <v>0</v>
      </c>
      <c r="M1119">
        <v>0</v>
      </c>
      <c r="N1119">
        <v>2400</v>
      </c>
    </row>
    <row r="1120" spans="1:14" x14ac:dyDescent="0.25">
      <c r="A1120">
        <v>738.24075200000004</v>
      </c>
      <c r="B1120" s="1">
        <f>DATE(2012,5,8) + TIME(5,46,40)</f>
        <v>41037.240740740737</v>
      </c>
      <c r="C1120">
        <v>80</v>
      </c>
      <c r="D1120">
        <v>79.971755981000001</v>
      </c>
      <c r="E1120">
        <v>50</v>
      </c>
      <c r="F1120">
        <v>48.657039642000001</v>
      </c>
      <c r="G1120">
        <v>1692.2116699000001</v>
      </c>
      <c r="H1120">
        <v>1565.1739502</v>
      </c>
      <c r="I1120">
        <v>1033.7476807</v>
      </c>
      <c r="J1120">
        <v>839.71563720999995</v>
      </c>
      <c r="K1120">
        <v>2400</v>
      </c>
      <c r="L1120">
        <v>0</v>
      </c>
      <c r="M1120">
        <v>0</v>
      </c>
      <c r="N1120">
        <v>2400</v>
      </c>
    </row>
    <row r="1121" spans="1:14" x14ac:dyDescent="0.25">
      <c r="A1121">
        <v>738.52048300000001</v>
      </c>
      <c r="B1121" s="1">
        <f>DATE(2012,5,8) + TIME(12,29,29)</f>
        <v>41037.520474537036</v>
      </c>
      <c r="C1121">
        <v>80</v>
      </c>
      <c r="D1121">
        <v>79.971961974999999</v>
      </c>
      <c r="E1121">
        <v>50</v>
      </c>
      <c r="F1121">
        <v>48.631824493000003</v>
      </c>
      <c r="G1121">
        <v>1696.0328368999999</v>
      </c>
      <c r="H1121">
        <v>1569.0196533000001</v>
      </c>
      <c r="I1121">
        <v>1029.6859131000001</v>
      </c>
      <c r="J1121">
        <v>835.63464354999996</v>
      </c>
      <c r="K1121">
        <v>2400</v>
      </c>
      <c r="L1121">
        <v>0</v>
      </c>
      <c r="M1121">
        <v>0</v>
      </c>
      <c r="N1121">
        <v>2400</v>
      </c>
    </row>
    <row r="1122" spans="1:14" x14ac:dyDescent="0.25">
      <c r="A1122">
        <v>738.81085299999995</v>
      </c>
      <c r="B1122" s="1">
        <f>DATE(2012,5,8) + TIME(19,27,37)</f>
        <v>41037.810844907406</v>
      </c>
      <c r="C1122">
        <v>80</v>
      </c>
      <c r="D1122">
        <v>79.971809386999993</v>
      </c>
      <c r="E1122">
        <v>50</v>
      </c>
      <c r="F1122">
        <v>48.605899811</v>
      </c>
      <c r="G1122">
        <v>1699.8208007999999</v>
      </c>
      <c r="H1122">
        <v>1572.8309326000001</v>
      </c>
      <c r="I1122">
        <v>1025.6431885</v>
      </c>
      <c r="J1122">
        <v>831.57226562000005</v>
      </c>
      <c r="K1122">
        <v>2400</v>
      </c>
      <c r="L1122">
        <v>0</v>
      </c>
      <c r="M1122">
        <v>0</v>
      </c>
      <c r="N1122">
        <v>2400</v>
      </c>
    </row>
    <row r="1123" spans="1:14" x14ac:dyDescent="0.25">
      <c r="A1123">
        <v>739.11333500000001</v>
      </c>
      <c r="B1123" s="1">
        <f>DATE(2012,5,9) + TIME(2,43,12)</f>
        <v>41038.113333333335</v>
      </c>
      <c r="C1123">
        <v>80</v>
      </c>
      <c r="D1123">
        <v>79.971374511999997</v>
      </c>
      <c r="E1123">
        <v>50</v>
      </c>
      <c r="F1123">
        <v>48.579158782999997</v>
      </c>
      <c r="G1123">
        <v>1703.5863036999999</v>
      </c>
      <c r="H1123">
        <v>1576.6184082</v>
      </c>
      <c r="I1123">
        <v>1021.6074829</v>
      </c>
      <c r="J1123">
        <v>827.51641845999995</v>
      </c>
      <c r="K1123">
        <v>2400</v>
      </c>
      <c r="L1123">
        <v>0</v>
      </c>
      <c r="M1123">
        <v>0</v>
      </c>
      <c r="N1123">
        <v>2400</v>
      </c>
    </row>
    <row r="1124" spans="1:14" x14ac:dyDescent="0.25">
      <c r="A1124">
        <v>739.42962799999998</v>
      </c>
      <c r="B1124" s="1">
        <f>DATE(2012,5,9) + TIME(10,18,39)</f>
        <v>41038.429618055554</v>
      </c>
      <c r="C1124">
        <v>80</v>
      </c>
      <c r="D1124">
        <v>79.970718383999994</v>
      </c>
      <c r="E1124">
        <v>50</v>
      </c>
      <c r="F1124">
        <v>48.551475525000001</v>
      </c>
      <c r="G1124">
        <v>1707.3402100000001</v>
      </c>
      <c r="H1124">
        <v>1580.3933105000001</v>
      </c>
      <c r="I1124">
        <v>1017.5664062</v>
      </c>
      <c r="J1124">
        <v>823.45458984000004</v>
      </c>
      <c r="K1124">
        <v>2400</v>
      </c>
      <c r="L1124">
        <v>0</v>
      </c>
      <c r="M1124">
        <v>0</v>
      </c>
      <c r="N1124">
        <v>2400</v>
      </c>
    </row>
    <row r="1125" spans="1:14" x14ac:dyDescent="0.25">
      <c r="A1125">
        <v>739.76165900000001</v>
      </c>
      <c r="B1125" s="1">
        <f>DATE(2012,5,9) + TIME(18,16,47)</f>
        <v>41038.761655092596</v>
      </c>
      <c r="C1125">
        <v>80</v>
      </c>
      <c r="D1125">
        <v>79.969902039000004</v>
      </c>
      <c r="E1125">
        <v>50</v>
      </c>
      <c r="F1125">
        <v>48.522720337000003</v>
      </c>
      <c r="G1125">
        <v>1711.0927733999999</v>
      </c>
      <c r="H1125">
        <v>1584.1660156</v>
      </c>
      <c r="I1125">
        <v>1013.5076904</v>
      </c>
      <c r="J1125">
        <v>819.37451171999999</v>
      </c>
      <c r="K1125">
        <v>2400</v>
      </c>
      <c r="L1125">
        <v>0</v>
      </c>
      <c r="M1125">
        <v>0</v>
      </c>
      <c r="N1125">
        <v>2400</v>
      </c>
    </row>
    <row r="1126" spans="1:14" x14ac:dyDescent="0.25">
      <c r="A1126">
        <v>740.10904700000003</v>
      </c>
      <c r="B1126" s="1">
        <f>DATE(2012,5,10) + TIME(2,37,1)</f>
        <v>41039.109039351853</v>
      </c>
      <c r="C1126">
        <v>80</v>
      </c>
      <c r="D1126">
        <v>79.968955993999998</v>
      </c>
      <c r="E1126">
        <v>50</v>
      </c>
      <c r="F1126">
        <v>48.492889404000003</v>
      </c>
      <c r="G1126">
        <v>1714.8251952999999</v>
      </c>
      <c r="H1126">
        <v>1587.9179687999999</v>
      </c>
      <c r="I1126">
        <v>1009.447937</v>
      </c>
      <c r="J1126">
        <v>815.29272461000005</v>
      </c>
      <c r="K1126">
        <v>2400</v>
      </c>
      <c r="L1126">
        <v>0</v>
      </c>
      <c r="M1126">
        <v>0</v>
      </c>
      <c r="N1126">
        <v>2400</v>
      </c>
    </row>
    <row r="1127" spans="1:14" x14ac:dyDescent="0.25">
      <c r="A1127">
        <v>740.47318600000006</v>
      </c>
      <c r="B1127" s="1">
        <f>DATE(2012,5,10) + TIME(11,21,23)</f>
        <v>41039.473182870373</v>
      </c>
      <c r="C1127">
        <v>80</v>
      </c>
      <c r="D1127">
        <v>79.967926024999997</v>
      </c>
      <c r="E1127">
        <v>50</v>
      </c>
      <c r="F1127">
        <v>48.461891174000002</v>
      </c>
      <c r="G1127">
        <v>1718.5415039</v>
      </c>
      <c r="H1127">
        <v>1591.6530762</v>
      </c>
      <c r="I1127">
        <v>1005.3831177</v>
      </c>
      <c r="J1127">
        <v>811.20520020000004</v>
      </c>
      <c r="K1127">
        <v>2400</v>
      </c>
      <c r="L1127">
        <v>0</v>
      </c>
      <c r="M1127">
        <v>0</v>
      </c>
      <c r="N1127">
        <v>2400</v>
      </c>
    </row>
    <row r="1128" spans="1:14" x14ac:dyDescent="0.25">
      <c r="A1128">
        <v>740.85514599999999</v>
      </c>
      <c r="B1128" s="1">
        <f>DATE(2012,5,10) + TIME(20,31,24)</f>
        <v>41039.855138888888</v>
      </c>
      <c r="C1128">
        <v>80</v>
      </c>
      <c r="D1128">
        <v>79.966827393000003</v>
      </c>
      <c r="E1128">
        <v>50</v>
      </c>
      <c r="F1128">
        <v>48.429649353000002</v>
      </c>
      <c r="G1128">
        <v>1722.2395019999999</v>
      </c>
      <c r="H1128">
        <v>1595.3692627</v>
      </c>
      <c r="I1128">
        <v>1001.314209</v>
      </c>
      <c r="J1128">
        <v>807.11279296999999</v>
      </c>
      <c r="K1128">
        <v>2400</v>
      </c>
      <c r="L1128">
        <v>0</v>
      </c>
      <c r="M1128">
        <v>0</v>
      </c>
      <c r="N1128">
        <v>2400</v>
      </c>
    </row>
    <row r="1129" spans="1:14" x14ac:dyDescent="0.25">
      <c r="A1129">
        <v>741.23776699999996</v>
      </c>
      <c r="B1129" s="1">
        <f>DATE(2012,5,11) + TIME(5,42,23)</f>
        <v>41040.237766203703</v>
      </c>
      <c r="C1129">
        <v>80</v>
      </c>
      <c r="D1129">
        <v>79.965713500999996</v>
      </c>
      <c r="E1129">
        <v>50</v>
      </c>
      <c r="F1129">
        <v>48.397098540999998</v>
      </c>
      <c r="G1129">
        <v>1725.7416992000001</v>
      </c>
      <c r="H1129">
        <v>1598.8889160000001</v>
      </c>
      <c r="I1129">
        <v>997.41864013999998</v>
      </c>
      <c r="J1129">
        <v>803.19372558999999</v>
      </c>
      <c r="K1129">
        <v>2400</v>
      </c>
      <c r="L1129">
        <v>0</v>
      </c>
      <c r="M1129">
        <v>0</v>
      </c>
      <c r="N1129">
        <v>2400</v>
      </c>
    </row>
    <row r="1130" spans="1:14" x14ac:dyDescent="0.25">
      <c r="A1130">
        <v>741.62232800000004</v>
      </c>
      <c r="B1130" s="1">
        <f>DATE(2012,5,11) + TIME(14,56,9)</f>
        <v>41040.62232638889</v>
      </c>
      <c r="C1130">
        <v>80</v>
      </c>
      <c r="D1130">
        <v>79.964630127000007</v>
      </c>
      <c r="E1130">
        <v>50</v>
      </c>
      <c r="F1130">
        <v>48.364315032999997</v>
      </c>
      <c r="G1130">
        <v>1729.0834961</v>
      </c>
      <c r="H1130">
        <v>1602.2467041</v>
      </c>
      <c r="I1130">
        <v>993.67419433999999</v>
      </c>
      <c r="J1130">
        <v>799.42572021000001</v>
      </c>
      <c r="K1130">
        <v>2400</v>
      </c>
      <c r="L1130">
        <v>0</v>
      </c>
      <c r="M1130">
        <v>0</v>
      </c>
      <c r="N1130">
        <v>2400</v>
      </c>
    </row>
    <row r="1131" spans="1:14" x14ac:dyDescent="0.25">
      <c r="A1131">
        <v>742.01018599999998</v>
      </c>
      <c r="B1131" s="1">
        <f>DATE(2012,5,12) + TIME(0,14,40)</f>
        <v>41041.010185185187</v>
      </c>
      <c r="C1131">
        <v>80</v>
      </c>
      <c r="D1131">
        <v>79.963577271000005</v>
      </c>
      <c r="E1131">
        <v>50</v>
      </c>
      <c r="F1131">
        <v>48.331317902000002</v>
      </c>
      <c r="G1131">
        <v>1732.2886963000001</v>
      </c>
      <c r="H1131">
        <v>1605.4669189000001</v>
      </c>
      <c r="I1131">
        <v>990.06030272999999</v>
      </c>
      <c r="J1131">
        <v>795.78814696999996</v>
      </c>
      <c r="K1131">
        <v>2400</v>
      </c>
      <c r="L1131">
        <v>0</v>
      </c>
      <c r="M1131">
        <v>0</v>
      </c>
      <c r="N1131">
        <v>2400</v>
      </c>
    </row>
    <row r="1132" spans="1:14" x14ac:dyDescent="0.25">
      <c r="A1132">
        <v>742.40263500000003</v>
      </c>
      <c r="B1132" s="1">
        <f>DATE(2012,5,12) + TIME(9,39,47)</f>
        <v>41041.402627314812</v>
      </c>
      <c r="C1132">
        <v>80</v>
      </c>
      <c r="D1132">
        <v>79.962570189999994</v>
      </c>
      <c r="E1132">
        <v>50</v>
      </c>
      <c r="F1132">
        <v>48.298080444</v>
      </c>
      <c r="G1132">
        <v>1735.3756103999999</v>
      </c>
      <c r="H1132">
        <v>1608.567749</v>
      </c>
      <c r="I1132">
        <v>986.55932616999996</v>
      </c>
      <c r="J1132">
        <v>792.26336670000001</v>
      </c>
      <c r="K1132">
        <v>2400</v>
      </c>
      <c r="L1132">
        <v>0</v>
      </c>
      <c r="M1132">
        <v>0</v>
      </c>
      <c r="N1132">
        <v>2400</v>
      </c>
    </row>
    <row r="1133" spans="1:14" x14ac:dyDescent="0.25">
      <c r="A1133">
        <v>742.80096400000002</v>
      </c>
      <c r="B1133" s="1">
        <f>DATE(2012,5,12) + TIME(19,13,23)</f>
        <v>41041.80096064815</v>
      </c>
      <c r="C1133">
        <v>80</v>
      </c>
      <c r="D1133">
        <v>79.961601256999998</v>
      </c>
      <c r="E1133">
        <v>50</v>
      </c>
      <c r="F1133">
        <v>48.264549254999999</v>
      </c>
      <c r="G1133">
        <v>1738.3590088000001</v>
      </c>
      <c r="H1133">
        <v>1611.5642089999999</v>
      </c>
      <c r="I1133">
        <v>983.15606689000003</v>
      </c>
      <c r="J1133">
        <v>788.83624268000005</v>
      </c>
      <c r="K1133">
        <v>2400</v>
      </c>
      <c r="L1133">
        <v>0</v>
      </c>
      <c r="M1133">
        <v>0</v>
      </c>
      <c r="N1133">
        <v>2400</v>
      </c>
    </row>
    <row r="1134" spans="1:14" x14ac:dyDescent="0.25">
      <c r="A1134">
        <v>743.20648800000004</v>
      </c>
      <c r="B1134" s="1">
        <f>DATE(2012,5,13) + TIME(4,57,20)</f>
        <v>41042.20648148148</v>
      </c>
      <c r="C1134">
        <v>80</v>
      </c>
      <c r="D1134">
        <v>79.960670471</v>
      </c>
      <c r="E1134">
        <v>50</v>
      </c>
      <c r="F1134">
        <v>48.230655669999997</v>
      </c>
      <c r="G1134">
        <v>1741.2515868999999</v>
      </c>
      <c r="H1134">
        <v>1614.4691161999999</v>
      </c>
      <c r="I1134">
        <v>979.83728026999995</v>
      </c>
      <c r="J1134">
        <v>785.49334716999999</v>
      </c>
      <c r="K1134">
        <v>2400</v>
      </c>
      <c r="L1134">
        <v>0</v>
      </c>
      <c r="M1134">
        <v>0</v>
      </c>
      <c r="N1134">
        <v>2400</v>
      </c>
    </row>
    <row r="1135" spans="1:14" x14ac:dyDescent="0.25">
      <c r="A1135">
        <v>743.62056700000005</v>
      </c>
      <c r="B1135" s="1">
        <f>DATE(2012,5,13) + TIME(14,53,37)</f>
        <v>41042.620567129627</v>
      </c>
      <c r="C1135">
        <v>80</v>
      </c>
      <c r="D1135">
        <v>79.959777832</v>
      </c>
      <c r="E1135">
        <v>50</v>
      </c>
      <c r="F1135">
        <v>48.196323395</v>
      </c>
      <c r="G1135">
        <v>1744.0644531</v>
      </c>
      <c r="H1135">
        <v>1617.293457</v>
      </c>
      <c r="I1135">
        <v>976.59106444999998</v>
      </c>
      <c r="J1135">
        <v>782.22271728999999</v>
      </c>
      <c r="K1135">
        <v>2400</v>
      </c>
      <c r="L1135">
        <v>0</v>
      </c>
      <c r="M1135">
        <v>0</v>
      </c>
      <c r="N1135">
        <v>2400</v>
      </c>
    </row>
    <row r="1136" spans="1:14" x14ac:dyDescent="0.25">
      <c r="A1136">
        <v>744.04465000000005</v>
      </c>
      <c r="B1136" s="1">
        <f>DATE(2012,5,14) + TIME(1,4,17)</f>
        <v>41043.044641203705</v>
      </c>
      <c r="C1136">
        <v>80</v>
      </c>
      <c r="D1136">
        <v>79.958915709999999</v>
      </c>
      <c r="E1136">
        <v>50</v>
      </c>
      <c r="F1136">
        <v>48.161449431999998</v>
      </c>
      <c r="G1136">
        <v>1746.8073730000001</v>
      </c>
      <c r="H1136">
        <v>1620.0474853999999</v>
      </c>
      <c r="I1136">
        <v>973.40673828000001</v>
      </c>
      <c r="J1136">
        <v>779.01367187999995</v>
      </c>
      <c r="K1136">
        <v>2400</v>
      </c>
      <c r="L1136">
        <v>0</v>
      </c>
      <c r="M1136">
        <v>0</v>
      </c>
      <c r="N1136">
        <v>2400</v>
      </c>
    </row>
    <row r="1137" spans="1:14" x14ac:dyDescent="0.25">
      <c r="A1137">
        <v>744.48030200000005</v>
      </c>
      <c r="B1137" s="1">
        <f>DATE(2012,5,14) + TIME(11,31,38)</f>
        <v>41043.480300925927</v>
      </c>
      <c r="C1137">
        <v>80</v>
      </c>
      <c r="D1137">
        <v>79.958084106000001</v>
      </c>
      <c r="E1137">
        <v>50</v>
      </c>
      <c r="F1137">
        <v>48.125938415999997</v>
      </c>
      <c r="G1137">
        <v>1749.4893798999999</v>
      </c>
      <c r="H1137">
        <v>1622.7398682</v>
      </c>
      <c r="I1137">
        <v>970.27435303000004</v>
      </c>
      <c r="J1137">
        <v>775.85620116999996</v>
      </c>
      <c r="K1137">
        <v>2400</v>
      </c>
      <c r="L1137">
        <v>0</v>
      </c>
      <c r="M1137">
        <v>0</v>
      </c>
      <c r="N1137">
        <v>2400</v>
      </c>
    </row>
    <row r="1138" spans="1:14" x14ac:dyDescent="0.25">
      <c r="A1138">
        <v>744.92955099999995</v>
      </c>
      <c r="B1138" s="1">
        <f>DATE(2012,5,14) + TIME(22,18,33)</f>
        <v>41043.929548611108</v>
      </c>
      <c r="C1138">
        <v>80</v>
      </c>
      <c r="D1138">
        <v>79.957283020000006</v>
      </c>
      <c r="E1138">
        <v>50</v>
      </c>
      <c r="F1138">
        <v>48.089653015000003</v>
      </c>
      <c r="G1138">
        <v>1752.1206055</v>
      </c>
      <c r="H1138">
        <v>1625.3809814000001</v>
      </c>
      <c r="I1138">
        <v>967.18267821999996</v>
      </c>
      <c r="J1138">
        <v>772.73901366999996</v>
      </c>
      <c r="K1138">
        <v>2400</v>
      </c>
      <c r="L1138">
        <v>0</v>
      </c>
      <c r="M1138">
        <v>0</v>
      </c>
      <c r="N1138">
        <v>2400</v>
      </c>
    </row>
    <row r="1139" spans="1:14" x14ac:dyDescent="0.25">
      <c r="A1139">
        <v>745.39407600000004</v>
      </c>
      <c r="B1139" s="1">
        <f>DATE(2012,5,15) + TIME(9,27,28)</f>
        <v>41044.394074074073</v>
      </c>
      <c r="C1139">
        <v>80</v>
      </c>
      <c r="D1139">
        <v>79.956504821999999</v>
      </c>
      <c r="E1139">
        <v>50</v>
      </c>
      <c r="F1139">
        <v>48.052478790000002</v>
      </c>
      <c r="G1139">
        <v>1754.7066649999999</v>
      </c>
      <c r="H1139">
        <v>1627.9765625</v>
      </c>
      <c r="I1139">
        <v>964.12475586000005</v>
      </c>
      <c r="J1139">
        <v>769.65490723000005</v>
      </c>
      <c r="K1139">
        <v>2400</v>
      </c>
      <c r="L1139">
        <v>0</v>
      </c>
      <c r="M1139">
        <v>0</v>
      </c>
      <c r="N1139">
        <v>2400</v>
      </c>
    </row>
    <row r="1140" spans="1:14" x14ac:dyDescent="0.25">
      <c r="A1140">
        <v>745.87497699999994</v>
      </c>
      <c r="B1140" s="1">
        <f>DATE(2012,5,15) + TIME(20,59,58)</f>
        <v>41044.874976851854</v>
      </c>
      <c r="C1140">
        <v>80</v>
      </c>
      <c r="D1140">
        <v>79.955749511999997</v>
      </c>
      <c r="E1140">
        <v>50</v>
      </c>
      <c r="F1140">
        <v>48.014328003000003</v>
      </c>
      <c r="G1140">
        <v>1757.2490233999999</v>
      </c>
      <c r="H1140">
        <v>1630.5279541</v>
      </c>
      <c r="I1140">
        <v>961.09838866999996</v>
      </c>
      <c r="J1140">
        <v>766.60180663999995</v>
      </c>
      <c r="K1140">
        <v>2400</v>
      </c>
      <c r="L1140">
        <v>0</v>
      </c>
      <c r="M1140">
        <v>0</v>
      </c>
      <c r="N1140">
        <v>2400</v>
      </c>
    </row>
    <row r="1141" spans="1:14" x14ac:dyDescent="0.25">
      <c r="A1141">
        <v>746.37263299999995</v>
      </c>
      <c r="B1141" s="1">
        <f>DATE(2012,5,16) + TIME(8,56,35)</f>
        <v>41045.372627314813</v>
      </c>
      <c r="C1141">
        <v>80</v>
      </c>
      <c r="D1141">
        <v>79.955017089999998</v>
      </c>
      <c r="E1141">
        <v>50</v>
      </c>
      <c r="F1141">
        <v>47.975143433</v>
      </c>
      <c r="G1141">
        <v>1759.7445068</v>
      </c>
      <c r="H1141">
        <v>1633.0322266000001</v>
      </c>
      <c r="I1141">
        <v>958.10644531000003</v>
      </c>
      <c r="J1141">
        <v>763.58239746000004</v>
      </c>
      <c r="K1141">
        <v>2400</v>
      </c>
      <c r="L1141">
        <v>0</v>
      </c>
      <c r="M1141">
        <v>0</v>
      </c>
      <c r="N1141">
        <v>2400</v>
      </c>
    </row>
    <row r="1142" spans="1:14" x14ac:dyDescent="0.25">
      <c r="A1142">
        <v>746.88984100000005</v>
      </c>
      <c r="B1142" s="1">
        <f>DATE(2012,5,16) + TIME(21,21,22)</f>
        <v>41045.889837962961</v>
      </c>
      <c r="C1142">
        <v>80</v>
      </c>
      <c r="D1142">
        <v>79.954315186000002</v>
      </c>
      <c r="E1142">
        <v>50</v>
      </c>
      <c r="F1142">
        <v>47.934780121000003</v>
      </c>
      <c r="G1142">
        <v>1762.2030029</v>
      </c>
      <c r="H1142">
        <v>1635.4990233999999</v>
      </c>
      <c r="I1142">
        <v>955.13848876999998</v>
      </c>
      <c r="J1142">
        <v>760.58618163999995</v>
      </c>
      <c r="K1142">
        <v>2400</v>
      </c>
      <c r="L1142">
        <v>0</v>
      </c>
      <c r="M1142">
        <v>0</v>
      </c>
      <c r="N1142">
        <v>2400</v>
      </c>
    </row>
    <row r="1143" spans="1:14" x14ac:dyDescent="0.25">
      <c r="A1143">
        <v>747.42966000000001</v>
      </c>
      <c r="B1143" s="1">
        <f>DATE(2012,5,17) + TIME(10,18,42)</f>
        <v>41046.429652777777</v>
      </c>
      <c r="C1143">
        <v>80</v>
      </c>
      <c r="D1143">
        <v>79.953628539999997</v>
      </c>
      <c r="E1143">
        <v>50</v>
      </c>
      <c r="F1143">
        <v>47.893062592</v>
      </c>
      <c r="G1143">
        <v>1764.6325684000001</v>
      </c>
      <c r="H1143">
        <v>1637.9365233999999</v>
      </c>
      <c r="I1143">
        <v>952.18518066000001</v>
      </c>
      <c r="J1143">
        <v>757.60369873000002</v>
      </c>
      <c r="K1143">
        <v>2400</v>
      </c>
      <c r="L1143">
        <v>0</v>
      </c>
      <c r="M1143">
        <v>0</v>
      </c>
      <c r="N1143">
        <v>2400</v>
      </c>
    </row>
    <row r="1144" spans="1:14" x14ac:dyDescent="0.25">
      <c r="A1144">
        <v>747.712626</v>
      </c>
      <c r="B1144" s="1">
        <f>DATE(2012,5,17) + TIME(17,6,10)</f>
        <v>41046.71261574074</v>
      </c>
      <c r="C1144">
        <v>80</v>
      </c>
      <c r="D1144">
        <v>79.953033446999996</v>
      </c>
      <c r="E1144">
        <v>50</v>
      </c>
      <c r="F1144">
        <v>47.865489959999998</v>
      </c>
      <c r="G1144">
        <v>1765.7565918</v>
      </c>
      <c r="H1144">
        <v>1639.0679932</v>
      </c>
      <c r="I1144">
        <v>950.65576171999999</v>
      </c>
      <c r="J1144">
        <v>756.05773925999995</v>
      </c>
      <c r="K1144">
        <v>2400</v>
      </c>
      <c r="L1144">
        <v>0</v>
      </c>
      <c r="M1144">
        <v>0</v>
      </c>
      <c r="N1144">
        <v>2400</v>
      </c>
    </row>
    <row r="1145" spans="1:14" x14ac:dyDescent="0.25">
      <c r="A1145">
        <v>747.99559299999999</v>
      </c>
      <c r="B1145" s="1">
        <f>DATE(2012,5,17) + TIME(23,53,39)</f>
        <v>41046.99559027778</v>
      </c>
      <c r="C1145">
        <v>80</v>
      </c>
      <c r="D1145">
        <v>79.952606200999995</v>
      </c>
      <c r="E1145">
        <v>50</v>
      </c>
      <c r="F1145">
        <v>47.839347838999998</v>
      </c>
      <c r="G1145">
        <v>1766.8928223</v>
      </c>
      <c r="H1145">
        <v>1640.2082519999999</v>
      </c>
      <c r="I1145">
        <v>949.17517090000001</v>
      </c>
      <c r="J1145">
        <v>754.55816649999997</v>
      </c>
      <c r="K1145">
        <v>2400</v>
      </c>
      <c r="L1145">
        <v>0</v>
      </c>
      <c r="M1145">
        <v>0</v>
      </c>
      <c r="N1145">
        <v>2400</v>
      </c>
    </row>
    <row r="1146" spans="1:14" x14ac:dyDescent="0.25">
      <c r="A1146">
        <v>748.27855899999997</v>
      </c>
      <c r="B1146" s="1">
        <f>DATE(2012,5,18) + TIME(6,41,7)</f>
        <v>41047.278553240743</v>
      </c>
      <c r="C1146">
        <v>80</v>
      </c>
      <c r="D1146">
        <v>79.952285767000006</v>
      </c>
      <c r="E1146">
        <v>50</v>
      </c>
      <c r="F1146">
        <v>47.814266205000003</v>
      </c>
      <c r="G1146">
        <v>1768.0228271000001</v>
      </c>
      <c r="H1146">
        <v>1641.3417969</v>
      </c>
      <c r="I1146">
        <v>947.73181151999995</v>
      </c>
      <c r="J1146">
        <v>753.09667968999997</v>
      </c>
      <c r="K1146">
        <v>2400</v>
      </c>
      <c r="L1146">
        <v>0</v>
      </c>
      <c r="M1146">
        <v>0</v>
      </c>
      <c r="N1146">
        <v>2400</v>
      </c>
    </row>
    <row r="1147" spans="1:14" x14ac:dyDescent="0.25">
      <c r="A1147">
        <v>748.56152599999996</v>
      </c>
      <c r="B1147" s="1">
        <f>DATE(2012,5,18) + TIME(13,28,35)</f>
        <v>41047.561516203707</v>
      </c>
      <c r="C1147">
        <v>80</v>
      </c>
      <c r="D1147">
        <v>79.952003478999998</v>
      </c>
      <c r="E1147">
        <v>50</v>
      </c>
      <c r="F1147">
        <v>47.789966583000002</v>
      </c>
      <c r="G1147">
        <v>1769.1333007999999</v>
      </c>
      <c r="H1147">
        <v>1642.4558105000001</v>
      </c>
      <c r="I1147">
        <v>946.32373046999999</v>
      </c>
      <c r="J1147">
        <v>751.67108154000005</v>
      </c>
      <c r="K1147">
        <v>2400</v>
      </c>
      <c r="L1147">
        <v>0</v>
      </c>
      <c r="M1147">
        <v>0</v>
      </c>
      <c r="N1147">
        <v>2400</v>
      </c>
    </row>
    <row r="1148" spans="1:14" x14ac:dyDescent="0.25">
      <c r="A1148">
        <v>748.84449199999995</v>
      </c>
      <c r="B1148" s="1">
        <f>DATE(2012,5,18) + TIME(20,16,4)</f>
        <v>41047.844490740739</v>
      </c>
      <c r="C1148">
        <v>80</v>
      </c>
      <c r="D1148">
        <v>79.951744079999997</v>
      </c>
      <c r="E1148">
        <v>50</v>
      </c>
      <c r="F1148">
        <v>47.766258239999999</v>
      </c>
      <c r="G1148">
        <v>1770.2188721</v>
      </c>
      <c r="H1148">
        <v>1643.5446777</v>
      </c>
      <c r="I1148">
        <v>944.94964600000003</v>
      </c>
      <c r="J1148">
        <v>750.27996826000003</v>
      </c>
      <c r="K1148">
        <v>2400</v>
      </c>
      <c r="L1148">
        <v>0</v>
      </c>
      <c r="M1148">
        <v>0</v>
      </c>
      <c r="N1148">
        <v>2400</v>
      </c>
    </row>
    <row r="1149" spans="1:14" x14ac:dyDescent="0.25">
      <c r="A1149">
        <v>749.12745900000004</v>
      </c>
      <c r="B1149" s="1">
        <f>DATE(2012,5,19) + TIME(3,3,32)</f>
        <v>41048.127453703702</v>
      </c>
      <c r="C1149">
        <v>80</v>
      </c>
      <c r="D1149">
        <v>79.951492310000006</v>
      </c>
      <c r="E1149">
        <v>50</v>
      </c>
      <c r="F1149">
        <v>47.743003844999997</v>
      </c>
      <c r="G1149">
        <v>1771.277832</v>
      </c>
      <c r="H1149">
        <v>1644.6066894999999</v>
      </c>
      <c r="I1149">
        <v>943.60833739999998</v>
      </c>
      <c r="J1149">
        <v>748.92205810999997</v>
      </c>
      <c r="K1149">
        <v>2400</v>
      </c>
      <c r="L1149">
        <v>0</v>
      </c>
      <c r="M1149">
        <v>0</v>
      </c>
      <c r="N1149">
        <v>2400</v>
      </c>
    </row>
    <row r="1150" spans="1:14" x14ac:dyDescent="0.25">
      <c r="A1150">
        <v>749.41042500000003</v>
      </c>
      <c r="B1150" s="1">
        <f>DATE(2012,5,19) + TIME(9,51,0)</f>
        <v>41048.410416666666</v>
      </c>
      <c r="C1150">
        <v>80</v>
      </c>
      <c r="D1150">
        <v>79.951240540000001</v>
      </c>
      <c r="E1150">
        <v>50</v>
      </c>
      <c r="F1150">
        <v>47.720088959000002</v>
      </c>
      <c r="G1150">
        <v>1772.3095702999999</v>
      </c>
      <c r="H1150">
        <v>1645.6414795000001</v>
      </c>
      <c r="I1150">
        <v>942.29870604999996</v>
      </c>
      <c r="J1150">
        <v>747.59606933999999</v>
      </c>
      <c r="K1150">
        <v>2400</v>
      </c>
      <c r="L1150">
        <v>0</v>
      </c>
      <c r="M1150">
        <v>0</v>
      </c>
      <c r="N1150">
        <v>2400</v>
      </c>
    </row>
    <row r="1151" spans="1:14" x14ac:dyDescent="0.25">
      <c r="A1151">
        <v>749.69339200000002</v>
      </c>
      <c r="B1151" s="1">
        <f>DATE(2012,5,19) + TIME(16,38,29)</f>
        <v>41048.693391203706</v>
      </c>
      <c r="C1151">
        <v>80</v>
      </c>
      <c r="D1151">
        <v>79.951004028</v>
      </c>
      <c r="E1151">
        <v>50</v>
      </c>
      <c r="F1151">
        <v>47.697448729999998</v>
      </c>
      <c r="G1151">
        <v>1773.3144531</v>
      </c>
      <c r="H1151">
        <v>1646.6494141000001</v>
      </c>
      <c r="I1151">
        <v>941.01977538999995</v>
      </c>
      <c r="J1151">
        <v>746.30096435999997</v>
      </c>
      <c r="K1151">
        <v>2400</v>
      </c>
      <c r="L1151">
        <v>0</v>
      </c>
      <c r="M1151">
        <v>0</v>
      </c>
      <c r="N1151">
        <v>2400</v>
      </c>
    </row>
    <row r="1152" spans="1:14" x14ac:dyDescent="0.25">
      <c r="A1152">
        <v>750.25932399999999</v>
      </c>
      <c r="B1152" s="1">
        <f>DATE(2012,5,20) + TIME(6,13,25)</f>
        <v>41049.259317129632</v>
      </c>
      <c r="C1152">
        <v>80</v>
      </c>
      <c r="D1152">
        <v>79.950790405000006</v>
      </c>
      <c r="E1152">
        <v>50</v>
      </c>
      <c r="F1152">
        <v>47.662227631</v>
      </c>
      <c r="G1152">
        <v>1775.3603516000001</v>
      </c>
      <c r="H1152">
        <v>1648.6982422000001</v>
      </c>
      <c r="I1152">
        <v>938.60339354999996</v>
      </c>
      <c r="J1152">
        <v>743.85729979999996</v>
      </c>
      <c r="K1152">
        <v>2400</v>
      </c>
      <c r="L1152">
        <v>0</v>
      </c>
      <c r="M1152">
        <v>0</v>
      </c>
      <c r="N1152">
        <v>2400</v>
      </c>
    </row>
    <row r="1153" spans="1:14" x14ac:dyDescent="0.25">
      <c r="A1153">
        <v>750.82666700000004</v>
      </c>
      <c r="B1153" s="1">
        <f>DATE(2012,5,20) + TIME(19,50,24)</f>
        <v>41049.826666666668</v>
      </c>
      <c r="C1153">
        <v>80</v>
      </c>
      <c r="D1153">
        <v>79.950355529999996</v>
      </c>
      <c r="E1153">
        <v>50</v>
      </c>
      <c r="F1153">
        <v>47.623447417999998</v>
      </c>
      <c r="G1153">
        <v>1777.2292480000001</v>
      </c>
      <c r="H1153">
        <v>1650.5722656</v>
      </c>
      <c r="I1153">
        <v>936.27368163999995</v>
      </c>
      <c r="J1153">
        <v>741.50109863</v>
      </c>
      <c r="K1153">
        <v>2400</v>
      </c>
      <c r="L1153">
        <v>0</v>
      </c>
      <c r="M1153">
        <v>0</v>
      </c>
      <c r="N1153">
        <v>2400</v>
      </c>
    </row>
    <row r="1154" spans="1:14" x14ac:dyDescent="0.25">
      <c r="A1154">
        <v>751.40180099999998</v>
      </c>
      <c r="B1154" s="1">
        <f>DATE(2012,5,21) + TIME(9,38,35)</f>
        <v>41050.40179398148</v>
      </c>
      <c r="C1154">
        <v>80</v>
      </c>
      <c r="D1154">
        <v>79.949874878000003</v>
      </c>
      <c r="E1154">
        <v>50</v>
      </c>
      <c r="F1154">
        <v>47.582424164000003</v>
      </c>
      <c r="G1154">
        <v>1778.9973144999999</v>
      </c>
      <c r="H1154">
        <v>1652.3452147999999</v>
      </c>
      <c r="I1154">
        <v>934.01477050999995</v>
      </c>
      <c r="J1154">
        <v>739.21362305000002</v>
      </c>
      <c r="K1154">
        <v>2400</v>
      </c>
      <c r="L1154">
        <v>0</v>
      </c>
      <c r="M1154">
        <v>0</v>
      </c>
      <c r="N1154">
        <v>2400</v>
      </c>
    </row>
    <row r="1155" spans="1:14" x14ac:dyDescent="0.25">
      <c r="A1155">
        <v>751.98713399999997</v>
      </c>
      <c r="B1155" s="1">
        <f>DATE(2012,5,21) + TIME(23,41,28)</f>
        <v>41050.987129629626</v>
      </c>
      <c r="C1155">
        <v>80</v>
      </c>
      <c r="D1155">
        <v>79.949417113999999</v>
      </c>
      <c r="E1155">
        <v>50</v>
      </c>
      <c r="F1155">
        <v>47.539848327999998</v>
      </c>
      <c r="G1155">
        <v>1780.6926269999999</v>
      </c>
      <c r="H1155">
        <v>1654.0451660000001</v>
      </c>
      <c r="I1155">
        <v>931.81719970999995</v>
      </c>
      <c r="J1155">
        <v>736.98608397999999</v>
      </c>
      <c r="K1155">
        <v>2400</v>
      </c>
      <c r="L1155">
        <v>0</v>
      </c>
      <c r="M1155">
        <v>0</v>
      </c>
      <c r="N1155">
        <v>2400</v>
      </c>
    </row>
    <row r="1156" spans="1:14" x14ac:dyDescent="0.25">
      <c r="A1156">
        <v>752.58531200000004</v>
      </c>
      <c r="B1156" s="1">
        <f>DATE(2012,5,22) + TIME(14,2,50)</f>
        <v>41051.585300925923</v>
      </c>
      <c r="C1156">
        <v>80</v>
      </c>
      <c r="D1156">
        <v>79.948982239000003</v>
      </c>
      <c r="E1156">
        <v>50</v>
      </c>
      <c r="F1156">
        <v>47.496040344000001</v>
      </c>
      <c r="G1156">
        <v>1782.3297118999999</v>
      </c>
      <c r="H1156">
        <v>1655.6865233999999</v>
      </c>
      <c r="I1156">
        <v>929.67181396000001</v>
      </c>
      <c r="J1156">
        <v>734.80957031000003</v>
      </c>
      <c r="K1156">
        <v>2400</v>
      </c>
      <c r="L1156">
        <v>0</v>
      </c>
      <c r="M1156">
        <v>0</v>
      </c>
      <c r="N1156">
        <v>2400</v>
      </c>
    </row>
    <row r="1157" spans="1:14" x14ac:dyDescent="0.25">
      <c r="A1157">
        <v>753.19865100000004</v>
      </c>
      <c r="B1157" s="1">
        <f>DATE(2012,5,23) + TIME(4,46,3)</f>
        <v>41052.198645833334</v>
      </c>
      <c r="C1157">
        <v>80</v>
      </c>
      <c r="D1157">
        <v>79.948585510000001</v>
      </c>
      <c r="E1157">
        <v>50</v>
      </c>
      <c r="F1157">
        <v>47.451126099</v>
      </c>
      <c r="G1157">
        <v>1783.9165039</v>
      </c>
      <c r="H1157">
        <v>1657.2774658000001</v>
      </c>
      <c r="I1157">
        <v>927.57208251999998</v>
      </c>
      <c r="J1157">
        <v>732.67761229999996</v>
      </c>
      <c r="K1157">
        <v>2400</v>
      </c>
      <c r="L1157">
        <v>0</v>
      </c>
      <c r="M1157">
        <v>0</v>
      </c>
      <c r="N1157">
        <v>2400</v>
      </c>
    </row>
    <row r="1158" spans="1:14" x14ac:dyDescent="0.25">
      <c r="A1158">
        <v>753.83005000000003</v>
      </c>
      <c r="B1158" s="1">
        <f>DATE(2012,5,23) + TIME(19,55,16)</f>
        <v>41052.830046296294</v>
      </c>
      <c r="C1158">
        <v>80</v>
      </c>
      <c r="D1158">
        <v>79.948211670000006</v>
      </c>
      <c r="E1158">
        <v>50</v>
      </c>
      <c r="F1158">
        <v>47.405078887999998</v>
      </c>
      <c r="G1158">
        <v>1785.4600829999999</v>
      </c>
      <c r="H1158">
        <v>1658.8249512</v>
      </c>
      <c r="I1158">
        <v>925.51062012</v>
      </c>
      <c r="J1158">
        <v>730.58294678000004</v>
      </c>
      <c r="K1158">
        <v>2400</v>
      </c>
      <c r="L1158">
        <v>0</v>
      </c>
      <c r="M1158">
        <v>0</v>
      </c>
      <c r="N1158">
        <v>2400</v>
      </c>
    </row>
    <row r="1159" spans="1:14" x14ac:dyDescent="0.25">
      <c r="A1159">
        <v>754.48277399999995</v>
      </c>
      <c r="B1159" s="1">
        <f>DATE(2012,5,24) + TIME(11,35,11)</f>
        <v>41053.482766203706</v>
      </c>
      <c r="C1159">
        <v>80</v>
      </c>
      <c r="D1159">
        <v>79.947853088000002</v>
      </c>
      <c r="E1159">
        <v>50</v>
      </c>
      <c r="F1159">
        <v>47.357791900999999</v>
      </c>
      <c r="G1159">
        <v>1786.9665527</v>
      </c>
      <c r="H1159">
        <v>1660.3350829999999</v>
      </c>
      <c r="I1159">
        <v>923.48071288999995</v>
      </c>
      <c r="J1159">
        <v>728.51855468999997</v>
      </c>
      <c r="K1159">
        <v>2400</v>
      </c>
      <c r="L1159">
        <v>0</v>
      </c>
      <c r="M1159">
        <v>0</v>
      </c>
      <c r="N1159">
        <v>2400</v>
      </c>
    </row>
    <row r="1160" spans="1:14" x14ac:dyDescent="0.25">
      <c r="A1160">
        <v>755.16055400000005</v>
      </c>
      <c r="B1160" s="1">
        <f>DATE(2012,5,25) + TIME(3,51,11)</f>
        <v>41054.160543981481</v>
      </c>
      <c r="C1160">
        <v>80</v>
      </c>
      <c r="D1160">
        <v>79.947517395000006</v>
      </c>
      <c r="E1160">
        <v>50</v>
      </c>
      <c r="F1160">
        <v>47.309097289999997</v>
      </c>
      <c r="G1160">
        <v>1788.4410399999999</v>
      </c>
      <c r="H1160">
        <v>1661.8131103999999</v>
      </c>
      <c r="I1160">
        <v>921.47564696999996</v>
      </c>
      <c r="J1160">
        <v>726.47778319999998</v>
      </c>
      <c r="K1160">
        <v>2400</v>
      </c>
      <c r="L1160">
        <v>0</v>
      </c>
      <c r="M1160">
        <v>0</v>
      </c>
      <c r="N1160">
        <v>2400</v>
      </c>
    </row>
    <row r="1161" spans="1:14" x14ac:dyDescent="0.25">
      <c r="A1161">
        <v>755.86763099999996</v>
      </c>
      <c r="B1161" s="1">
        <f>DATE(2012,5,25) + TIME(20,49,23)</f>
        <v>41054.867627314816</v>
      </c>
      <c r="C1161">
        <v>80</v>
      </c>
      <c r="D1161">
        <v>79.947189331000004</v>
      </c>
      <c r="E1161">
        <v>50</v>
      </c>
      <c r="F1161">
        <v>47.258762359999999</v>
      </c>
      <c r="G1161">
        <v>1789.8879394999999</v>
      </c>
      <c r="H1161">
        <v>1663.2634277</v>
      </c>
      <c r="I1161">
        <v>919.48925781000003</v>
      </c>
      <c r="J1161">
        <v>724.45404053000004</v>
      </c>
      <c r="K1161">
        <v>2400</v>
      </c>
      <c r="L1161">
        <v>0</v>
      </c>
      <c r="M1161">
        <v>0</v>
      </c>
      <c r="N1161">
        <v>2400</v>
      </c>
    </row>
    <row r="1162" spans="1:14" x14ac:dyDescent="0.25">
      <c r="A1162">
        <v>756.22825599999999</v>
      </c>
      <c r="B1162" s="1">
        <f>DATE(2012,5,26) + TIME(5,28,41)</f>
        <v>41055.228252314817</v>
      </c>
      <c r="C1162">
        <v>80</v>
      </c>
      <c r="D1162">
        <v>79.946823120000005</v>
      </c>
      <c r="E1162">
        <v>50</v>
      </c>
      <c r="F1162">
        <v>47.224700927999997</v>
      </c>
      <c r="G1162">
        <v>1790.5041504000001</v>
      </c>
      <c r="H1162">
        <v>1663.8828125</v>
      </c>
      <c r="I1162">
        <v>918.47351074000005</v>
      </c>
      <c r="J1162">
        <v>723.41595458999996</v>
      </c>
      <c r="K1162">
        <v>2400</v>
      </c>
      <c r="L1162">
        <v>0</v>
      </c>
      <c r="M1162">
        <v>0</v>
      </c>
      <c r="N1162">
        <v>2400</v>
      </c>
    </row>
    <row r="1163" spans="1:14" x14ac:dyDescent="0.25">
      <c r="A1163">
        <v>756.58888100000001</v>
      </c>
      <c r="B1163" s="1">
        <f>DATE(2012,5,26) + TIME(14,7,59)</f>
        <v>41055.588877314818</v>
      </c>
      <c r="C1163">
        <v>80</v>
      </c>
      <c r="D1163">
        <v>79.946601868000002</v>
      </c>
      <c r="E1163">
        <v>50</v>
      </c>
      <c r="F1163">
        <v>47.193130492999998</v>
      </c>
      <c r="G1163">
        <v>1791.1324463000001</v>
      </c>
      <c r="H1163">
        <v>1664.5125731999999</v>
      </c>
      <c r="I1163">
        <v>917.49975586000005</v>
      </c>
      <c r="J1163">
        <v>722.41735840000001</v>
      </c>
      <c r="K1163">
        <v>2400</v>
      </c>
      <c r="L1163">
        <v>0</v>
      </c>
      <c r="M1163">
        <v>0</v>
      </c>
      <c r="N1163">
        <v>2400</v>
      </c>
    </row>
    <row r="1164" spans="1:14" x14ac:dyDescent="0.25">
      <c r="A1164">
        <v>756.94950600000004</v>
      </c>
      <c r="B1164" s="1">
        <f>DATE(2012,5,26) + TIME(22,47,17)</f>
        <v>41055.949502314812</v>
      </c>
      <c r="C1164">
        <v>80</v>
      </c>
      <c r="D1164">
        <v>79.946456909000005</v>
      </c>
      <c r="E1164">
        <v>50</v>
      </c>
      <c r="F1164">
        <v>47.163253783999998</v>
      </c>
      <c r="G1164">
        <v>1791.7636719</v>
      </c>
      <c r="H1164">
        <v>1665.1452637</v>
      </c>
      <c r="I1164">
        <v>916.55328368999994</v>
      </c>
      <c r="J1164">
        <v>721.44757079999999</v>
      </c>
      <c r="K1164">
        <v>2400</v>
      </c>
      <c r="L1164">
        <v>0</v>
      </c>
      <c r="M1164">
        <v>0</v>
      </c>
      <c r="N1164">
        <v>2400</v>
      </c>
    </row>
    <row r="1165" spans="1:14" x14ac:dyDescent="0.25">
      <c r="A1165">
        <v>757.31013199999995</v>
      </c>
      <c r="B1165" s="1">
        <f>DATE(2012,5,27) + TIME(7,26,35)</f>
        <v>41056.310127314813</v>
      </c>
      <c r="C1165">
        <v>80</v>
      </c>
      <c r="D1165">
        <v>79.946342467999997</v>
      </c>
      <c r="E1165">
        <v>50</v>
      </c>
      <c r="F1165">
        <v>47.134555816999999</v>
      </c>
      <c r="G1165">
        <v>1792.3864745999999</v>
      </c>
      <c r="H1165">
        <v>1665.7695312000001</v>
      </c>
      <c r="I1165">
        <v>915.63232421999999</v>
      </c>
      <c r="J1165">
        <v>720.50415038999995</v>
      </c>
      <c r="K1165">
        <v>2400</v>
      </c>
      <c r="L1165">
        <v>0</v>
      </c>
      <c r="M1165">
        <v>0</v>
      </c>
      <c r="N1165">
        <v>2400</v>
      </c>
    </row>
    <row r="1166" spans="1:14" x14ac:dyDescent="0.25">
      <c r="A1166">
        <v>757.67075699999998</v>
      </c>
      <c r="B1166" s="1">
        <f>DATE(2012,5,27) + TIME(16,5,53)</f>
        <v>41056.670752314814</v>
      </c>
      <c r="C1166">
        <v>80</v>
      </c>
      <c r="D1166">
        <v>79.946235657000003</v>
      </c>
      <c r="E1166">
        <v>50</v>
      </c>
      <c r="F1166">
        <v>47.106678008999999</v>
      </c>
      <c r="G1166">
        <v>1792.9957274999999</v>
      </c>
      <c r="H1166">
        <v>1666.3801269999999</v>
      </c>
      <c r="I1166">
        <v>914.73577881000006</v>
      </c>
      <c r="J1166">
        <v>719.58569336000005</v>
      </c>
      <c r="K1166">
        <v>2400</v>
      </c>
      <c r="L1166">
        <v>0</v>
      </c>
      <c r="M1166">
        <v>0</v>
      </c>
      <c r="N1166">
        <v>2400</v>
      </c>
    </row>
    <row r="1167" spans="1:14" x14ac:dyDescent="0.25">
      <c r="A1167">
        <v>758.03138200000001</v>
      </c>
      <c r="B1167" s="1">
        <f>DATE(2012,5,28) + TIME(0,45,11)</f>
        <v>41057.031377314815</v>
      </c>
      <c r="C1167">
        <v>80</v>
      </c>
      <c r="D1167">
        <v>79.946136475000003</v>
      </c>
      <c r="E1167">
        <v>50</v>
      </c>
      <c r="F1167">
        <v>47.079380035</v>
      </c>
      <c r="G1167">
        <v>1793.5891113</v>
      </c>
      <c r="H1167">
        <v>1666.9748535000001</v>
      </c>
      <c r="I1167">
        <v>913.86260986000002</v>
      </c>
      <c r="J1167">
        <v>718.69110106999995</v>
      </c>
      <c r="K1167">
        <v>2400</v>
      </c>
      <c r="L1167">
        <v>0</v>
      </c>
      <c r="M1167">
        <v>0</v>
      </c>
      <c r="N1167">
        <v>2400</v>
      </c>
    </row>
    <row r="1168" spans="1:14" x14ac:dyDescent="0.25">
      <c r="A1168">
        <v>758.75263299999995</v>
      </c>
      <c r="B1168" s="1">
        <f>DATE(2012,5,28) + TIME(18,3,47)</f>
        <v>41057.752627314818</v>
      </c>
      <c r="C1168">
        <v>80</v>
      </c>
      <c r="D1168">
        <v>79.946144103999998</v>
      </c>
      <c r="E1168">
        <v>50</v>
      </c>
      <c r="F1168">
        <v>47.038688659999998</v>
      </c>
      <c r="G1168">
        <v>1794.8355713000001</v>
      </c>
      <c r="H1168">
        <v>1668.2227783000001</v>
      </c>
      <c r="I1168">
        <v>912.24291991999996</v>
      </c>
      <c r="J1168">
        <v>717.03704833999996</v>
      </c>
      <c r="K1168">
        <v>2400</v>
      </c>
      <c r="L1168">
        <v>0</v>
      </c>
      <c r="M1168">
        <v>0</v>
      </c>
      <c r="N1168">
        <v>2400</v>
      </c>
    </row>
    <row r="1169" spans="1:14" x14ac:dyDescent="0.25">
      <c r="A1169">
        <v>759.47506299999998</v>
      </c>
      <c r="B1169" s="1">
        <f>DATE(2012,5,29) + TIME(11,24,5)</f>
        <v>41058.475057870368</v>
      </c>
      <c r="C1169">
        <v>80</v>
      </c>
      <c r="D1169">
        <v>79.945945739999999</v>
      </c>
      <c r="E1169">
        <v>50</v>
      </c>
      <c r="F1169">
        <v>46.992614746000001</v>
      </c>
      <c r="G1169">
        <v>1795.9471435999999</v>
      </c>
      <c r="H1169">
        <v>1669.3365478999999</v>
      </c>
      <c r="I1169">
        <v>910.67907715000001</v>
      </c>
      <c r="J1169">
        <v>715.43792725000003</v>
      </c>
      <c r="K1169">
        <v>2400</v>
      </c>
      <c r="L1169">
        <v>0</v>
      </c>
      <c r="M1169">
        <v>0</v>
      </c>
      <c r="N1169">
        <v>2400</v>
      </c>
    </row>
    <row r="1170" spans="1:14" x14ac:dyDescent="0.25">
      <c r="A1170">
        <v>760.20660899999996</v>
      </c>
      <c r="B1170" s="1">
        <f>DATE(2012,5,30) + TIME(4,57,31)</f>
        <v>41059.206608796296</v>
      </c>
      <c r="C1170">
        <v>80</v>
      </c>
      <c r="D1170">
        <v>79.945709229000002</v>
      </c>
      <c r="E1170">
        <v>50</v>
      </c>
      <c r="F1170">
        <v>46.943565368999998</v>
      </c>
      <c r="G1170">
        <v>1796.9774170000001</v>
      </c>
      <c r="H1170">
        <v>1670.3691406</v>
      </c>
      <c r="I1170">
        <v>909.16955566000001</v>
      </c>
      <c r="J1170">
        <v>713.88964843999997</v>
      </c>
      <c r="K1170">
        <v>2400</v>
      </c>
      <c r="L1170">
        <v>0</v>
      </c>
      <c r="M1170">
        <v>0</v>
      </c>
      <c r="N1170">
        <v>2400</v>
      </c>
    </row>
    <row r="1171" spans="1:14" x14ac:dyDescent="0.25">
      <c r="A1171">
        <v>760.95053800000005</v>
      </c>
      <c r="B1171" s="1">
        <f>DATE(2012,5,30) + TIME(22,48,46)</f>
        <v>41059.950532407405</v>
      </c>
      <c r="C1171">
        <v>80</v>
      </c>
      <c r="D1171">
        <v>79.945472717000001</v>
      </c>
      <c r="E1171">
        <v>50</v>
      </c>
      <c r="F1171">
        <v>46.892646790000001</v>
      </c>
      <c r="G1171">
        <v>1797.9494629000001</v>
      </c>
      <c r="H1171">
        <v>1671.3431396000001</v>
      </c>
      <c r="I1171">
        <v>907.70831298999997</v>
      </c>
      <c r="J1171">
        <v>712.38726807</v>
      </c>
      <c r="K1171">
        <v>2400</v>
      </c>
      <c r="L1171">
        <v>0</v>
      </c>
      <c r="M1171">
        <v>0</v>
      </c>
      <c r="N1171">
        <v>2400</v>
      </c>
    </row>
    <row r="1172" spans="1:14" x14ac:dyDescent="0.25">
      <c r="A1172">
        <v>761.71030900000005</v>
      </c>
      <c r="B1172" s="1">
        <f>DATE(2012,5,31) + TIME(17,2,50)</f>
        <v>41060.710300925923</v>
      </c>
      <c r="C1172">
        <v>80</v>
      </c>
      <c r="D1172">
        <v>79.945259093999994</v>
      </c>
      <c r="E1172">
        <v>50</v>
      </c>
      <c r="F1172">
        <v>46.840320587000001</v>
      </c>
      <c r="G1172">
        <v>1798.8742675999999</v>
      </c>
      <c r="H1172">
        <v>1672.2697754000001</v>
      </c>
      <c r="I1172">
        <v>906.28942871000004</v>
      </c>
      <c r="J1172">
        <v>710.92529296999999</v>
      </c>
      <c r="K1172">
        <v>2400</v>
      </c>
      <c r="L1172">
        <v>0</v>
      </c>
      <c r="M1172">
        <v>0</v>
      </c>
      <c r="N1172">
        <v>2400</v>
      </c>
    </row>
    <row r="1173" spans="1:14" x14ac:dyDescent="0.25">
      <c r="A1173">
        <v>762</v>
      </c>
      <c r="B1173" s="1">
        <f>DATE(2012,6,1) + TIME(0,0,0)</f>
        <v>41061</v>
      </c>
      <c r="C1173">
        <v>80</v>
      </c>
      <c r="D1173">
        <v>79.945007324000002</v>
      </c>
      <c r="E1173">
        <v>50</v>
      </c>
      <c r="F1173">
        <v>46.811130523999999</v>
      </c>
      <c r="G1173">
        <v>1799.1364745999999</v>
      </c>
      <c r="H1173">
        <v>1672.5335693</v>
      </c>
      <c r="I1173">
        <v>905.72113036999997</v>
      </c>
      <c r="J1173">
        <v>710.33636475000003</v>
      </c>
      <c r="K1173">
        <v>2400</v>
      </c>
      <c r="L1173">
        <v>0</v>
      </c>
      <c r="M1173">
        <v>0</v>
      </c>
      <c r="N1173">
        <v>2400</v>
      </c>
    </row>
    <row r="1174" spans="1:14" x14ac:dyDescent="0.25">
      <c r="A1174">
        <v>762.77879299999995</v>
      </c>
      <c r="B1174" s="1">
        <f>DATE(2012,6,1) + TIME(18,41,27)</f>
        <v>41061.778784722221</v>
      </c>
      <c r="C1174">
        <v>80</v>
      </c>
      <c r="D1174">
        <v>79.944961547999995</v>
      </c>
      <c r="E1174">
        <v>50</v>
      </c>
      <c r="F1174">
        <v>46.761943817000002</v>
      </c>
      <c r="G1174">
        <v>1800.0338135</v>
      </c>
      <c r="H1174">
        <v>1673.4317627</v>
      </c>
      <c r="I1174">
        <v>904.39251708999996</v>
      </c>
      <c r="J1174">
        <v>708.96142578000001</v>
      </c>
      <c r="K1174">
        <v>2400</v>
      </c>
      <c r="L1174">
        <v>0</v>
      </c>
      <c r="M1174">
        <v>0</v>
      </c>
      <c r="N1174">
        <v>2400</v>
      </c>
    </row>
    <row r="1175" spans="1:14" x14ac:dyDescent="0.25">
      <c r="A1175">
        <v>763.58869200000004</v>
      </c>
      <c r="B1175" s="1">
        <f>DATE(2012,6,2) + TIME(14,7,42)</f>
        <v>41062.588680555556</v>
      </c>
      <c r="C1175">
        <v>80</v>
      </c>
      <c r="D1175">
        <v>79.944847107000001</v>
      </c>
      <c r="E1175">
        <v>50</v>
      </c>
      <c r="F1175">
        <v>46.709007262999997</v>
      </c>
      <c r="G1175">
        <v>1800.8890381000001</v>
      </c>
      <c r="H1175">
        <v>1674.2885742000001</v>
      </c>
      <c r="I1175">
        <v>903.06219481999995</v>
      </c>
      <c r="J1175">
        <v>707.58575439000003</v>
      </c>
      <c r="K1175">
        <v>2400</v>
      </c>
      <c r="L1175">
        <v>0</v>
      </c>
      <c r="M1175">
        <v>0</v>
      </c>
      <c r="N1175">
        <v>2400</v>
      </c>
    </row>
    <row r="1176" spans="1:14" x14ac:dyDescent="0.25">
      <c r="A1176">
        <v>764.42206799999997</v>
      </c>
      <c r="B1176" s="1">
        <f>DATE(2012,6,3) + TIME(10,7,46)</f>
        <v>41063.422060185185</v>
      </c>
      <c r="C1176">
        <v>80</v>
      </c>
      <c r="D1176">
        <v>79.944694518999995</v>
      </c>
      <c r="E1176">
        <v>50</v>
      </c>
      <c r="F1176">
        <v>46.653438567999999</v>
      </c>
      <c r="G1176">
        <v>1801.6910399999999</v>
      </c>
      <c r="H1176">
        <v>1675.0921631000001</v>
      </c>
      <c r="I1176">
        <v>901.76312256000006</v>
      </c>
      <c r="J1176">
        <v>706.23797606999995</v>
      </c>
      <c r="K1176">
        <v>2400</v>
      </c>
      <c r="L1176">
        <v>0</v>
      </c>
      <c r="M1176">
        <v>0</v>
      </c>
      <c r="N1176">
        <v>2400</v>
      </c>
    </row>
    <row r="1177" spans="1:14" x14ac:dyDescent="0.25">
      <c r="A1177">
        <v>765.28357000000005</v>
      </c>
      <c r="B1177" s="1">
        <f>DATE(2012,6,4) + TIME(6,48,20)</f>
        <v>41064.283564814818</v>
      </c>
      <c r="C1177">
        <v>80</v>
      </c>
      <c r="D1177">
        <v>79.944534301999994</v>
      </c>
      <c r="E1177">
        <v>50</v>
      </c>
      <c r="F1177">
        <v>46.595703125</v>
      </c>
      <c r="G1177">
        <v>1802.4522704999999</v>
      </c>
      <c r="H1177">
        <v>1675.8548584</v>
      </c>
      <c r="I1177">
        <v>900.49200439000003</v>
      </c>
      <c r="J1177">
        <v>704.91503906000003</v>
      </c>
      <c r="K1177">
        <v>2400</v>
      </c>
      <c r="L1177">
        <v>0</v>
      </c>
      <c r="M1177">
        <v>0</v>
      </c>
      <c r="N1177">
        <v>2400</v>
      </c>
    </row>
    <row r="1178" spans="1:14" x14ac:dyDescent="0.25">
      <c r="A1178">
        <v>765.72158899999999</v>
      </c>
      <c r="B1178" s="1">
        <f>DATE(2012,6,4) + TIME(17,19,5)</f>
        <v>41064.721585648149</v>
      </c>
      <c r="C1178">
        <v>80</v>
      </c>
      <c r="D1178">
        <v>79.944290160999998</v>
      </c>
      <c r="E1178">
        <v>50</v>
      </c>
      <c r="F1178">
        <v>46.555305480999998</v>
      </c>
      <c r="G1178">
        <v>1802.7371826000001</v>
      </c>
      <c r="H1178">
        <v>1676.1409911999999</v>
      </c>
      <c r="I1178">
        <v>899.8203125</v>
      </c>
      <c r="J1178">
        <v>704.20904541000004</v>
      </c>
      <c r="K1178">
        <v>2400</v>
      </c>
      <c r="L1178">
        <v>0</v>
      </c>
      <c r="M1178">
        <v>0</v>
      </c>
      <c r="N1178">
        <v>2400</v>
      </c>
    </row>
    <row r="1179" spans="1:14" x14ac:dyDescent="0.25">
      <c r="A1179">
        <v>766.15960700000005</v>
      </c>
      <c r="B1179" s="1">
        <f>DATE(2012,6,5) + TIME(3,49,50)</f>
        <v>41065.15960648148</v>
      </c>
      <c r="C1179">
        <v>80</v>
      </c>
      <c r="D1179">
        <v>79.944160460999996</v>
      </c>
      <c r="E1179">
        <v>50</v>
      </c>
      <c r="F1179">
        <v>46.518543243000003</v>
      </c>
      <c r="G1179">
        <v>1803.0321045000001</v>
      </c>
      <c r="H1179">
        <v>1676.4365233999999</v>
      </c>
      <c r="I1179">
        <v>899.18988036999997</v>
      </c>
      <c r="J1179">
        <v>703.54327393000005</v>
      </c>
      <c r="K1179">
        <v>2400</v>
      </c>
      <c r="L1179">
        <v>0</v>
      </c>
      <c r="M1179">
        <v>0</v>
      </c>
      <c r="N1179">
        <v>2400</v>
      </c>
    </row>
    <row r="1180" spans="1:14" x14ac:dyDescent="0.25">
      <c r="A1180">
        <v>766.59762499999999</v>
      </c>
      <c r="B1180" s="1">
        <f>DATE(2012,6,5) + TIME(14,20,34)</f>
        <v>41065.597615740742</v>
      </c>
      <c r="C1180">
        <v>80</v>
      </c>
      <c r="D1180">
        <v>79.944091796999999</v>
      </c>
      <c r="E1180">
        <v>50</v>
      </c>
      <c r="F1180">
        <v>46.484104156000001</v>
      </c>
      <c r="G1180">
        <v>1803.3342285000001</v>
      </c>
      <c r="H1180">
        <v>1676.7393798999999</v>
      </c>
      <c r="I1180">
        <v>898.58099364999998</v>
      </c>
      <c r="J1180">
        <v>702.90106201000003</v>
      </c>
      <c r="K1180">
        <v>2400</v>
      </c>
      <c r="L1180">
        <v>0</v>
      </c>
      <c r="M1180">
        <v>0</v>
      </c>
      <c r="N1180">
        <v>2400</v>
      </c>
    </row>
    <row r="1181" spans="1:14" x14ac:dyDescent="0.25">
      <c r="A1181">
        <v>767.03564400000005</v>
      </c>
      <c r="B1181" s="1">
        <f>DATE(2012,6,6) + TIME(0,51,19)</f>
        <v>41066.035636574074</v>
      </c>
      <c r="C1181">
        <v>80</v>
      </c>
      <c r="D1181">
        <v>79.944053650000001</v>
      </c>
      <c r="E1181">
        <v>50</v>
      </c>
      <c r="F1181">
        <v>46.451160430999998</v>
      </c>
      <c r="G1181">
        <v>1803.6341553</v>
      </c>
      <c r="H1181">
        <v>1677.0399170000001</v>
      </c>
      <c r="I1181">
        <v>897.99114989999998</v>
      </c>
      <c r="J1181">
        <v>702.27899170000001</v>
      </c>
      <c r="K1181">
        <v>2400</v>
      </c>
      <c r="L1181">
        <v>0</v>
      </c>
      <c r="M1181">
        <v>0</v>
      </c>
      <c r="N1181">
        <v>2400</v>
      </c>
    </row>
    <row r="1182" spans="1:14" x14ac:dyDescent="0.25">
      <c r="A1182">
        <v>767.47366199999999</v>
      </c>
      <c r="B1182" s="1">
        <f>DATE(2012,6,6) + TIME(11,22,4)</f>
        <v>41066.473657407405</v>
      </c>
      <c r="C1182">
        <v>80</v>
      </c>
      <c r="D1182">
        <v>79.944023131999998</v>
      </c>
      <c r="E1182">
        <v>50</v>
      </c>
      <c r="F1182">
        <v>46.419185638000002</v>
      </c>
      <c r="G1182">
        <v>1803.9270019999999</v>
      </c>
      <c r="H1182">
        <v>1677.333374</v>
      </c>
      <c r="I1182">
        <v>897.41888428000004</v>
      </c>
      <c r="J1182">
        <v>701.67529296999999</v>
      </c>
      <c r="K1182">
        <v>2400</v>
      </c>
      <c r="L1182">
        <v>0</v>
      </c>
      <c r="M1182">
        <v>0</v>
      </c>
      <c r="N1182">
        <v>2400</v>
      </c>
    </row>
    <row r="1183" spans="1:14" x14ac:dyDescent="0.25">
      <c r="A1183">
        <v>767.91168100000004</v>
      </c>
      <c r="B1183" s="1">
        <f>DATE(2012,6,6) + TIME(21,52,49)</f>
        <v>41066.911678240744</v>
      </c>
      <c r="C1183">
        <v>80</v>
      </c>
      <c r="D1183">
        <v>79.943992614999999</v>
      </c>
      <c r="E1183">
        <v>50</v>
      </c>
      <c r="F1183">
        <v>46.387851714999996</v>
      </c>
      <c r="G1183">
        <v>1804.2104492000001</v>
      </c>
      <c r="H1183">
        <v>1677.6173096</v>
      </c>
      <c r="I1183">
        <v>896.86315918000003</v>
      </c>
      <c r="J1183">
        <v>701.08837890999996</v>
      </c>
      <c r="K1183">
        <v>2400</v>
      </c>
      <c r="L1183">
        <v>0</v>
      </c>
      <c r="M1183">
        <v>0</v>
      </c>
      <c r="N1183">
        <v>2400</v>
      </c>
    </row>
    <row r="1184" spans="1:14" x14ac:dyDescent="0.25">
      <c r="A1184">
        <v>768.78771700000004</v>
      </c>
      <c r="B1184" s="1">
        <f>DATE(2012,6,7) + TIME(18,54,18)</f>
        <v>41067.787708333337</v>
      </c>
      <c r="C1184">
        <v>80</v>
      </c>
      <c r="D1184">
        <v>79.944099425999994</v>
      </c>
      <c r="E1184">
        <v>50</v>
      </c>
      <c r="F1184">
        <v>46.342468261999997</v>
      </c>
      <c r="G1184">
        <v>1804.8499756000001</v>
      </c>
      <c r="H1184">
        <v>1678.2575684000001</v>
      </c>
      <c r="I1184">
        <v>895.87225341999999</v>
      </c>
      <c r="J1184">
        <v>700.04992675999995</v>
      </c>
      <c r="K1184">
        <v>2400</v>
      </c>
      <c r="L1184">
        <v>0</v>
      </c>
      <c r="M1184">
        <v>0</v>
      </c>
      <c r="N1184">
        <v>2400</v>
      </c>
    </row>
    <row r="1185" spans="1:14" x14ac:dyDescent="0.25">
      <c r="A1185">
        <v>769.66389000000004</v>
      </c>
      <c r="B1185" s="1">
        <f>DATE(2012,6,8) + TIME(15,56,0)</f>
        <v>41068.663888888892</v>
      </c>
      <c r="C1185">
        <v>80</v>
      </c>
      <c r="D1185">
        <v>79.944023131999998</v>
      </c>
      <c r="E1185">
        <v>50</v>
      </c>
      <c r="F1185">
        <v>46.289287567000002</v>
      </c>
      <c r="G1185">
        <v>1805.3864745999999</v>
      </c>
      <c r="H1185">
        <v>1678.7951660000001</v>
      </c>
      <c r="I1185">
        <v>894.89929199000005</v>
      </c>
      <c r="J1185">
        <v>699.02368163999995</v>
      </c>
      <c r="K1185">
        <v>2400</v>
      </c>
      <c r="L1185">
        <v>0</v>
      </c>
      <c r="M1185">
        <v>0</v>
      </c>
      <c r="N1185">
        <v>2400</v>
      </c>
    </row>
    <row r="1186" spans="1:14" x14ac:dyDescent="0.25">
      <c r="A1186">
        <v>770.55048699999998</v>
      </c>
      <c r="B1186" s="1">
        <f>DATE(2012,6,9) + TIME(13,12,42)</f>
        <v>41069.550486111111</v>
      </c>
      <c r="C1186">
        <v>80</v>
      </c>
      <c r="D1186">
        <v>79.943908691000004</v>
      </c>
      <c r="E1186">
        <v>50</v>
      </c>
      <c r="F1186">
        <v>46.232208252</v>
      </c>
      <c r="G1186">
        <v>1805.8581543</v>
      </c>
      <c r="H1186">
        <v>1679.2677002</v>
      </c>
      <c r="I1186">
        <v>893.95867920000001</v>
      </c>
      <c r="J1186">
        <v>698.02380371000004</v>
      </c>
      <c r="K1186">
        <v>2400</v>
      </c>
      <c r="L1186">
        <v>0</v>
      </c>
      <c r="M1186">
        <v>0</v>
      </c>
      <c r="N1186">
        <v>2400</v>
      </c>
    </row>
    <row r="1187" spans="1:14" x14ac:dyDescent="0.25">
      <c r="A1187">
        <v>771.45101099999999</v>
      </c>
      <c r="B1187" s="1">
        <f>DATE(2012,6,10) + TIME(10,49,27)</f>
        <v>41070.451006944444</v>
      </c>
      <c r="C1187">
        <v>80</v>
      </c>
      <c r="D1187">
        <v>79.943801879999995</v>
      </c>
      <c r="E1187">
        <v>50</v>
      </c>
      <c r="F1187">
        <v>46.172859191999997</v>
      </c>
      <c r="G1187">
        <v>1806.2832031</v>
      </c>
      <c r="H1187">
        <v>1679.6936035000001</v>
      </c>
      <c r="I1187">
        <v>893.04895020000004</v>
      </c>
      <c r="J1187">
        <v>697.05047606999995</v>
      </c>
      <c r="K1187">
        <v>2400</v>
      </c>
      <c r="L1187">
        <v>0</v>
      </c>
      <c r="M1187">
        <v>0</v>
      </c>
      <c r="N1187">
        <v>2400</v>
      </c>
    </row>
    <row r="1188" spans="1:14" x14ac:dyDescent="0.25">
      <c r="A1188">
        <v>772.36940500000003</v>
      </c>
      <c r="B1188" s="1">
        <f>DATE(2012,6,11) + TIME(8,51,56)</f>
        <v>41071.369398148148</v>
      </c>
      <c r="C1188">
        <v>80</v>
      </c>
      <c r="D1188">
        <v>79.943710327000005</v>
      </c>
      <c r="E1188">
        <v>50</v>
      </c>
      <c r="F1188">
        <v>46.111869812000002</v>
      </c>
      <c r="G1188">
        <v>1806.6700439000001</v>
      </c>
      <c r="H1188">
        <v>1680.0811768000001</v>
      </c>
      <c r="I1188">
        <v>892.16711425999995</v>
      </c>
      <c r="J1188">
        <v>696.10137939000003</v>
      </c>
      <c r="K1188">
        <v>2400</v>
      </c>
      <c r="L1188">
        <v>0</v>
      </c>
      <c r="M1188">
        <v>0</v>
      </c>
      <c r="N1188">
        <v>2400</v>
      </c>
    </row>
    <row r="1189" spans="1:14" x14ac:dyDescent="0.25">
      <c r="A1189">
        <v>773.31000600000004</v>
      </c>
      <c r="B1189" s="1">
        <f>DATE(2012,6,12) + TIME(7,26,24)</f>
        <v>41072.31</v>
      </c>
      <c r="C1189">
        <v>80</v>
      </c>
      <c r="D1189">
        <v>79.943626404</v>
      </c>
      <c r="E1189">
        <v>50</v>
      </c>
      <c r="F1189">
        <v>46.049385071000003</v>
      </c>
      <c r="G1189">
        <v>1807.0230713000001</v>
      </c>
      <c r="H1189">
        <v>1680.4349365</v>
      </c>
      <c r="I1189">
        <v>891.30981444999998</v>
      </c>
      <c r="J1189">
        <v>695.17321776999995</v>
      </c>
      <c r="K1189">
        <v>2400</v>
      </c>
      <c r="L1189">
        <v>0</v>
      </c>
      <c r="M1189">
        <v>0</v>
      </c>
      <c r="N1189">
        <v>2400</v>
      </c>
    </row>
    <row r="1190" spans="1:14" x14ac:dyDescent="0.25">
      <c r="A1190">
        <v>774.27679599999999</v>
      </c>
      <c r="B1190" s="1">
        <f>DATE(2012,6,13) + TIME(6,38,35)</f>
        <v>41073.27679398148</v>
      </c>
      <c r="C1190">
        <v>80</v>
      </c>
      <c r="D1190">
        <v>79.943565368999998</v>
      </c>
      <c r="E1190">
        <v>50</v>
      </c>
      <c r="F1190">
        <v>45.985324859999999</v>
      </c>
      <c r="G1190">
        <v>1807.3443603999999</v>
      </c>
      <c r="H1190">
        <v>1680.7569579999999</v>
      </c>
      <c r="I1190">
        <v>890.47412109000004</v>
      </c>
      <c r="J1190">
        <v>694.26269531000003</v>
      </c>
      <c r="K1190">
        <v>2400</v>
      </c>
      <c r="L1190">
        <v>0</v>
      </c>
      <c r="M1190">
        <v>0</v>
      </c>
      <c r="N1190">
        <v>2400</v>
      </c>
    </row>
    <row r="1191" spans="1:14" x14ac:dyDescent="0.25">
      <c r="A1191">
        <v>775.27481</v>
      </c>
      <c r="B1191" s="1">
        <f>DATE(2012,6,14) + TIME(6,35,43)</f>
        <v>41074.27480324074</v>
      </c>
      <c r="C1191">
        <v>80</v>
      </c>
      <c r="D1191">
        <v>79.943511963000006</v>
      </c>
      <c r="E1191">
        <v>50</v>
      </c>
      <c r="F1191">
        <v>45.919475554999998</v>
      </c>
      <c r="G1191">
        <v>1807.6352539</v>
      </c>
      <c r="H1191">
        <v>1681.0484618999999</v>
      </c>
      <c r="I1191">
        <v>889.65667725000003</v>
      </c>
      <c r="J1191">
        <v>693.36602783000001</v>
      </c>
      <c r="K1191">
        <v>2400</v>
      </c>
      <c r="L1191">
        <v>0</v>
      </c>
      <c r="M1191">
        <v>0</v>
      </c>
      <c r="N1191">
        <v>2400</v>
      </c>
    </row>
    <row r="1192" spans="1:14" x14ac:dyDescent="0.25">
      <c r="A1192">
        <v>775.79115400000001</v>
      </c>
      <c r="B1192" s="1">
        <f>DATE(2012,6,14) + TIME(18,59,15)</f>
        <v>41074.791145833333</v>
      </c>
      <c r="C1192">
        <v>80</v>
      </c>
      <c r="D1192">
        <v>79.943344116000006</v>
      </c>
      <c r="E1192">
        <v>50</v>
      </c>
      <c r="F1192">
        <v>45.871967316000003</v>
      </c>
      <c r="G1192">
        <v>1807.6998291</v>
      </c>
      <c r="H1192">
        <v>1681.1135254000001</v>
      </c>
      <c r="I1192">
        <v>889.18041991999996</v>
      </c>
      <c r="J1192">
        <v>692.83294678000004</v>
      </c>
      <c r="K1192">
        <v>2400</v>
      </c>
      <c r="L1192">
        <v>0</v>
      </c>
      <c r="M1192">
        <v>0</v>
      </c>
      <c r="N1192">
        <v>2400</v>
      </c>
    </row>
    <row r="1193" spans="1:14" x14ac:dyDescent="0.25">
      <c r="A1193">
        <v>776.30749900000001</v>
      </c>
      <c r="B1193" s="1">
        <f>DATE(2012,6,15) + TIME(7,22,47)</f>
        <v>41075.307488425926</v>
      </c>
      <c r="C1193">
        <v>80</v>
      </c>
      <c r="D1193">
        <v>79.943267821999996</v>
      </c>
      <c r="E1193">
        <v>50</v>
      </c>
      <c r="F1193">
        <v>45.829410553000002</v>
      </c>
      <c r="G1193">
        <v>1807.7731934000001</v>
      </c>
      <c r="H1193">
        <v>1681.1872559000001</v>
      </c>
      <c r="I1193">
        <v>888.75195312000005</v>
      </c>
      <c r="J1193">
        <v>692.34954833999996</v>
      </c>
      <c r="K1193">
        <v>2400</v>
      </c>
      <c r="L1193">
        <v>0</v>
      </c>
      <c r="M1193">
        <v>0</v>
      </c>
      <c r="N1193">
        <v>2400</v>
      </c>
    </row>
    <row r="1194" spans="1:14" x14ac:dyDescent="0.25">
      <c r="A1194">
        <v>776.82384300000001</v>
      </c>
      <c r="B1194" s="1">
        <f>DATE(2012,6,15) + TIME(19,46,20)</f>
        <v>41075.823842592596</v>
      </c>
      <c r="C1194">
        <v>80</v>
      </c>
      <c r="D1194">
        <v>79.943244934000006</v>
      </c>
      <c r="E1194">
        <v>50</v>
      </c>
      <c r="F1194">
        <v>45.789821625000002</v>
      </c>
      <c r="G1194">
        <v>1807.8562012</v>
      </c>
      <c r="H1194">
        <v>1681.2705077999999</v>
      </c>
      <c r="I1194">
        <v>888.34204102000001</v>
      </c>
      <c r="J1194">
        <v>691.88800048999997</v>
      </c>
      <c r="K1194">
        <v>2400</v>
      </c>
      <c r="L1194">
        <v>0</v>
      </c>
      <c r="M1194">
        <v>0</v>
      </c>
      <c r="N1194">
        <v>2400</v>
      </c>
    </row>
    <row r="1195" spans="1:14" x14ac:dyDescent="0.25">
      <c r="A1195">
        <v>777.34018800000001</v>
      </c>
      <c r="B1195" s="1">
        <f>DATE(2012,6,16) + TIME(8,9,52)</f>
        <v>41076.340185185189</v>
      </c>
      <c r="C1195">
        <v>80</v>
      </c>
      <c r="D1195">
        <v>79.943252563000001</v>
      </c>
      <c r="E1195">
        <v>50</v>
      </c>
      <c r="F1195">
        <v>45.752014160000002</v>
      </c>
      <c r="G1195">
        <v>1807.9410399999999</v>
      </c>
      <c r="H1195">
        <v>1681.3555908000001</v>
      </c>
      <c r="I1195">
        <v>887.94653319999998</v>
      </c>
      <c r="J1195">
        <v>691.44244385000002</v>
      </c>
      <c r="K1195">
        <v>2400</v>
      </c>
      <c r="L1195">
        <v>0</v>
      </c>
      <c r="M1195">
        <v>0</v>
      </c>
      <c r="N1195">
        <v>2400</v>
      </c>
    </row>
    <row r="1196" spans="1:14" x14ac:dyDescent="0.25">
      <c r="A1196">
        <v>777.85653200000002</v>
      </c>
      <c r="B1196" s="1">
        <f>DATE(2012,6,16) + TIME(20,33,24)</f>
        <v>41076.856527777774</v>
      </c>
      <c r="C1196">
        <v>80</v>
      </c>
      <c r="D1196">
        <v>79.943260193</v>
      </c>
      <c r="E1196">
        <v>50</v>
      </c>
      <c r="F1196">
        <v>45.715286255000002</v>
      </c>
      <c r="G1196">
        <v>1808.0230713000001</v>
      </c>
      <c r="H1196">
        <v>1681.4379882999999</v>
      </c>
      <c r="I1196">
        <v>887.56341553000004</v>
      </c>
      <c r="J1196">
        <v>691.01000977000001</v>
      </c>
      <c r="K1196">
        <v>2400</v>
      </c>
      <c r="L1196">
        <v>0</v>
      </c>
      <c r="M1196">
        <v>0</v>
      </c>
      <c r="N1196">
        <v>2400</v>
      </c>
    </row>
    <row r="1197" spans="1:14" x14ac:dyDescent="0.25">
      <c r="A1197">
        <v>778.37287600000002</v>
      </c>
      <c r="B1197" s="1">
        <f>DATE(2012,6,17) + TIME(8,56,56)</f>
        <v>41077.372870370367</v>
      </c>
      <c r="C1197">
        <v>80</v>
      </c>
      <c r="D1197">
        <v>79.943267821999996</v>
      </c>
      <c r="E1197">
        <v>50</v>
      </c>
      <c r="F1197">
        <v>45.679203033</v>
      </c>
      <c r="G1197">
        <v>1808.1000977000001</v>
      </c>
      <c r="H1197">
        <v>1681.5152588000001</v>
      </c>
      <c r="I1197">
        <v>887.19134521000001</v>
      </c>
      <c r="J1197">
        <v>690.58874512</v>
      </c>
      <c r="K1197">
        <v>2400</v>
      </c>
      <c r="L1197">
        <v>0</v>
      </c>
      <c r="M1197">
        <v>0</v>
      </c>
      <c r="N1197">
        <v>2400</v>
      </c>
    </row>
    <row r="1198" spans="1:14" x14ac:dyDescent="0.25">
      <c r="A1198">
        <v>778.88922100000002</v>
      </c>
      <c r="B1198" s="1">
        <f>DATE(2012,6,17) + TIME(21,20,28)</f>
        <v>41077.88921296296</v>
      </c>
      <c r="C1198">
        <v>80</v>
      </c>
      <c r="D1198">
        <v>79.943267821999996</v>
      </c>
      <c r="E1198">
        <v>50</v>
      </c>
      <c r="F1198">
        <v>45.643508910999998</v>
      </c>
      <c r="G1198">
        <v>1808.1708983999999</v>
      </c>
      <c r="H1198">
        <v>1681.5863036999999</v>
      </c>
      <c r="I1198">
        <v>886.82928466999999</v>
      </c>
      <c r="J1198">
        <v>690.17718506000006</v>
      </c>
      <c r="K1198">
        <v>2400</v>
      </c>
      <c r="L1198">
        <v>0</v>
      </c>
      <c r="M1198">
        <v>0</v>
      </c>
      <c r="N1198">
        <v>2400</v>
      </c>
    </row>
    <row r="1199" spans="1:14" x14ac:dyDescent="0.25">
      <c r="A1199">
        <v>779.92191000000003</v>
      </c>
      <c r="B1199" s="1">
        <f>DATE(2012,6,18) + TIME(22,7,33)</f>
        <v>41078.921909722223</v>
      </c>
      <c r="C1199">
        <v>80</v>
      </c>
      <c r="D1199">
        <v>79.943420410000002</v>
      </c>
      <c r="E1199">
        <v>50</v>
      </c>
      <c r="F1199">
        <v>45.592815399000003</v>
      </c>
      <c r="G1199">
        <v>1808.3927002</v>
      </c>
      <c r="H1199">
        <v>1681.8085937999999</v>
      </c>
      <c r="I1199">
        <v>886.23425293000003</v>
      </c>
      <c r="J1199">
        <v>689.50970458999996</v>
      </c>
      <c r="K1199">
        <v>2400</v>
      </c>
      <c r="L1199">
        <v>0</v>
      </c>
      <c r="M1199">
        <v>0</v>
      </c>
      <c r="N1199">
        <v>2400</v>
      </c>
    </row>
    <row r="1200" spans="1:14" x14ac:dyDescent="0.25">
      <c r="A1200">
        <v>780.95460400000002</v>
      </c>
      <c r="B1200" s="1">
        <f>DATE(2012,6,19) + TIME(22,54,37)</f>
        <v>41079.954594907409</v>
      </c>
      <c r="C1200">
        <v>80</v>
      </c>
      <c r="D1200">
        <v>79.943405150999993</v>
      </c>
      <c r="E1200">
        <v>50</v>
      </c>
      <c r="F1200">
        <v>45.531131744</v>
      </c>
      <c r="G1200">
        <v>1808.5354004000001</v>
      </c>
      <c r="H1200">
        <v>1681.9517822</v>
      </c>
      <c r="I1200">
        <v>885.60882568</v>
      </c>
      <c r="J1200">
        <v>688.79656981999995</v>
      </c>
      <c r="K1200">
        <v>2400</v>
      </c>
      <c r="L1200">
        <v>0</v>
      </c>
      <c r="M1200">
        <v>0</v>
      </c>
      <c r="N1200">
        <v>2400</v>
      </c>
    </row>
    <row r="1201" spans="1:14" x14ac:dyDescent="0.25">
      <c r="A1201">
        <v>782.00141399999995</v>
      </c>
      <c r="B1201" s="1">
        <f>DATE(2012,6,21) + TIME(0,2,2)</f>
        <v>41081.00141203704</v>
      </c>
      <c r="C1201">
        <v>80</v>
      </c>
      <c r="D1201">
        <v>79.943367003999995</v>
      </c>
      <c r="E1201">
        <v>50</v>
      </c>
      <c r="F1201">
        <v>45.464298247999999</v>
      </c>
      <c r="G1201">
        <v>1808.6262207</v>
      </c>
      <c r="H1201">
        <v>1682.0429687999999</v>
      </c>
      <c r="I1201">
        <v>884.99102783000001</v>
      </c>
      <c r="J1201">
        <v>688.08007812000005</v>
      </c>
      <c r="K1201">
        <v>2400</v>
      </c>
      <c r="L1201">
        <v>0</v>
      </c>
      <c r="M1201">
        <v>0</v>
      </c>
      <c r="N1201">
        <v>2400</v>
      </c>
    </row>
    <row r="1202" spans="1:14" x14ac:dyDescent="0.25">
      <c r="A1202">
        <v>783.06661999999994</v>
      </c>
      <c r="B1202" s="1">
        <f>DATE(2012,6,22) + TIME(1,35,55)</f>
        <v>41082.066608796296</v>
      </c>
      <c r="C1202">
        <v>80</v>
      </c>
      <c r="D1202">
        <v>79.943328856999997</v>
      </c>
      <c r="E1202">
        <v>50</v>
      </c>
      <c r="F1202">
        <v>45.394519805999998</v>
      </c>
      <c r="G1202">
        <v>1808.6805420000001</v>
      </c>
      <c r="H1202">
        <v>1682.0976562000001</v>
      </c>
      <c r="I1202">
        <v>884.38354491999996</v>
      </c>
      <c r="J1202">
        <v>687.36621093999997</v>
      </c>
      <c r="K1202">
        <v>2400</v>
      </c>
      <c r="L1202">
        <v>0</v>
      </c>
      <c r="M1202">
        <v>0</v>
      </c>
      <c r="N1202">
        <v>2400</v>
      </c>
    </row>
    <row r="1203" spans="1:14" x14ac:dyDescent="0.25">
      <c r="A1203">
        <v>784.15525500000001</v>
      </c>
      <c r="B1203" s="1">
        <f>DATE(2012,6,23) + TIME(3,43,34)</f>
        <v>41083.15525462963</v>
      </c>
      <c r="C1203">
        <v>80</v>
      </c>
      <c r="D1203">
        <v>79.943305968999994</v>
      </c>
      <c r="E1203">
        <v>50</v>
      </c>
      <c r="F1203">
        <v>45.322559357000003</v>
      </c>
      <c r="G1203">
        <v>1808.7050781</v>
      </c>
      <c r="H1203">
        <v>1682.1224365</v>
      </c>
      <c r="I1203">
        <v>883.78570557</v>
      </c>
      <c r="J1203">
        <v>686.65515137</v>
      </c>
      <c r="K1203">
        <v>2400</v>
      </c>
      <c r="L1203">
        <v>0</v>
      </c>
      <c r="M1203">
        <v>0</v>
      </c>
      <c r="N1203">
        <v>2400</v>
      </c>
    </row>
    <row r="1204" spans="1:14" x14ac:dyDescent="0.25">
      <c r="A1204">
        <v>785.27247799999998</v>
      </c>
      <c r="B1204" s="1">
        <f>DATE(2012,6,24) + TIME(6,32,22)</f>
        <v>41084.272476851853</v>
      </c>
      <c r="C1204">
        <v>80</v>
      </c>
      <c r="D1204">
        <v>79.943298339999998</v>
      </c>
      <c r="E1204">
        <v>50</v>
      </c>
      <c r="F1204">
        <v>45.248546599999997</v>
      </c>
      <c r="G1204">
        <v>1808.7025146000001</v>
      </c>
      <c r="H1204">
        <v>1682.1202393000001</v>
      </c>
      <c r="I1204">
        <v>883.19537353999999</v>
      </c>
      <c r="J1204">
        <v>685.94476318</v>
      </c>
      <c r="K1204">
        <v>2400</v>
      </c>
      <c r="L1204">
        <v>0</v>
      </c>
      <c r="M1204">
        <v>0</v>
      </c>
      <c r="N1204">
        <v>2400</v>
      </c>
    </row>
    <row r="1205" spans="1:14" x14ac:dyDescent="0.25">
      <c r="A1205">
        <v>786.42354999999998</v>
      </c>
      <c r="B1205" s="1">
        <f>DATE(2012,6,25) + TIME(10,9,54)</f>
        <v>41085.423541666663</v>
      </c>
      <c r="C1205">
        <v>80</v>
      </c>
      <c r="D1205">
        <v>79.943298339999998</v>
      </c>
      <c r="E1205">
        <v>50</v>
      </c>
      <c r="F1205">
        <v>45.172317505000002</v>
      </c>
      <c r="G1205">
        <v>1808.6738281</v>
      </c>
      <c r="H1205">
        <v>1682.0919189000001</v>
      </c>
      <c r="I1205">
        <v>882.61016845999995</v>
      </c>
      <c r="J1205">
        <v>685.23187256000006</v>
      </c>
      <c r="K1205">
        <v>2400</v>
      </c>
      <c r="L1205">
        <v>0</v>
      </c>
      <c r="M1205">
        <v>0</v>
      </c>
      <c r="N1205">
        <v>2400</v>
      </c>
    </row>
    <row r="1206" spans="1:14" x14ac:dyDescent="0.25">
      <c r="A1206">
        <v>787.60392200000001</v>
      </c>
      <c r="B1206" s="1">
        <f>DATE(2012,6,26) + TIME(14,29,38)</f>
        <v>41086.603912037041</v>
      </c>
      <c r="C1206">
        <v>80</v>
      </c>
      <c r="D1206">
        <v>79.943305968999994</v>
      </c>
      <c r="E1206">
        <v>50</v>
      </c>
      <c r="F1206">
        <v>45.093845367</v>
      </c>
      <c r="G1206">
        <v>1808.6179199000001</v>
      </c>
      <c r="H1206">
        <v>1682.0362548999999</v>
      </c>
      <c r="I1206">
        <v>882.02990723000005</v>
      </c>
      <c r="J1206">
        <v>684.51586913999995</v>
      </c>
      <c r="K1206">
        <v>2400</v>
      </c>
      <c r="L1206">
        <v>0</v>
      </c>
      <c r="M1206">
        <v>0</v>
      </c>
      <c r="N1206">
        <v>2400</v>
      </c>
    </row>
    <row r="1207" spans="1:14" x14ac:dyDescent="0.25">
      <c r="A1207">
        <v>788.20358699999997</v>
      </c>
      <c r="B1207" s="1">
        <f>DATE(2012,6,27) + TIME(4,53,9)</f>
        <v>41087.203576388885</v>
      </c>
      <c r="C1207">
        <v>80</v>
      </c>
      <c r="D1207">
        <v>79.943183899000005</v>
      </c>
      <c r="E1207">
        <v>50</v>
      </c>
      <c r="F1207">
        <v>45.036155700999998</v>
      </c>
      <c r="G1207">
        <v>1808.5130615</v>
      </c>
      <c r="H1207">
        <v>1681.9316406</v>
      </c>
      <c r="I1207">
        <v>881.63256836000005</v>
      </c>
      <c r="J1207">
        <v>684.01617432</v>
      </c>
      <c r="K1207">
        <v>2400</v>
      </c>
      <c r="L1207">
        <v>0</v>
      </c>
      <c r="M1207">
        <v>0</v>
      </c>
      <c r="N1207">
        <v>2400</v>
      </c>
    </row>
    <row r="1208" spans="1:14" x14ac:dyDescent="0.25">
      <c r="A1208">
        <v>788.80325200000004</v>
      </c>
      <c r="B1208" s="1">
        <f>DATE(2012,6,27) + TIME(19,16,40)</f>
        <v>41087.803240740737</v>
      </c>
      <c r="C1208">
        <v>80</v>
      </c>
      <c r="D1208">
        <v>79.943145752000007</v>
      </c>
      <c r="E1208">
        <v>50</v>
      </c>
      <c r="F1208">
        <v>44.985576629999997</v>
      </c>
      <c r="G1208">
        <v>1808.4171143000001</v>
      </c>
      <c r="H1208">
        <v>1681.8356934000001</v>
      </c>
      <c r="I1208">
        <v>881.30566406000003</v>
      </c>
      <c r="J1208">
        <v>683.59619140999996</v>
      </c>
      <c r="K1208">
        <v>2400</v>
      </c>
      <c r="L1208">
        <v>0</v>
      </c>
      <c r="M1208">
        <v>0</v>
      </c>
      <c r="N1208">
        <v>2400</v>
      </c>
    </row>
    <row r="1209" spans="1:14" x14ac:dyDescent="0.25">
      <c r="A1209">
        <v>789.402917</v>
      </c>
      <c r="B1209" s="1">
        <f>DATE(2012,6,28) + TIME(9,40,12)</f>
        <v>41088.402916666666</v>
      </c>
      <c r="C1209">
        <v>80</v>
      </c>
      <c r="D1209">
        <v>79.943161011000001</v>
      </c>
      <c r="E1209">
        <v>50</v>
      </c>
      <c r="F1209">
        <v>44.938976287999999</v>
      </c>
      <c r="G1209">
        <v>1808.3336182</v>
      </c>
      <c r="H1209">
        <v>1681.7523193</v>
      </c>
      <c r="I1209">
        <v>880.99786376999998</v>
      </c>
      <c r="J1209">
        <v>683.20141602000001</v>
      </c>
      <c r="K1209">
        <v>2400</v>
      </c>
      <c r="L1209">
        <v>0</v>
      </c>
      <c r="M1209">
        <v>0</v>
      </c>
      <c r="N1209">
        <v>2400</v>
      </c>
    </row>
    <row r="1210" spans="1:14" x14ac:dyDescent="0.25">
      <c r="A1210">
        <v>790.00258199999996</v>
      </c>
      <c r="B1210" s="1">
        <f>DATE(2012,6,29) + TIME(0,3,43)</f>
        <v>41089.002581018518</v>
      </c>
      <c r="C1210">
        <v>80</v>
      </c>
      <c r="D1210">
        <v>79.943191528</v>
      </c>
      <c r="E1210">
        <v>50</v>
      </c>
      <c r="F1210">
        <v>44.894607544000003</v>
      </c>
      <c r="G1210">
        <v>1808.2558594</v>
      </c>
      <c r="H1210">
        <v>1681.6748047000001</v>
      </c>
      <c r="I1210">
        <v>880.70123291000004</v>
      </c>
      <c r="J1210">
        <v>682.82061768000005</v>
      </c>
      <c r="K1210">
        <v>2400</v>
      </c>
      <c r="L1210">
        <v>0</v>
      </c>
      <c r="M1210">
        <v>0</v>
      </c>
      <c r="N1210">
        <v>2400</v>
      </c>
    </row>
    <row r="1211" spans="1:14" x14ac:dyDescent="0.25">
      <c r="A1211">
        <v>791.20191199999999</v>
      </c>
      <c r="B1211" s="1">
        <f>DATE(2012,6,30) + TIME(4,50,45)</f>
        <v>41090.201909722222</v>
      </c>
      <c r="C1211">
        <v>80</v>
      </c>
      <c r="D1211">
        <v>79.943382263000004</v>
      </c>
      <c r="E1211">
        <v>50</v>
      </c>
      <c r="F1211">
        <v>44.834453582999998</v>
      </c>
      <c r="G1211">
        <v>1808.2032471</v>
      </c>
      <c r="H1211">
        <v>1681.6224365</v>
      </c>
      <c r="I1211">
        <v>880.27697753999996</v>
      </c>
      <c r="J1211">
        <v>682.28057861000002</v>
      </c>
      <c r="K1211">
        <v>2400</v>
      </c>
      <c r="L1211">
        <v>0</v>
      </c>
      <c r="M1211">
        <v>0</v>
      </c>
      <c r="N1211">
        <v>2400</v>
      </c>
    </row>
    <row r="1212" spans="1:14" x14ac:dyDescent="0.25">
      <c r="A1212">
        <v>792</v>
      </c>
      <c r="B1212" s="1">
        <f>DATE(2012,7,1) + TIME(0,0,0)</f>
        <v>41091</v>
      </c>
      <c r="C1212">
        <v>80</v>
      </c>
      <c r="D1212">
        <v>79.943344116000006</v>
      </c>
      <c r="E1212">
        <v>50</v>
      </c>
      <c r="F1212">
        <v>44.772789001</v>
      </c>
      <c r="G1212">
        <v>1808.0874022999999</v>
      </c>
      <c r="H1212">
        <v>1681.5068358999999</v>
      </c>
      <c r="I1212">
        <v>879.85742187999995</v>
      </c>
      <c r="J1212">
        <v>681.74005126999998</v>
      </c>
      <c r="K1212">
        <v>2400</v>
      </c>
      <c r="L1212">
        <v>0</v>
      </c>
      <c r="M1212">
        <v>0</v>
      </c>
      <c r="N1212">
        <v>2400</v>
      </c>
    </row>
    <row r="1213" spans="1:14" x14ac:dyDescent="0.25">
      <c r="A1213">
        <v>793.20015100000001</v>
      </c>
      <c r="B1213" s="1">
        <f>DATE(2012,7,2) + TIME(4,48,13)</f>
        <v>41092.200150462966</v>
      </c>
      <c r="C1213">
        <v>80</v>
      </c>
      <c r="D1213">
        <v>79.943428040000001</v>
      </c>
      <c r="E1213">
        <v>50</v>
      </c>
      <c r="F1213">
        <v>44.702632903999998</v>
      </c>
      <c r="G1213">
        <v>1807.9676514</v>
      </c>
      <c r="H1213">
        <v>1681.3874512</v>
      </c>
      <c r="I1213">
        <v>879.40643310999997</v>
      </c>
      <c r="J1213">
        <v>681.14727783000001</v>
      </c>
      <c r="K1213">
        <v>2400</v>
      </c>
      <c r="L1213">
        <v>0</v>
      </c>
      <c r="M1213">
        <v>0</v>
      </c>
      <c r="N1213">
        <v>2400</v>
      </c>
    </row>
    <row r="1214" spans="1:14" x14ac:dyDescent="0.25">
      <c r="A1214">
        <v>794.42546900000002</v>
      </c>
      <c r="B1214" s="1">
        <f>DATE(2012,7,3) + TIME(10,12,40)</f>
        <v>41093.425462962965</v>
      </c>
      <c r="C1214">
        <v>80</v>
      </c>
      <c r="D1214">
        <v>79.943466186999999</v>
      </c>
      <c r="E1214">
        <v>50</v>
      </c>
      <c r="F1214">
        <v>44.623806000000002</v>
      </c>
      <c r="G1214">
        <v>1807.8115233999999</v>
      </c>
      <c r="H1214">
        <v>1681.2314452999999</v>
      </c>
      <c r="I1214">
        <v>878.90020751999998</v>
      </c>
      <c r="J1214">
        <v>680.47808838000003</v>
      </c>
      <c r="K1214">
        <v>2400</v>
      </c>
      <c r="L1214">
        <v>0</v>
      </c>
      <c r="M1214">
        <v>0</v>
      </c>
      <c r="N1214">
        <v>2400</v>
      </c>
    </row>
    <row r="1215" spans="1:14" x14ac:dyDescent="0.25">
      <c r="A1215">
        <v>795.67225099999996</v>
      </c>
      <c r="B1215" s="1">
        <f>DATE(2012,7,4) + TIME(16,8,2)</f>
        <v>41094.67224537037</v>
      </c>
      <c r="C1215">
        <v>80</v>
      </c>
      <c r="D1215">
        <v>79.943481445000003</v>
      </c>
      <c r="E1215">
        <v>50</v>
      </c>
      <c r="F1215">
        <v>44.540351868000002</v>
      </c>
      <c r="G1215">
        <v>1807.6234131000001</v>
      </c>
      <c r="H1215">
        <v>1681.043457</v>
      </c>
      <c r="I1215">
        <v>878.38244628999996</v>
      </c>
      <c r="J1215">
        <v>679.78247069999998</v>
      </c>
      <c r="K1215">
        <v>2400</v>
      </c>
      <c r="L1215">
        <v>0</v>
      </c>
      <c r="M1215">
        <v>0</v>
      </c>
      <c r="N1215">
        <v>2400</v>
      </c>
    </row>
    <row r="1216" spans="1:14" x14ac:dyDescent="0.25">
      <c r="A1216">
        <v>796.93985999999995</v>
      </c>
      <c r="B1216" s="1">
        <f>DATE(2012,7,5) + TIME(22,33,23)</f>
        <v>41095.939849537041</v>
      </c>
      <c r="C1216">
        <v>80</v>
      </c>
      <c r="D1216">
        <v>79.943511963000006</v>
      </c>
      <c r="E1216">
        <v>50</v>
      </c>
      <c r="F1216">
        <v>44.453948975000003</v>
      </c>
      <c r="G1216">
        <v>1807.4104004000001</v>
      </c>
      <c r="H1216">
        <v>1680.8305664</v>
      </c>
      <c r="I1216">
        <v>877.85864258000004</v>
      </c>
      <c r="J1216">
        <v>679.06909180000002</v>
      </c>
      <c r="K1216">
        <v>2400</v>
      </c>
      <c r="L1216">
        <v>0</v>
      </c>
      <c r="M1216">
        <v>0</v>
      </c>
      <c r="N1216">
        <v>2400</v>
      </c>
    </row>
    <row r="1217" spans="1:14" x14ac:dyDescent="0.25">
      <c r="A1217">
        <v>798.23080200000004</v>
      </c>
      <c r="B1217" s="1">
        <f>DATE(2012,7,7) + TIME(5,32,21)</f>
        <v>41097.230798611112</v>
      </c>
      <c r="C1217">
        <v>80</v>
      </c>
      <c r="D1217">
        <v>79.943542480000005</v>
      </c>
      <c r="E1217">
        <v>50</v>
      </c>
      <c r="F1217">
        <v>44.365200043000002</v>
      </c>
      <c r="G1217">
        <v>1807.1759033000001</v>
      </c>
      <c r="H1217">
        <v>1680.5963135</v>
      </c>
      <c r="I1217">
        <v>877.32965088000003</v>
      </c>
      <c r="J1217">
        <v>678.33966064000003</v>
      </c>
      <c r="K1217">
        <v>2400</v>
      </c>
      <c r="L1217">
        <v>0</v>
      </c>
      <c r="M1217">
        <v>0</v>
      </c>
      <c r="N1217">
        <v>2400</v>
      </c>
    </row>
    <row r="1218" spans="1:14" x14ac:dyDescent="0.25">
      <c r="A1218">
        <v>799.55078600000002</v>
      </c>
      <c r="B1218" s="1">
        <f>DATE(2012,7,8) + TIME(13,13,7)</f>
        <v>41098.550775462965</v>
      </c>
      <c r="C1218">
        <v>80</v>
      </c>
      <c r="D1218">
        <v>79.943580627000003</v>
      </c>
      <c r="E1218">
        <v>50</v>
      </c>
      <c r="F1218">
        <v>44.27413559</v>
      </c>
      <c r="G1218">
        <v>1806.9213867000001</v>
      </c>
      <c r="H1218">
        <v>1680.3420410000001</v>
      </c>
      <c r="I1218">
        <v>876.79394531000003</v>
      </c>
      <c r="J1218">
        <v>677.59228515999996</v>
      </c>
      <c r="K1218">
        <v>2400</v>
      </c>
      <c r="L1218">
        <v>0</v>
      </c>
      <c r="M1218">
        <v>0</v>
      </c>
      <c r="N1218">
        <v>2400</v>
      </c>
    </row>
    <row r="1219" spans="1:14" x14ac:dyDescent="0.25">
      <c r="A1219">
        <v>800.903504</v>
      </c>
      <c r="B1219" s="1">
        <f>DATE(2012,7,9) + TIME(21,41,2)</f>
        <v>41099.903495370374</v>
      </c>
      <c r="C1219">
        <v>80</v>
      </c>
      <c r="D1219">
        <v>79.943626404</v>
      </c>
      <c r="E1219">
        <v>50</v>
      </c>
      <c r="F1219">
        <v>44.180549622000001</v>
      </c>
      <c r="G1219">
        <v>1806.6470947</v>
      </c>
      <c r="H1219">
        <v>1680.0678711</v>
      </c>
      <c r="I1219">
        <v>876.24908446999996</v>
      </c>
      <c r="J1219">
        <v>676.82366943</v>
      </c>
      <c r="K1219">
        <v>2400</v>
      </c>
      <c r="L1219">
        <v>0</v>
      </c>
      <c r="M1219">
        <v>0</v>
      </c>
      <c r="N1219">
        <v>2400</v>
      </c>
    </row>
    <row r="1220" spans="1:14" x14ac:dyDescent="0.25">
      <c r="A1220">
        <v>802.26312199999995</v>
      </c>
      <c r="B1220" s="1">
        <f>DATE(2012,7,11) + TIME(6,18,53)</f>
        <v>41101.263113425928</v>
      </c>
      <c r="C1220">
        <v>80</v>
      </c>
      <c r="D1220">
        <v>79.943672179999993</v>
      </c>
      <c r="E1220">
        <v>50</v>
      </c>
      <c r="F1220">
        <v>44.084918975999997</v>
      </c>
      <c r="G1220">
        <v>1806.3551024999999</v>
      </c>
      <c r="H1220">
        <v>1679.776001</v>
      </c>
      <c r="I1220">
        <v>875.69598388999998</v>
      </c>
      <c r="J1220">
        <v>676.03515625</v>
      </c>
      <c r="K1220">
        <v>2400</v>
      </c>
      <c r="L1220">
        <v>0</v>
      </c>
      <c r="M1220">
        <v>0</v>
      </c>
      <c r="N1220">
        <v>2400</v>
      </c>
    </row>
    <row r="1221" spans="1:14" x14ac:dyDescent="0.25">
      <c r="A1221">
        <v>803.63430600000004</v>
      </c>
      <c r="B1221" s="1">
        <f>DATE(2012,7,12) + TIME(15,13,24)</f>
        <v>41102.634305555555</v>
      </c>
      <c r="C1221">
        <v>80</v>
      </c>
      <c r="D1221">
        <v>79.943717957000004</v>
      </c>
      <c r="E1221">
        <v>50</v>
      </c>
      <c r="F1221">
        <v>43.987804412999999</v>
      </c>
      <c r="G1221">
        <v>1806.0474853999999</v>
      </c>
      <c r="H1221">
        <v>1679.4685059000001</v>
      </c>
      <c r="I1221">
        <v>875.13818359000004</v>
      </c>
      <c r="J1221">
        <v>675.23144531000003</v>
      </c>
      <c r="K1221">
        <v>2400</v>
      </c>
      <c r="L1221">
        <v>0</v>
      </c>
      <c r="M1221">
        <v>0</v>
      </c>
      <c r="N1221">
        <v>2400</v>
      </c>
    </row>
    <row r="1222" spans="1:14" x14ac:dyDescent="0.25">
      <c r="A1222">
        <v>805.01427799999999</v>
      </c>
      <c r="B1222" s="1">
        <f>DATE(2012,7,14) + TIME(0,20,33)</f>
        <v>41104.014270833337</v>
      </c>
      <c r="C1222">
        <v>80</v>
      </c>
      <c r="D1222">
        <v>79.943771362000007</v>
      </c>
      <c r="E1222">
        <v>50</v>
      </c>
      <c r="F1222">
        <v>43.889389037999997</v>
      </c>
      <c r="G1222">
        <v>1805.7261963000001</v>
      </c>
      <c r="H1222">
        <v>1679.1474608999999</v>
      </c>
      <c r="I1222">
        <v>874.57476807</v>
      </c>
      <c r="J1222">
        <v>674.41174316000001</v>
      </c>
      <c r="K1222">
        <v>2400</v>
      </c>
      <c r="L1222">
        <v>0</v>
      </c>
      <c r="M1222">
        <v>0</v>
      </c>
      <c r="N1222">
        <v>2400</v>
      </c>
    </row>
    <row r="1223" spans="1:14" x14ac:dyDescent="0.25">
      <c r="A1223">
        <v>806.399045</v>
      </c>
      <c r="B1223" s="1">
        <f>DATE(2012,7,15) + TIME(9,34,37)</f>
        <v>41105.399039351854</v>
      </c>
      <c r="C1223">
        <v>80</v>
      </c>
      <c r="D1223">
        <v>79.943824767999999</v>
      </c>
      <c r="E1223">
        <v>50</v>
      </c>
      <c r="F1223">
        <v>43.789886475000003</v>
      </c>
      <c r="G1223">
        <v>1805.3930664</v>
      </c>
      <c r="H1223">
        <v>1678.8144531</v>
      </c>
      <c r="I1223">
        <v>874.00592041000004</v>
      </c>
      <c r="J1223">
        <v>673.57653808999999</v>
      </c>
      <c r="K1223">
        <v>2400</v>
      </c>
      <c r="L1223">
        <v>0</v>
      </c>
      <c r="M1223">
        <v>0</v>
      </c>
      <c r="N1223">
        <v>2400</v>
      </c>
    </row>
    <row r="1224" spans="1:14" x14ac:dyDescent="0.25">
      <c r="A1224">
        <v>807.79385300000001</v>
      </c>
      <c r="B1224" s="1">
        <f>DATE(2012,7,16) + TIME(19,3,8)</f>
        <v>41106.793842592589</v>
      </c>
      <c r="C1224">
        <v>80</v>
      </c>
      <c r="D1224">
        <v>79.943878174000005</v>
      </c>
      <c r="E1224">
        <v>50</v>
      </c>
      <c r="F1224">
        <v>43.689296722000002</v>
      </c>
      <c r="G1224">
        <v>1805.0487060999999</v>
      </c>
      <c r="H1224">
        <v>1678.4702147999999</v>
      </c>
      <c r="I1224">
        <v>873.43127441000001</v>
      </c>
      <c r="J1224">
        <v>672.72540283000001</v>
      </c>
      <c r="K1224">
        <v>2400</v>
      </c>
      <c r="L1224">
        <v>0</v>
      </c>
      <c r="M1224">
        <v>0</v>
      </c>
      <c r="N1224">
        <v>2400</v>
      </c>
    </row>
    <row r="1225" spans="1:14" x14ac:dyDescent="0.25">
      <c r="A1225">
        <v>809.20410200000003</v>
      </c>
      <c r="B1225" s="1">
        <f>DATE(2012,7,18) + TIME(4,53,54)</f>
        <v>41108.204097222224</v>
      </c>
      <c r="C1225">
        <v>80</v>
      </c>
      <c r="D1225">
        <v>79.943939209000007</v>
      </c>
      <c r="E1225">
        <v>50</v>
      </c>
      <c r="F1225">
        <v>43.587375641000001</v>
      </c>
      <c r="G1225">
        <v>1804.6932373</v>
      </c>
      <c r="H1225">
        <v>1678.1147461</v>
      </c>
      <c r="I1225">
        <v>872.84851074000005</v>
      </c>
      <c r="J1225">
        <v>671.85504149999997</v>
      </c>
      <c r="K1225">
        <v>2400</v>
      </c>
      <c r="L1225">
        <v>0</v>
      </c>
      <c r="M1225">
        <v>0</v>
      </c>
      <c r="N1225">
        <v>2400</v>
      </c>
    </row>
    <row r="1226" spans="1:14" x14ac:dyDescent="0.25">
      <c r="A1226">
        <v>810.63542600000005</v>
      </c>
      <c r="B1226" s="1">
        <f>DATE(2012,7,19) + TIME(15,15,0)</f>
        <v>41109.635416666664</v>
      </c>
      <c r="C1226">
        <v>80</v>
      </c>
      <c r="D1226">
        <v>79.944007873999993</v>
      </c>
      <c r="E1226">
        <v>50</v>
      </c>
      <c r="F1226">
        <v>43.483768462999997</v>
      </c>
      <c r="G1226">
        <v>1804.3260498</v>
      </c>
      <c r="H1226">
        <v>1677.7478027</v>
      </c>
      <c r="I1226">
        <v>872.25476074000005</v>
      </c>
      <c r="J1226">
        <v>670.96142578000001</v>
      </c>
      <c r="K1226">
        <v>2400</v>
      </c>
      <c r="L1226">
        <v>0</v>
      </c>
      <c r="M1226">
        <v>0</v>
      </c>
      <c r="N1226">
        <v>2400</v>
      </c>
    </row>
    <row r="1227" spans="1:14" x14ac:dyDescent="0.25">
      <c r="A1227">
        <v>812.09383400000002</v>
      </c>
      <c r="B1227" s="1">
        <f>DATE(2012,7,21) + TIME(2,15,7)</f>
        <v>41111.093831018516</v>
      </c>
      <c r="C1227">
        <v>80</v>
      </c>
      <c r="D1227">
        <v>79.944068908999995</v>
      </c>
      <c r="E1227">
        <v>50</v>
      </c>
      <c r="F1227">
        <v>43.378063202</v>
      </c>
      <c r="G1227">
        <v>1803.9462891000001</v>
      </c>
      <c r="H1227">
        <v>1677.3681641000001</v>
      </c>
      <c r="I1227">
        <v>871.64703368999994</v>
      </c>
      <c r="J1227">
        <v>670.03997803000004</v>
      </c>
      <c r="K1227">
        <v>2400</v>
      </c>
      <c r="L1227">
        <v>0</v>
      </c>
      <c r="M1227">
        <v>0</v>
      </c>
      <c r="N1227">
        <v>2400</v>
      </c>
    </row>
    <row r="1228" spans="1:14" x14ac:dyDescent="0.25">
      <c r="A1228">
        <v>813.58588299999997</v>
      </c>
      <c r="B1228" s="1">
        <f>DATE(2012,7,22) + TIME(14,3,40)</f>
        <v>41112.585879629631</v>
      </c>
      <c r="C1228">
        <v>80</v>
      </c>
      <c r="D1228">
        <v>79.944137573000006</v>
      </c>
      <c r="E1228">
        <v>50</v>
      </c>
      <c r="F1228">
        <v>43.269798279</v>
      </c>
      <c r="G1228">
        <v>1803.5527344</v>
      </c>
      <c r="H1228">
        <v>1676.9747314000001</v>
      </c>
      <c r="I1228">
        <v>871.02191161999997</v>
      </c>
      <c r="J1228">
        <v>669.08551024999997</v>
      </c>
      <c r="K1228">
        <v>2400</v>
      </c>
      <c r="L1228">
        <v>0</v>
      </c>
      <c r="M1228">
        <v>0</v>
      </c>
      <c r="N1228">
        <v>2400</v>
      </c>
    </row>
    <row r="1229" spans="1:14" x14ac:dyDescent="0.25">
      <c r="A1229">
        <v>815.09598800000003</v>
      </c>
      <c r="B1229" s="1">
        <f>DATE(2012,7,24) + TIME(2,18,13)</f>
        <v>41114.095983796295</v>
      </c>
      <c r="C1229">
        <v>80</v>
      </c>
      <c r="D1229">
        <v>79.944206238000007</v>
      </c>
      <c r="E1229">
        <v>50</v>
      </c>
      <c r="F1229">
        <v>43.159034728999998</v>
      </c>
      <c r="G1229">
        <v>1803.1473389</v>
      </c>
      <c r="H1229">
        <v>1676.5694579999999</v>
      </c>
      <c r="I1229">
        <v>870.37738036999997</v>
      </c>
      <c r="J1229">
        <v>668.09558104999996</v>
      </c>
      <c r="K1229">
        <v>2400</v>
      </c>
      <c r="L1229">
        <v>0</v>
      </c>
      <c r="M1229">
        <v>0</v>
      </c>
      <c r="N1229">
        <v>2400</v>
      </c>
    </row>
    <row r="1230" spans="1:14" x14ac:dyDescent="0.25">
      <c r="A1230">
        <v>816.61668799999995</v>
      </c>
      <c r="B1230" s="1">
        <f>DATE(2012,7,25) + TIME(14,48,1)</f>
        <v>41115.616678240738</v>
      </c>
      <c r="C1230">
        <v>80</v>
      </c>
      <c r="D1230">
        <v>79.944274902000004</v>
      </c>
      <c r="E1230">
        <v>50</v>
      </c>
      <c r="F1230">
        <v>43.046333312999998</v>
      </c>
      <c r="G1230">
        <v>1802.7321777</v>
      </c>
      <c r="H1230">
        <v>1676.1542969</v>
      </c>
      <c r="I1230">
        <v>869.71710204999999</v>
      </c>
      <c r="J1230">
        <v>667.07525635000002</v>
      </c>
      <c r="K1230">
        <v>2400</v>
      </c>
      <c r="L1230">
        <v>0</v>
      </c>
      <c r="M1230">
        <v>0</v>
      </c>
      <c r="N1230">
        <v>2400</v>
      </c>
    </row>
    <row r="1231" spans="1:14" x14ac:dyDescent="0.25">
      <c r="A1231">
        <v>818.15312800000004</v>
      </c>
      <c r="B1231" s="1">
        <f>DATE(2012,7,27) + TIME(3,40,30)</f>
        <v>41117.153124999997</v>
      </c>
      <c r="C1231">
        <v>80</v>
      </c>
      <c r="D1231">
        <v>79.944351196</v>
      </c>
      <c r="E1231">
        <v>50</v>
      </c>
      <c r="F1231">
        <v>42.931949615000001</v>
      </c>
      <c r="G1231">
        <v>1802.3074951000001</v>
      </c>
      <c r="H1231">
        <v>1675.7298584</v>
      </c>
      <c r="I1231">
        <v>869.04284668000003</v>
      </c>
      <c r="J1231">
        <v>666.02673340000001</v>
      </c>
      <c r="K1231">
        <v>2400</v>
      </c>
      <c r="L1231">
        <v>0</v>
      </c>
      <c r="M1231">
        <v>0</v>
      </c>
      <c r="N1231">
        <v>2400</v>
      </c>
    </row>
    <row r="1232" spans="1:14" x14ac:dyDescent="0.25">
      <c r="A1232">
        <v>819.70441200000005</v>
      </c>
      <c r="B1232" s="1">
        <f>DATE(2012,7,28) + TIME(16,54,21)</f>
        <v>41118.704409722224</v>
      </c>
      <c r="C1232">
        <v>80</v>
      </c>
      <c r="D1232">
        <v>79.944419861</v>
      </c>
      <c r="E1232">
        <v>50</v>
      </c>
      <c r="F1232">
        <v>42.815876007</v>
      </c>
      <c r="G1232">
        <v>1801.8743896000001</v>
      </c>
      <c r="H1232">
        <v>1675.296875</v>
      </c>
      <c r="I1232">
        <v>868.35314941000001</v>
      </c>
      <c r="J1232">
        <v>664.94824218999997</v>
      </c>
      <c r="K1232">
        <v>2400</v>
      </c>
      <c r="L1232">
        <v>0</v>
      </c>
      <c r="M1232">
        <v>0</v>
      </c>
      <c r="N1232">
        <v>2400</v>
      </c>
    </row>
    <row r="1233" spans="1:14" x14ac:dyDescent="0.25">
      <c r="A1233">
        <v>821.26230199999998</v>
      </c>
      <c r="B1233" s="1">
        <f>DATE(2012,7,30) + TIME(6,17,42)</f>
        <v>41120.262291666666</v>
      </c>
      <c r="C1233">
        <v>80</v>
      </c>
      <c r="D1233">
        <v>79.944496154999996</v>
      </c>
      <c r="E1233">
        <v>50</v>
      </c>
      <c r="F1233">
        <v>42.698360442999999</v>
      </c>
      <c r="G1233">
        <v>1801.4346923999999</v>
      </c>
      <c r="H1233">
        <v>1674.8571777</v>
      </c>
      <c r="I1233">
        <v>867.64831543000003</v>
      </c>
      <c r="J1233">
        <v>663.84057616999996</v>
      </c>
      <c r="K1233">
        <v>2400</v>
      </c>
      <c r="L1233">
        <v>0</v>
      </c>
      <c r="M1233">
        <v>0</v>
      </c>
      <c r="N1233">
        <v>2400</v>
      </c>
    </row>
    <row r="1234" spans="1:14" x14ac:dyDescent="0.25">
      <c r="A1234">
        <v>822.83271400000001</v>
      </c>
      <c r="B1234" s="1">
        <f>DATE(2012,7,31) + TIME(19,59,6)</f>
        <v>41121.832708333335</v>
      </c>
      <c r="C1234">
        <v>80</v>
      </c>
      <c r="D1234">
        <v>79.944572449000006</v>
      </c>
      <c r="E1234">
        <v>50</v>
      </c>
      <c r="F1234">
        <v>42.579586028999998</v>
      </c>
      <c r="G1234">
        <v>1800.9881591999999</v>
      </c>
      <c r="H1234">
        <v>1674.4107666</v>
      </c>
      <c r="I1234">
        <v>866.93023682</v>
      </c>
      <c r="J1234">
        <v>662.70593262</v>
      </c>
      <c r="K1234">
        <v>2400</v>
      </c>
      <c r="L1234">
        <v>0</v>
      </c>
      <c r="M1234">
        <v>0</v>
      </c>
      <c r="N1234">
        <v>2400</v>
      </c>
    </row>
    <row r="1235" spans="1:14" x14ac:dyDescent="0.25">
      <c r="A1235">
        <v>823</v>
      </c>
      <c r="B1235" s="1">
        <f>DATE(2012,8,1) + TIME(0,0,0)</f>
        <v>41122</v>
      </c>
      <c r="C1235">
        <v>80</v>
      </c>
      <c r="D1235">
        <v>79.944541931000003</v>
      </c>
      <c r="E1235">
        <v>50</v>
      </c>
      <c r="F1235">
        <v>42.547592162999997</v>
      </c>
      <c r="G1235">
        <v>1800.9273682</v>
      </c>
      <c r="H1235">
        <v>1674.3499756000001</v>
      </c>
      <c r="I1235">
        <v>866.54986571999996</v>
      </c>
      <c r="J1235">
        <v>662.1953125</v>
      </c>
      <c r="K1235">
        <v>2400</v>
      </c>
      <c r="L1235">
        <v>0</v>
      </c>
      <c r="M1235">
        <v>0</v>
      </c>
      <c r="N1235">
        <v>2400</v>
      </c>
    </row>
    <row r="1236" spans="1:14" x14ac:dyDescent="0.25">
      <c r="A1236">
        <v>824.58909300000005</v>
      </c>
      <c r="B1236" s="1">
        <f>DATE(2012,8,2) + TIME(14,8,17)</f>
        <v>41123.589085648149</v>
      </c>
      <c r="C1236">
        <v>80</v>
      </c>
      <c r="D1236">
        <v>79.944641113000003</v>
      </c>
      <c r="E1236">
        <v>50</v>
      </c>
      <c r="F1236">
        <v>42.440200806</v>
      </c>
      <c r="G1236">
        <v>1800.46875</v>
      </c>
      <c r="H1236">
        <v>1673.8914795000001</v>
      </c>
      <c r="I1236">
        <v>866.08636475000003</v>
      </c>
      <c r="J1236">
        <v>661.36071776999995</v>
      </c>
      <c r="K1236">
        <v>2400</v>
      </c>
      <c r="L1236">
        <v>0</v>
      </c>
      <c r="M1236">
        <v>0</v>
      </c>
      <c r="N1236">
        <v>2400</v>
      </c>
    </row>
    <row r="1237" spans="1:14" x14ac:dyDescent="0.25">
      <c r="A1237">
        <v>826.206637</v>
      </c>
      <c r="B1237" s="1">
        <f>DATE(2012,8,4) + TIME(4,57,33)</f>
        <v>41125.206631944442</v>
      </c>
      <c r="C1237">
        <v>80</v>
      </c>
      <c r="D1237">
        <v>79.944740295000003</v>
      </c>
      <c r="E1237">
        <v>50</v>
      </c>
      <c r="F1237">
        <v>42.322250365999999</v>
      </c>
      <c r="G1237">
        <v>1800.0133057</v>
      </c>
      <c r="H1237">
        <v>1673.4360352000001</v>
      </c>
      <c r="I1237">
        <v>865.35760498000002</v>
      </c>
      <c r="J1237">
        <v>660.19848633000004</v>
      </c>
      <c r="K1237">
        <v>2400</v>
      </c>
      <c r="L1237">
        <v>0</v>
      </c>
      <c r="M1237">
        <v>0</v>
      </c>
      <c r="N1237">
        <v>2400</v>
      </c>
    </row>
    <row r="1238" spans="1:14" x14ac:dyDescent="0.25">
      <c r="A1238">
        <v>827.857215</v>
      </c>
      <c r="B1238" s="1">
        <f>DATE(2012,8,5) + TIME(20,34,23)</f>
        <v>41126.857210648152</v>
      </c>
      <c r="C1238">
        <v>80</v>
      </c>
      <c r="D1238">
        <v>79.944824218999997</v>
      </c>
      <c r="E1238">
        <v>50</v>
      </c>
      <c r="F1238">
        <v>42.198951721</v>
      </c>
      <c r="G1238">
        <v>1799.5443115</v>
      </c>
      <c r="H1238">
        <v>1672.9671631000001</v>
      </c>
      <c r="I1238">
        <v>864.58776854999996</v>
      </c>
      <c r="J1238">
        <v>658.96563720999995</v>
      </c>
      <c r="K1238">
        <v>2400</v>
      </c>
      <c r="L1238">
        <v>0</v>
      </c>
      <c r="M1238">
        <v>0</v>
      </c>
      <c r="N1238">
        <v>2400</v>
      </c>
    </row>
    <row r="1239" spans="1:14" x14ac:dyDescent="0.25">
      <c r="A1239">
        <v>829.530351</v>
      </c>
      <c r="B1239" s="1">
        <f>DATE(2012,8,7) + TIME(12,43,42)</f>
        <v>41128.530347222222</v>
      </c>
      <c r="C1239">
        <v>80</v>
      </c>
      <c r="D1239">
        <v>79.944900512999993</v>
      </c>
      <c r="E1239">
        <v>50</v>
      </c>
      <c r="F1239">
        <v>42.072193145999996</v>
      </c>
      <c r="G1239">
        <v>1799.0643310999999</v>
      </c>
      <c r="H1239">
        <v>1672.4873047000001</v>
      </c>
      <c r="I1239">
        <v>863.78973388999998</v>
      </c>
      <c r="J1239">
        <v>657.68145751999998</v>
      </c>
      <c r="K1239">
        <v>2400</v>
      </c>
      <c r="L1239">
        <v>0</v>
      </c>
      <c r="M1239">
        <v>0</v>
      </c>
      <c r="N1239">
        <v>2400</v>
      </c>
    </row>
    <row r="1240" spans="1:14" x14ac:dyDescent="0.25">
      <c r="A1240">
        <v>831.21429000000001</v>
      </c>
      <c r="B1240" s="1">
        <f>DATE(2012,8,9) + TIME(5,8,34)</f>
        <v>41130.214282407411</v>
      </c>
      <c r="C1240">
        <v>80</v>
      </c>
      <c r="D1240">
        <v>79.944984435999999</v>
      </c>
      <c r="E1240">
        <v>50</v>
      </c>
      <c r="F1240">
        <v>41.943183898999997</v>
      </c>
      <c r="G1240">
        <v>1798.5773925999999</v>
      </c>
      <c r="H1240">
        <v>1672.0003661999999</v>
      </c>
      <c r="I1240">
        <v>862.96997069999998</v>
      </c>
      <c r="J1240">
        <v>656.35650635000002</v>
      </c>
      <c r="K1240">
        <v>2400</v>
      </c>
      <c r="L1240">
        <v>0</v>
      </c>
      <c r="M1240">
        <v>0</v>
      </c>
      <c r="N1240">
        <v>2400</v>
      </c>
    </row>
    <row r="1241" spans="1:14" x14ac:dyDescent="0.25">
      <c r="A1241">
        <v>832.914582</v>
      </c>
      <c r="B1241" s="1">
        <f>DATE(2012,8,10) + TIME(21,56,59)</f>
        <v>41131.914571759262</v>
      </c>
      <c r="C1241">
        <v>80</v>
      </c>
      <c r="D1241">
        <v>79.945060729999994</v>
      </c>
      <c r="E1241">
        <v>50</v>
      </c>
      <c r="F1241">
        <v>41.812538146999998</v>
      </c>
      <c r="G1241">
        <v>1798.0837402</v>
      </c>
      <c r="H1241">
        <v>1671.5068358999999</v>
      </c>
      <c r="I1241">
        <v>862.13354491999996</v>
      </c>
      <c r="J1241">
        <v>654.99835204999999</v>
      </c>
      <c r="K1241">
        <v>2400</v>
      </c>
      <c r="L1241">
        <v>0</v>
      </c>
      <c r="M1241">
        <v>0</v>
      </c>
      <c r="N1241">
        <v>2400</v>
      </c>
    </row>
    <row r="1242" spans="1:14" x14ac:dyDescent="0.25">
      <c r="A1242">
        <v>834.63440500000002</v>
      </c>
      <c r="B1242" s="1">
        <f>DATE(2012,8,12) + TIME(15,13,32)</f>
        <v>41133.634398148148</v>
      </c>
      <c r="C1242">
        <v>80</v>
      </c>
      <c r="D1242">
        <v>79.945144653</v>
      </c>
      <c r="E1242">
        <v>50</v>
      </c>
      <c r="F1242">
        <v>41.680244446000003</v>
      </c>
      <c r="G1242">
        <v>1797.5837402</v>
      </c>
      <c r="H1242">
        <v>1671.0069579999999</v>
      </c>
      <c r="I1242">
        <v>861.27954102000001</v>
      </c>
      <c r="J1242">
        <v>653.60559081999997</v>
      </c>
      <c r="K1242">
        <v>2400</v>
      </c>
      <c r="L1242">
        <v>0</v>
      </c>
      <c r="M1242">
        <v>0</v>
      </c>
      <c r="N1242">
        <v>2400</v>
      </c>
    </row>
    <row r="1243" spans="1:14" x14ac:dyDescent="0.25">
      <c r="A1243">
        <v>836.36946399999999</v>
      </c>
      <c r="B1243" s="1">
        <f>DATE(2012,8,14) + TIME(8,52,1)</f>
        <v>41135.369456018518</v>
      </c>
      <c r="C1243">
        <v>80</v>
      </c>
      <c r="D1243">
        <v>79.945228576999995</v>
      </c>
      <c r="E1243">
        <v>50</v>
      </c>
      <c r="F1243">
        <v>41.546321869000003</v>
      </c>
      <c r="G1243">
        <v>1797.0783690999999</v>
      </c>
      <c r="H1243">
        <v>1670.5015868999999</v>
      </c>
      <c r="I1243">
        <v>860.40722656000003</v>
      </c>
      <c r="J1243">
        <v>652.17749022999999</v>
      </c>
      <c r="K1243">
        <v>2400</v>
      </c>
      <c r="L1243">
        <v>0</v>
      </c>
      <c r="M1243">
        <v>0</v>
      </c>
      <c r="N1243">
        <v>2400</v>
      </c>
    </row>
    <row r="1244" spans="1:14" x14ac:dyDescent="0.25">
      <c r="A1244">
        <v>838.11683400000004</v>
      </c>
      <c r="B1244" s="1">
        <f>DATE(2012,8,16) + TIME(2,48,14)</f>
        <v>41137.116828703707</v>
      </c>
      <c r="C1244">
        <v>80</v>
      </c>
      <c r="D1244">
        <v>79.9453125</v>
      </c>
      <c r="E1244">
        <v>50</v>
      </c>
      <c r="F1244">
        <v>41.411041259999998</v>
      </c>
      <c r="G1244">
        <v>1796.5686035000001</v>
      </c>
      <c r="H1244">
        <v>1669.9919434000001</v>
      </c>
      <c r="I1244">
        <v>859.51867675999995</v>
      </c>
      <c r="J1244">
        <v>650.71710204999999</v>
      </c>
      <c r="K1244">
        <v>2400</v>
      </c>
      <c r="L1244">
        <v>0</v>
      </c>
      <c r="M1244">
        <v>0</v>
      </c>
      <c r="N1244">
        <v>2400</v>
      </c>
    </row>
    <row r="1245" spans="1:14" x14ac:dyDescent="0.25">
      <c r="A1245">
        <v>839.88124300000004</v>
      </c>
      <c r="B1245" s="1">
        <f>DATE(2012,8,17) + TIME(21,8,59)</f>
        <v>41138.881238425929</v>
      </c>
      <c r="C1245">
        <v>80</v>
      </c>
      <c r="D1245">
        <v>79.945404053000004</v>
      </c>
      <c r="E1245">
        <v>50</v>
      </c>
      <c r="F1245">
        <v>41.274501801</v>
      </c>
      <c r="G1245">
        <v>1796.0539550999999</v>
      </c>
      <c r="H1245">
        <v>1669.4774170000001</v>
      </c>
      <c r="I1245">
        <v>858.61553954999999</v>
      </c>
      <c r="J1245">
        <v>649.22637939000003</v>
      </c>
      <c r="K1245">
        <v>2400</v>
      </c>
      <c r="L1245">
        <v>0</v>
      </c>
      <c r="M1245">
        <v>0</v>
      </c>
      <c r="N1245">
        <v>2400</v>
      </c>
    </row>
    <row r="1246" spans="1:14" x14ac:dyDescent="0.25">
      <c r="A1246">
        <v>841.669847</v>
      </c>
      <c r="B1246" s="1">
        <f>DATE(2012,8,19) + TIME(16,4,34)</f>
        <v>41140.66983796296</v>
      </c>
      <c r="C1246">
        <v>80</v>
      </c>
      <c r="D1246">
        <v>79.945487975999995</v>
      </c>
      <c r="E1246">
        <v>50</v>
      </c>
      <c r="F1246">
        <v>41.136478424000003</v>
      </c>
      <c r="G1246">
        <v>1795.5333252</v>
      </c>
      <c r="H1246">
        <v>1668.9569091999999</v>
      </c>
      <c r="I1246">
        <v>857.69641113</v>
      </c>
      <c r="J1246">
        <v>647.70294189000003</v>
      </c>
      <c r="K1246">
        <v>2400</v>
      </c>
      <c r="L1246">
        <v>0</v>
      </c>
      <c r="M1246">
        <v>0</v>
      </c>
      <c r="N1246">
        <v>2400</v>
      </c>
    </row>
    <row r="1247" spans="1:14" x14ac:dyDescent="0.25">
      <c r="A1247">
        <v>843.48420999999996</v>
      </c>
      <c r="B1247" s="1">
        <f>DATE(2012,8,21) + TIME(11,37,15)</f>
        <v>41142.484201388892</v>
      </c>
      <c r="C1247">
        <v>80</v>
      </c>
      <c r="D1247">
        <v>79.945579529</v>
      </c>
      <c r="E1247">
        <v>50</v>
      </c>
      <c r="F1247">
        <v>40.996723175</v>
      </c>
      <c r="G1247">
        <v>1795.0063477000001</v>
      </c>
      <c r="H1247">
        <v>1668.4299315999999</v>
      </c>
      <c r="I1247">
        <v>856.75897216999999</v>
      </c>
      <c r="J1247">
        <v>646.14300536999997</v>
      </c>
      <c r="K1247">
        <v>2400</v>
      </c>
      <c r="L1247">
        <v>0</v>
      </c>
      <c r="M1247">
        <v>0</v>
      </c>
      <c r="N1247">
        <v>2400</v>
      </c>
    </row>
    <row r="1248" spans="1:14" x14ac:dyDescent="0.25">
      <c r="A1248">
        <v>845.318535</v>
      </c>
      <c r="B1248" s="1">
        <f>DATE(2012,8,23) + TIME(7,38,41)</f>
        <v>41144.318530092591</v>
      </c>
      <c r="C1248">
        <v>80</v>
      </c>
      <c r="D1248">
        <v>79.945671082000004</v>
      </c>
      <c r="E1248">
        <v>50</v>
      </c>
      <c r="F1248">
        <v>40.855308532999999</v>
      </c>
      <c r="G1248">
        <v>1794.4738769999999</v>
      </c>
      <c r="H1248">
        <v>1667.8975829999999</v>
      </c>
      <c r="I1248">
        <v>855.80310058999999</v>
      </c>
      <c r="J1248">
        <v>644.54663086000005</v>
      </c>
      <c r="K1248">
        <v>2400</v>
      </c>
      <c r="L1248">
        <v>0</v>
      </c>
      <c r="M1248">
        <v>0</v>
      </c>
      <c r="N1248">
        <v>2400</v>
      </c>
    </row>
    <row r="1249" spans="1:14" x14ac:dyDescent="0.25">
      <c r="A1249">
        <v>847.17548699999998</v>
      </c>
      <c r="B1249" s="1">
        <f>DATE(2012,8,25) + TIME(4,12,42)</f>
        <v>41146.175486111111</v>
      </c>
      <c r="C1249">
        <v>80</v>
      </c>
      <c r="D1249">
        <v>79.945755004999995</v>
      </c>
      <c r="E1249">
        <v>50</v>
      </c>
      <c r="F1249">
        <v>40.712471008000001</v>
      </c>
      <c r="G1249">
        <v>1793.9359131000001</v>
      </c>
      <c r="H1249">
        <v>1667.3594971</v>
      </c>
      <c r="I1249">
        <v>854.83197021000001</v>
      </c>
      <c r="J1249">
        <v>642.91790771000001</v>
      </c>
      <c r="K1249">
        <v>2400</v>
      </c>
      <c r="L1249">
        <v>0</v>
      </c>
      <c r="M1249">
        <v>0</v>
      </c>
      <c r="N1249">
        <v>2400</v>
      </c>
    </row>
    <row r="1250" spans="1:14" x14ac:dyDescent="0.25">
      <c r="A1250">
        <v>849.046648</v>
      </c>
      <c r="B1250" s="1">
        <f>DATE(2012,8,27) + TIME(1,7,10)</f>
        <v>41148.046643518515</v>
      </c>
      <c r="C1250">
        <v>80</v>
      </c>
      <c r="D1250">
        <v>79.945846558</v>
      </c>
      <c r="E1250">
        <v>50</v>
      </c>
      <c r="F1250">
        <v>40.568500518999997</v>
      </c>
      <c r="G1250">
        <v>1793.3939209</v>
      </c>
      <c r="H1250">
        <v>1666.817749</v>
      </c>
      <c r="I1250">
        <v>853.84619140999996</v>
      </c>
      <c r="J1250">
        <v>641.25854491999996</v>
      </c>
      <c r="K1250">
        <v>2400</v>
      </c>
      <c r="L1250">
        <v>0</v>
      </c>
      <c r="M1250">
        <v>0</v>
      </c>
      <c r="N1250">
        <v>2400</v>
      </c>
    </row>
    <row r="1251" spans="1:14" x14ac:dyDescent="0.25">
      <c r="A1251">
        <v>850.92822899999999</v>
      </c>
      <c r="B1251" s="1">
        <f>DATE(2012,8,28) + TIME(22,16,38)</f>
        <v>41149.928217592591</v>
      </c>
      <c r="C1251">
        <v>80</v>
      </c>
      <c r="D1251">
        <v>79.94593811</v>
      </c>
      <c r="E1251">
        <v>50</v>
      </c>
      <c r="F1251">
        <v>40.423942566000001</v>
      </c>
      <c r="G1251">
        <v>1792.8493652</v>
      </c>
      <c r="H1251">
        <v>1666.2731934000001</v>
      </c>
      <c r="I1251">
        <v>852.85076904000005</v>
      </c>
      <c r="J1251">
        <v>639.57598876999998</v>
      </c>
      <c r="K1251">
        <v>2400</v>
      </c>
      <c r="L1251">
        <v>0</v>
      </c>
      <c r="M1251">
        <v>0</v>
      </c>
      <c r="N1251">
        <v>2400</v>
      </c>
    </row>
    <row r="1252" spans="1:14" x14ac:dyDescent="0.25">
      <c r="A1252">
        <v>852.82586900000001</v>
      </c>
      <c r="B1252" s="1">
        <f>DATE(2012,8,30) + TIME(19,49,15)</f>
        <v>41151.825868055559</v>
      </c>
      <c r="C1252">
        <v>80</v>
      </c>
      <c r="D1252">
        <v>79.946029663000004</v>
      </c>
      <c r="E1252">
        <v>50</v>
      </c>
      <c r="F1252">
        <v>40.279121398999997</v>
      </c>
      <c r="G1252">
        <v>1792.3015137</v>
      </c>
      <c r="H1252">
        <v>1665.7254639</v>
      </c>
      <c r="I1252">
        <v>851.84899901999995</v>
      </c>
      <c r="J1252">
        <v>637.87506103999999</v>
      </c>
      <c r="K1252">
        <v>2400</v>
      </c>
      <c r="L1252">
        <v>0</v>
      </c>
      <c r="M1252">
        <v>0</v>
      </c>
      <c r="N1252">
        <v>2400</v>
      </c>
    </row>
    <row r="1253" spans="1:14" x14ac:dyDescent="0.25">
      <c r="A1253">
        <v>854</v>
      </c>
      <c r="B1253" s="1">
        <f>DATE(2012,9,1) + TIME(0,0,0)</f>
        <v>41153</v>
      </c>
      <c r="C1253">
        <v>80</v>
      </c>
      <c r="D1253">
        <v>79.946029663000004</v>
      </c>
      <c r="E1253">
        <v>50</v>
      </c>
      <c r="F1253">
        <v>40.156112671000002</v>
      </c>
      <c r="G1253">
        <v>1791.918457</v>
      </c>
      <c r="H1253">
        <v>1665.3422852000001</v>
      </c>
      <c r="I1253">
        <v>850.89636229999996</v>
      </c>
      <c r="J1253">
        <v>636.31219481999995</v>
      </c>
      <c r="K1253">
        <v>2400</v>
      </c>
      <c r="L1253">
        <v>0</v>
      </c>
      <c r="M1253">
        <v>0</v>
      </c>
      <c r="N1253">
        <v>2400</v>
      </c>
    </row>
    <row r="1254" spans="1:14" x14ac:dyDescent="0.25">
      <c r="A1254">
        <v>855.91957400000001</v>
      </c>
      <c r="B1254" s="1">
        <f>DATE(2012,9,2) + TIME(22,4,11)</f>
        <v>41154.919571759259</v>
      </c>
      <c r="C1254">
        <v>80</v>
      </c>
      <c r="D1254">
        <v>79.946166992000002</v>
      </c>
      <c r="E1254">
        <v>50</v>
      </c>
      <c r="F1254">
        <v>40.035263061999999</v>
      </c>
      <c r="G1254">
        <v>1791.3796387</v>
      </c>
      <c r="H1254">
        <v>1664.8035889</v>
      </c>
      <c r="I1254">
        <v>850.18029784999999</v>
      </c>
      <c r="J1254">
        <v>635.00549316000001</v>
      </c>
      <c r="K1254">
        <v>2400</v>
      </c>
      <c r="L1254">
        <v>0</v>
      </c>
      <c r="M1254">
        <v>0</v>
      </c>
      <c r="N1254">
        <v>2400</v>
      </c>
    </row>
    <row r="1255" spans="1:14" x14ac:dyDescent="0.25">
      <c r="A1255">
        <v>857.88336200000003</v>
      </c>
      <c r="B1255" s="1">
        <f>DATE(2012,9,4) + TIME(21,12,2)</f>
        <v>41156.883356481485</v>
      </c>
      <c r="C1255">
        <v>80</v>
      </c>
      <c r="D1255">
        <v>79.946281432999996</v>
      </c>
      <c r="E1255">
        <v>50</v>
      </c>
      <c r="F1255">
        <v>39.897102355999998</v>
      </c>
      <c r="G1255">
        <v>1790.8321533000001</v>
      </c>
      <c r="H1255">
        <v>1664.2562256000001</v>
      </c>
      <c r="I1255">
        <v>849.19689941000001</v>
      </c>
      <c r="J1255">
        <v>633.32708739999998</v>
      </c>
      <c r="K1255">
        <v>2400</v>
      </c>
      <c r="L1255">
        <v>0</v>
      </c>
      <c r="M1255">
        <v>0</v>
      </c>
      <c r="N1255">
        <v>2400</v>
      </c>
    </row>
    <row r="1256" spans="1:14" x14ac:dyDescent="0.25">
      <c r="A1256">
        <v>859.86743200000001</v>
      </c>
      <c r="B1256" s="1">
        <f>DATE(2012,9,6) + TIME(20,49,6)</f>
        <v>41158.867430555554</v>
      </c>
      <c r="C1256">
        <v>80</v>
      </c>
      <c r="D1256">
        <v>79.946372986</v>
      </c>
      <c r="E1256">
        <v>50</v>
      </c>
      <c r="F1256">
        <v>39.753185272000003</v>
      </c>
      <c r="G1256">
        <v>1790.2740478999999</v>
      </c>
      <c r="H1256">
        <v>1663.6981201000001</v>
      </c>
      <c r="I1256">
        <v>848.17388916000004</v>
      </c>
      <c r="J1256">
        <v>631.56927489999998</v>
      </c>
      <c r="K1256">
        <v>2400</v>
      </c>
      <c r="L1256">
        <v>0</v>
      </c>
      <c r="M1256">
        <v>0</v>
      </c>
      <c r="N1256">
        <v>2400</v>
      </c>
    </row>
    <row r="1257" spans="1:14" x14ac:dyDescent="0.25">
      <c r="A1257">
        <v>861.86601399999995</v>
      </c>
      <c r="B1257" s="1">
        <f>DATE(2012,9,8) + TIME(20,47,3)</f>
        <v>41160.866006944445</v>
      </c>
      <c r="C1257">
        <v>80</v>
      </c>
      <c r="D1257">
        <v>79.946464539000004</v>
      </c>
      <c r="E1257">
        <v>50</v>
      </c>
      <c r="F1257">
        <v>39.608177185000002</v>
      </c>
      <c r="G1257">
        <v>1789.7092285000001</v>
      </c>
      <c r="H1257">
        <v>1663.1335449000001</v>
      </c>
      <c r="I1257">
        <v>847.14300536999997</v>
      </c>
      <c r="J1257">
        <v>629.78686522999999</v>
      </c>
      <c r="K1257">
        <v>2400</v>
      </c>
      <c r="L1257">
        <v>0</v>
      </c>
      <c r="M1257">
        <v>0</v>
      </c>
      <c r="N1257">
        <v>2400</v>
      </c>
    </row>
    <row r="1258" spans="1:14" x14ac:dyDescent="0.25">
      <c r="A1258">
        <v>863.887021</v>
      </c>
      <c r="B1258" s="1">
        <f>DATE(2012,9,10) + TIME(21,17,18)</f>
        <v>41162.887013888889</v>
      </c>
      <c r="C1258">
        <v>80</v>
      </c>
      <c r="D1258">
        <v>79.946556091000005</v>
      </c>
      <c r="E1258">
        <v>50</v>
      </c>
      <c r="F1258">
        <v>39.463729858000001</v>
      </c>
      <c r="G1258">
        <v>1789.1386719</v>
      </c>
      <c r="H1258">
        <v>1662.5628661999999</v>
      </c>
      <c r="I1258">
        <v>846.11358643000005</v>
      </c>
      <c r="J1258">
        <v>627.99719238</v>
      </c>
      <c r="K1258">
        <v>2400</v>
      </c>
      <c r="L1258">
        <v>0</v>
      </c>
      <c r="M1258">
        <v>0</v>
      </c>
      <c r="N1258">
        <v>2400</v>
      </c>
    </row>
    <row r="1259" spans="1:14" x14ac:dyDescent="0.25">
      <c r="A1259">
        <v>865.93221000000005</v>
      </c>
      <c r="B1259" s="1">
        <f>DATE(2012,9,12) + TIME(22,22,22)</f>
        <v>41164.932199074072</v>
      </c>
      <c r="C1259">
        <v>80</v>
      </c>
      <c r="D1259">
        <v>79.946647643999995</v>
      </c>
      <c r="E1259">
        <v>50</v>
      </c>
      <c r="F1259">
        <v>39.320335387999997</v>
      </c>
      <c r="G1259">
        <v>1788.5626221</v>
      </c>
      <c r="H1259">
        <v>1661.9869385</v>
      </c>
      <c r="I1259">
        <v>845.08624268000005</v>
      </c>
      <c r="J1259">
        <v>626.20294189000003</v>
      </c>
      <c r="K1259">
        <v>2400</v>
      </c>
      <c r="L1259">
        <v>0</v>
      </c>
      <c r="M1259">
        <v>0</v>
      </c>
      <c r="N1259">
        <v>2400</v>
      </c>
    </row>
    <row r="1260" spans="1:14" x14ac:dyDescent="0.25">
      <c r="A1260">
        <v>867.98603800000001</v>
      </c>
      <c r="B1260" s="1">
        <f>DATE(2012,9,14) + TIME(23,39,53)</f>
        <v>41166.986030092594</v>
      </c>
      <c r="C1260">
        <v>80</v>
      </c>
      <c r="D1260">
        <v>79.946746825999995</v>
      </c>
      <c r="E1260">
        <v>50</v>
      </c>
      <c r="F1260">
        <v>39.178733825999998</v>
      </c>
      <c r="G1260">
        <v>1787.9844971</v>
      </c>
      <c r="H1260">
        <v>1661.4089355000001</v>
      </c>
      <c r="I1260">
        <v>844.06359863</v>
      </c>
      <c r="J1260">
        <v>624.41021728999999</v>
      </c>
      <c r="K1260">
        <v>2400</v>
      </c>
      <c r="L1260">
        <v>0</v>
      </c>
      <c r="M1260">
        <v>0</v>
      </c>
      <c r="N1260">
        <v>2400</v>
      </c>
    </row>
    <row r="1261" spans="1:14" x14ac:dyDescent="0.25">
      <c r="A1261">
        <v>870.05446600000005</v>
      </c>
      <c r="B1261" s="1">
        <f>DATE(2012,9,17) + TIME(1,18,25)</f>
        <v>41169.054456018515</v>
      </c>
      <c r="C1261">
        <v>80</v>
      </c>
      <c r="D1261">
        <v>79.946838378999999</v>
      </c>
      <c r="E1261">
        <v>50</v>
      </c>
      <c r="F1261">
        <v>39.039882660000004</v>
      </c>
      <c r="G1261">
        <v>1787.4039307</v>
      </c>
      <c r="H1261">
        <v>1660.8283690999999</v>
      </c>
      <c r="I1261">
        <v>843.05505371000004</v>
      </c>
      <c r="J1261">
        <v>622.63330078000001</v>
      </c>
      <c r="K1261">
        <v>2400</v>
      </c>
      <c r="L1261">
        <v>0</v>
      </c>
      <c r="M1261">
        <v>0</v>
      </c>
      <c r="N1261">
        <v>2400</v>
      </c>
    </row>
    <row r="1262" spans="1:14" x14ac:dyDescent="0.25">
      <c r="A1262">
        <v>872.143686</v>
      </c>
      <c r="B1262" s="1">
        <f>DATE(2012,9,19) + TIME(3,26,54)</f>
        <v>41171.143680555557</v>
      </c>
      <c r="C1262">
        <v>80</v>
      </c>
      <c r="D1262">
        <v>79.946929932000003</v>
      </c>
      <c r="E1262">
        <v>50</v>
      </c>
      <c r="F1262">
        <v>38.904167174999998</v>
      </c>
      <c r="G1262">
        <v>1786.8198242000001</v>
      </c>
      <c r="H1262">
        <v>1660.2443848</v>
      </c>
      <c r="I1262">
        <v>842.06164550999995</v>
      </c>
      <c r="J1262">
        <v>620.87506103999999</v>
      </c>
      <c r="K1262">
        <v>2400</v>
      </c>
      <c r="L1262">
        <v>0</v>
      </c>
      <c r="M1262">
        <v>0</v>
      </c>
      <c r="N1262">
        <v>2400</v>
      </c>
    </row>
    <row r="1263" spans="1:14" x14ac:dyDescent="0.25">
      <c r="A1263">
        <v>874.26020000000005</v>
      </c>
      <c r="B1263" s="1">
        <f>DATE(2012,9,21) + TIME(6,14,41)</f>
        <v>41173.260196759256</v>
      </c>
      <c r="C1263">
        <v>80</v>
      </c>
      <c r="D1263">
        <v>79.947029114000003</v>
      </c>
      <c r="E1263">
        <v>50</v>
      </c>
      <c r="F1263">
        <v>38.771865845000001</v>
      </c>
      <c r="G1263">
        <v>1786.2308350000001</v>
      </c>
      <c r="H1263">
        <v>1659.6553954999999</v>
      </c>
      <c r="I1263">
        <v>841.08392333999996</v>
      </c>
      <c r="J1263">
        <v>619.13677978999999</v>
      </c>
      <c r="K1263">
        <v>2400</v>
      </c>
      <c r="L1263">
        <v>0</v>
      </c>
      <c r="M1263">
        <v>0</v>
      </c>
      <c r="N1263">
        <v>2400</v>
      </c>
    </row>
    <row r="1264" spans="1:14" x14ac:dyDescent="0.25">
      <c r="A1264">
        <v>876.40635899999995</v>
      </c>
      <c r="B1264" s="1">
        <f>DATE(2012,9,23) + TIME(9,45,9)</f>
        <v>41175.406354166669</v>
      </c>
      <c r="C1264">
        <v>80</v>
      </c>
      <c r="D1264">
        <v>79.947128296000002</v>
      </c>
      <c r="E1264">
        <v>50</v>
      </c>
      <c r="F1264">
        <v>38.643383026000002</v>
      </c>
      <c r="G1264">
        <v>1785.6363524999999</v>
      </c>
      <c r="H1264">
        <v>1659.0610352000001</v>
      </c>
      <c r="I1264">
        <v>840.12237548999997</v>
      </c>
      <c r="J1264">
        <v>617.42047118999994</v>
      </c>
      <c r="K1264">
        <v>2400</v>
      </c>
      <c r="L1264">
        <v>0</v>
      </c>
      <c r="M1264">
        <v>0</v>
      </c>
      <c r="N1264">
        <v>2400</v>
      </c>
    </row>
    <row r="1265" spans="1:14" x14ac:dyDescent="0.25">
      <c r="A1265">
        <v>878.57884100000001</v>
      </c>
      <c r="B1265" s="1">
        <f>DATE(2012,9,25) + TIME(13,53,31)</f>
        <v>41177.578831018516</v>
      </c>
      <c r="C1265">
        <v>80</v>
      </c>
      <c r="D1265">
        <v>79.947227478000002</v>
      </c>
      <c r="E1265">
        <v>50</v>
      </c>
      <c r="F1265">
        <v>38.519432068</v>
      </c>
      <c r="G1265">
        <v>1785.0369873</v>
      </c>
      <c r="H1265">
        <v>1658.4616699000001</v>
      </c>
      <c r="I1265">
        <v>839.17987060999997</v>
      </c>
      <c r="J1265">
        <v>615.73187256000006</v>
      </c>
      <c r="K1265">
        <v>2400</v>
      </c>
      <c r="L1265">
        <v>0</v>
      </c>
      <c r="M1265">
        <v>0</v>
      </c>
      <c r="N1265">
        <v>2400</v>
      </c>
    </row>
    <row r="1266" spans="1:14" x14ac:dyDescent="0.25">
      <c r="A1266">
        <v>880.76293299999998</v>
      </c>
      <c r="B1266" s="1">
        <f>DATE(2012,9,27) + TIME(18,18,37)</f>
        <v>41179.762928240743</v>
      </c>
      <c r="C1266">
        <v>80</v>
      </c>
      <c r="D1266">
        <v>79.947326660000002</v>
      </c>
      <c r="E1266">
        <v>50</v>
      </c>
      <c r="F1266">
        <v>38.401195526000002</v>
      </c>
      <c r="G1266">
        <v>1784.4355469</v>
      </c>
      <c r="H1266">
        <v>1657.8603516000001</v>
      </c>
      <c r="I1266">
        <v>838.26165771000001</v>
      </c>
      <c r="J1266">
        <v>614.08178711000005</v>
      </c>
      <c r="K1266">
        <v>2400</v>
      </c>
      <c r="L1266">
        <v>0</v>
      </c>
      <c r="M1266">
        <v>0</v>
      </c>
      <c r="N1266">
        <v>2400</v>
      </c>
    </row>
    <row r="1267" spans="1:14" x14ac:dyDescent="0.25">
      <c r="A1267">
        <v>882.96691599999997</v>
      </c>
      <c r="B1267" s="1">
        <f>DATE(2012,9,29) + TIME(23,12,21)</f>
        <v>41181.966909722221</v>
      </c>
      <c r="C1267">
        <v>80</v>
      </c>
      <c r="D1267">
        <v>79.947418213000006</v>
      </c>
      <c r="E1267">
        <v>50</v>
      </c>
      <c r="F1267">
        <v>38.289905548</v>
      </c>
      <c r="G1267">
        <v>1783.8309326000001</v>
      </c>
      <c r="H1267">
        <v>1657.2557373</v>
      </c>
      <c r="I1267">
        <v>837.37701416000004</v>
      </c>
      <c r="J1267">
        <v>612.48577881000006</v>
      </c>
      <c r="K1267">
        <v>2400</v>
      </c>
      <c r="L1267">
        <v>0</v>
      </c>
      <c r="M1267">
        <v>0</v>
      </c>
      <c r="N1267">
        <v>2400</v>
      </c>
    </row>
    <row r="1268" spans="1:14" x14ac:dyDescent="0.25">
      <c r="A1268">
        <v>884</v>
      </c>
      <c r="B1268" s="1">
        <f>DATE(2012,10,1) + TIME(0,0,0)</f>
        <v>41183</v>
      </c>
      <c r="C1268">
        <v>80</v>
      </c>
      <c r="D1268">
        <v>79.947402953999998</v>
      </c>
      <c r="E1268">
        <v>50</v>
      </c>
      <c r="F1268">
        <v>38.209674835000001</v>
      </c>
      <c r="G1268">
        <v>1783.5041504000001</v>
      </c>
      <c r="H1268">
        <v>1656.9288329999999</v>
      </c>
      <c r="I1268">
        <v>836.57330321999996</v>
      </c>
      <c r="J1268">
        <v>611.13293456999997</v>
      </c>
      <c r="K1268">
        <v>2400</v>
      </c>
      <c r="L1268">
        <v>0</v>
      </c>
      <c r="M1268">
        <v>0</v>
      </c>
      <c r="N1268">
        <v>2400</v>
      </c>
    </row>
    <row r="1269" spans="1:14" x14ac:dyDescent="0.25">
      <c r="A1269">
        <v>886.232936</v>
      </c>
      <c r="B1269" s="1">
        <f>DATE(2012,10,3) + TIME(5,35,25)</f>
        <v>41185.232928240737</v>
      </c>
      <c r="C1269">
        <v>80</v>
      </c>
      <c r="D1269">
        <v>79.947555542000003</v>
      </c>
      <c r="E1269">
        <v>50</v>
      </c>
      <c r="F1269">
        <v>38.133945464999996</v>
      </c>
      <c r="G1269">
        <v>1782.9039307</v>
      </c>
      <c r="H1269">
        <v>1656.3288574000001</v>
      </c>
      <c r="I1269">
        <v>836.11602783000001</v>
      </c>
      <c r="J1269">
        <v>610.17956543000003</v>
      </c>
      <c r="K1269">
        <v>2400</v>
      </c>
      <c r="L1269">
        <v>0</v>
      </c>
      <c r="M1269">
        <v>0</v>
      </c>
      <c r="N1269">
        <v>2400</v>
      </c>
    </row>
    <row r="1270" spans="1:14" x14ac:dyDescent="0.25">
      <c r="A1270">
        <v>888.48979799999995</v>
      </c>
      <c r="B1270" s="1">
        <f>DATE(2012,10,5) + TIME(11,45,18)</f>
        <v>41187.489791666667</v>
      </c>
      <c r="C1270">
        <v>80</v>
      </c>
      <c r="D1270">
        <v>79.947669982999997</v>
      </c>
      <c r="E1270">
        <v>50</v>
      </c>
      <c r="F1270">
        <v>38.049777984999999</v>
      </c>
      <c r="G1270">
        <v>1782.3044434000001</v>
      </c>
      <c r="H1270">
        <v>1655.7293701000001</v>
      </c>
      <c r="I1270">
        <v>835.35528564000003</v>
      </c>
      <c r="J1270">
        <v>608.81109618999994</v>
      </c>
      <c r="K1270">
        <v>2400</v>
      </c>
      <c r="L1270">
        <v>0</v>
      </c>
      <c r="M1270">
        <v>0</v>
      </c>
      <c r="N1270">
        <v>2400</v>
      </c>
    </row>
    <row r="1271" spans="1:14" x14ac:dyDescent="0.25">
      <c r="A1271">
        <v>890.76406499999996</v>
      </c>
      <c r="B1271" s="1">
        <f>DATE(2012,10,7) + TIME(18,20,15)</f>
        <v>41189.764062499999</v>
      </c>
      <c r="C1271">
        <v>80</v>
      </c>
      <c r="D1271">
        <v>79.947769164999997</v>
      </c>
      <c r="E1271">
        <v>50</v>
      </c>
      <c r="F1271">
        <v>37.970993042000003</v>
      </c>
      <c r="G1271">
        <v>1781.6966553</v>
      </c>
      <c r="H1271">
        <v>1655.1217041</v>
      </c>
      <c r="I1271">
        <v>834.60736083999996</v>
      </c>
      <c r="J1271">
        <v>607.46026611000002</v>
      </c>
      <c r="K1271">
        <v>2400</v>
      </c>
      <c r="L1271">
        <v>0</v>
      </c>
      <c r="M1271">
        <v>0</v>
      </c>
      <c r="N1271">
        <v>2400</v>
      </c>
    </row>
    <row r="1272" spans="1:14" x14ac:dyDescent="0.25">
      <c r="A1272">
        <v>893.062273</v>
      </c>
      <c r="B1272" s="1">
        <f>DATE(2012,10,10) + TIME(1,29,40)</f>
        <v>41192.062268518515</v>
      </c>
      <c r="C1272">
        <v>80</v>
      </c>
      <c r="D1272">
        <v>79.947868346999996</v>
      </c>
      <c r="E1272">
        <v>50</v>
      </c>
      <c r="F1272">
        <v>37.902267455999997</v>
      </c>
      <c r="G1272">
        <v>1781.0819091999999</v>
      </c>
      <c r="H1272">
        <v>1654.5070800999999</v>
      </c>
      <c r="I1272">
        <v>833.90106201000003</v>
      </c>
      <c r="J1272">
        <v>606.18182373000002</v>
      </c>
      <c r="K1272">
        <v>2400</v>
      </c>
      <c r="L1272">
        <v>0</v>
      </c>
      <c r="M1272">
        <v>0</v>
      </c>
      <c r="N1272">
        <v>2400</v>
      </c>
    </row>
    <row r="1273" spans="1:14" x14ac:dyDescent="0.25">
      <c r="A1273">
        <v>895.39029900000003</v>
      </c>
      <c r="B1273" s="1">
        <f>DATE(2012,10,12) + TIME(9,22,1)</f>
        <v>41194.390289351853</v>
      </c>
      <c r="C1273">
        <v>80</v>
      </c>
      <c r="D1273">
        <v>79.947967528999996</v>
      </c>
      <c r="E1273">
        <v>50</v>
      </c>
      <c r="F1273">
        <v>37.845413207999997</v>
      </c>
      <c r="G1273">
        <v>1780.4606934000001</v>
      </c>
      <c r="H1273">
        <v>1653.8858643000001</v>
      </c>
      <c r="I1273">
        <v>833.24053954999999</v>
      </c>
      <c r="J1273">
        <v>604.98828125</v>
      </c>
      <c r="K1273">
        <v>2400</v>
      </c>
      <c r="L1273">
        <v>0</v>
      </c>
      <c r="M1273">
        <v>0</v>
      </c>
      <c r="N1273">
        <v>2400</v>
      </c>
    </row>
    <row r="1274" spans="1:14" x14ac:dyDescent="0.25">
      <c r="A1274">
        <v>897.73978099999999</v>
      </c>
      <c r="B1274" s="1">
        <f>DATE(2012,10,14) + TIME(17,45,17)</f>
        <v>41196.73978009259</v>
      </c>
      <c r="C1274">
        <v>80</v>
      </c>
      <c r="D1274">
        <v>79.948066710999996</v>
      </c>
      <c r="E1274">
        <v>50</v>
      </c>
      <c r="F1274">
        <v>37.801689148000001</v>
      </c>
      <c r="G1274">
        <v>1779.8354492000001</v>
      </c>
      <c r="H1274">
        <v>1653.2607422000001</v>
      </c>
      <c r="I1274">
        <v>832.62707520000004</v>
      </c>
      <c r="J1274">
        <v>603.88549805000002</v>
      </c>
      <c r="K1274">
        <v>2400</v>
      </c>
      <c r="L1274">
        <v>0</v>
      </c>
      <c r="M1274">
        <v>0</v>
      </c>
      <c r="N1274">
        <v>2400</v>
      </c>
    </row>
    <row r="1275" spans="1:14" x14ac:dyDescent="0.25">
      <c r="A1275">
        <v>900.10327400000006</v>
      </c>
      <c r="B1275" s="1">
        <f>DATE(2012,10,17) + TIME(2,28,42)</f>
        <v>41199.103263888886</v>
      </c>
      <c r="C1275">
        <v>80</v>
      </c>
      <c r="D1275">
        <v>79.948165893999999</v>
      </c>
      <c r="E1275">
        <v>50</v>
      </c>
      <c r="F1275">
        <v>37.772258759000003</v>
      </c>
      <c r="G1275">
        <v>1779.208374</v>
      </c>
      <c r="H1275">
        <v>1652.6335449000001</v>
      </c>
      <c r="I1275">
        <v>832.06439208999996</v>
      </c>
      <c r="J1275">
        <v>602.88238524999997</v>
      </c>
      <c r="K1275">
        <v>2400</v>
      </c>
      <c r="L1275">
        <v>0</v>
      </c>
      <c r="M1275">
        <v>0</v>
      </c>
      <c r="N1275">
        <v>2400</v>
      </c>
    </row>
    <row r="1276" spans="1:14" x14ac:dyDescent="0.25">
      <c r="A1276">
        <v>902.49122899999998</v>
      </c>
      <c r="B1276" s="1">
        <f>DATE(2012,10,19) + TIME(11,47,22)</f>
        <v>41201.491226851853</v>
      </c>
      <c r="C1276">
        <v>80</v>
      </c>
      <c r="D1276">
        <v>79.948265075999998</v>
      </c>
      <c r="E1276">
        <v>50</v>
      </c>
      <c r="F1276">
        <v>37.758003234999997</v>
      </c>
      <c r="G1276">
        <v>1778.5777588000001</v>
      </c>
      <c r="H1276">
        <v>1652.0030518000001</v>
      </c>
      <c r="I1276">
        <v>831.55517578000001</v>
      </c>
      <c r="J1276">
        <v>601.98486328000001</v>
      </c>
      <c r="K1276">
        <v>2400</v>
      </c>
      <c r="L1276">
        <v>0</v>
      </c>
      <c r="M1276">
        <v>0</v>
      </c>
      <c r="N1276">
        <v>2400</v>
      </c>
    </row>
    <row r="1277" spans="1:14" x14ac:dyDescent="0.25">
      <c r="A1277">
        <v>904.91239900000005</v>
      </c>
      <c r="B1277" s="1">
        <f>DATE(2012,10,21) + TIME(21,53,51)</f>
        <v>41203.912395833337</v>
      </c>
      <c r="C1277">
        <v>80</v>
      </c>
      <c r="D1277">
        <v>79.948371886999993</v>
      </c>
      <c r="E1277">
        <v>50</v>
      </c>
      <c r="F1277">
        <v>37.759651183999999</v>
      </c>
      <c r="G1277">
        <v>1777.9423827999999</v>
      </c>
      <c r="H1277">
        <v>1651.3677978999999</v>
      </c>
      <c r="I1277">
        <v>831.09735106999995</v>
      </c>
      <c r="J1277">
        <v>601.19183350000003</v>
      </c>
      <c r="K1277">
        <v>2400</v>
      </c>
      <c r="L1277">
        <v>0</v>
      </c>
      <c r="M1277">
        <v>0</v>
      </c>
      <c r="N1277">
        <v>2400</v>
      </c>
    </row>
    <row r="1278" spans="1:14" x14ac:dyDescent="0.25">
      <c r="A1278">
        <v>907.34690000000001</v>
      </c>
      <c r="B1278" s="1">
        <f>DATE(2012,10,24) + TIME(8,19,32)</f>
        <v>41206.346898148149</v>
      </c>
      <c r="C1278">
        <v>80</v>
      </c>
      <c r="D1278">
        <v>79.948471068999993</v>
      </c>
      <c r="E1278">
        <v>50</v>
      </c>
      <c r="F1278">
        <v>37.777931213000002</v>
      </c>
      <c r="G1278">
        <v>1777.3061522999999</v>
      </c>
      <c r="H1278">
        <v>1650.7315673999999</v>
      </c>
      <c r="I1278">
        <v>830.68865966999999</v>
      </c>
      <c r="J1278">
        <v>600.50189208999996</v>
      </c>
      <c r="K1278">
        <v>2400</v>
      </c>
      <c r="L1278">
        <v>0</v>
      </c>
      <c r="M1278">
        <v>0</v>
      </c>
      <c r="N1278">
        <v>2400</v>
      </c>
    </row>
    <row r="1279" spans="1:14" x14ac:dyDescent="0.25">
      <c r="A1279">
        <v>909.80103199999996</v>
      </c>
      <c r="B1279" s="1">
        <f>DATE(2012,10,26) + TIME(19,13,29)</f>
        <v>41208.801030092596</v>
      </c>
      <c r="C1279">
        <v>80</v>
      </c>
      <c r="D1279">
        <v>79.948570251000007</v>
      </c>
      <c r="E1279">
        <v>50</v>
      </c>
      <c r="F1279">
        <v>37.813236236999998</v>
      </c>
      <c r="G1279">
        <v>1776.6683350000001</v>
      </c>
      <c r="H1279">
        <v>1650.0938721</v>
      </c>
      <c r="I1279">
        <v>830.33160399999997</v>
      </c>
      <c r="J1279">
        <v>599.91961670000001</v>
      </c>
      <c r="K1279">
        <v>2400</v>
      </c>
      <c r="L1279">
        <v>0</v>
      </c>
      <c r="M1279">
        <v>0</v>
      </c>
      <c r="N1279">
        <v>2400</v>
      </c>
    </row>
    <row r="1280" spans="1:14" x14ac:dyDescent="0.25">
      <c r="A1280">
        <v>912.28233499999999</v>
      </c>
      <c r="B1280" s="1">
        <f>DATE(2012,10,29) + TIME(6,46,33)</f>
        <v>41211.282326388886</v>
      </c>
      <c r="C1280">
        <v>80</v>
      </c>
      <c r="D1280">
        <v>79.948677063000005</v>
      </c>
      <c r="E1280">
        <v>50</v>
      </c>
      <c r="F1280">
        <v>37.865859985</v>
      </c>
      <c r="G1280">
        <v>1776.0279541</v>
      </c>
      <c r="H1280">
        <v>1649.4534911999999</v>
      </c>
      <c r="I1280">
        <v>830.02368163999995</v>
      </c>
      <c r="J1280">
        <v>599.44140625</v>
      </c>
      <c r="K1280">
        <v>2400</v>
      </c>
      <c r="L1280">
        <v>0</v>
      </c>
      <c r="M1280">
        <v>0</v>
      </c>
      <c r="N1280">
        <v>2400</v>
      </c>
    </row>
    <row r="1281" spans="1:14" x14ac:dyDescent="0.25">
      <c r="A1281">
        <v>914.79948300000001</v>
      </c>
      <c r="B1281" s="1">
        <f>DATE(2012,10,31) + TIME(19,11,15)</f>
        <v>41213.799479166664</v>
      </c>
      <c r="C1281">
        <v>80</v>
      </c>
      <c r="D1281">
        <v>79.948783875000004</v>
      </c>
      <c r="E1281">
        <v>50</v>
      </c>
      <c r="F1281">
        <v>37.936023712000001</v>
      </c>
      <c r="G1281">
        <v>1775.3834228999999</v>
      </c>
      <c r="H1281">
        <v>1648.809082</v>
      </c>
      <c r="I1281">
        <v>829.76177978999999</v>
      </c>
      <c r="J1281">
        <v>599.06256103999999</v>
      </c>
      <c r="K1281">
        <v>2400</v>
      </c>
      <c r="L1281">
        <v>0</v>
      </c>
      <c r="M1281">
        <v>0</v>
      </c>
      <c r="N1281">
        <v>2400</v>
      </c>
    </row>
    <row r="1282" spans="1:14" x14ac:dyDescent="0.25">
      <c r="A1282">
        <v>915</v>
      </c>
      <c r="B1282" s="1">
        <f>DATE(2012,11,1) + TIME(0,0,0)</f>
        <v>41214</v>
      </c>
      <c r="C1282">
        <v>80</v>
      </c>
      <c r="D1282">
        <v>79.948776245000005</v>
      </c>
      <c r="E1282">
        <v>50</v>
      </c>
      <c r="F1282">
        <v>37.960418701000002</v>
      </c>
      <c r="G1282">
        <v>1775.3276367000001</v>
      </c>
      <c r="H1282">
        <v>1648.7532959</v>
      </c>
      <c r="I1282">
        <v>829.63769531000003</v>
      </c>
      <c r="J1282">
        <v>598.83612060999997</v>
      </c>
      <c r="K1282">
        <v>2400</v>
      </c>
      <c r="L1282">
        <v>0</v>
      </c>
      <c r="M1282">
        <v>0</v>
      </c>
      <c r="N1282">
        <v>2400</v>
      </c>
    </row>
    <row r="1283" spans="1:14" x14ac:dyDescent="0.25">
      <c r="A1283">
        <v>915.000001</v>
      </c>
      <c r="B1283" s="1">
        <f>DATE(2012,11,1) + TIME(0,0,0)</f>
        <v>41214</v>
      </c>
      <c r="C1283">
        <v>80</v>
      </c>
      <c r="D1283">
        <v>79.948745728000006</v>
      </c>
      <c r="E1283">
        <v>50</v>
      </c>
      <c r="F1283">
        <v>37.960445403999998</v>
      </c>
      <c r="G1283">
        <v>1648.7431641000001</v>
      </c>
      <c r="H1283">
        <v>1522.1695557</v>
      </c>
      <c r="I1283">
        <v>1060.666626</v>
      </c>
      <c r="J1283">
        <v>829.64721680000002</v>
      </c>
      <c r="K1283">
        <v>0</v>
      </c>
      <c r="L1283">
        <v>2400</v>
      </c>
      <c r="M1283">
        <v>2400</v>
      </c>
      <c r="N1283">
        <v>0</v>
      </c>
    </row>
    <row r="1284" spans="1:14" x14ac:dyDescent="0.25">
      <c r="A1284">
        <v>915.00000399999999</v>
      </c>
      <c r="B1284" s="1">
        <f>DATE(2012,11,1) + TIME(0,0,0)</f>
        <v>41214</v>
      </c>
      <c r="C1284">
        <v>80</v>
      </c>
      <c r="D1284">
        <v>79.948654175000001</v>
      </c>
      <c r="E1284">
        <v>50</v>
      </c>
      <c r="F1284">
        <v>37.960525513</v>
      </c>
      <c r="G1284">
        <v>1648.7131348</v>
      </c>
      <c r="H1284">
        <v>1522.1392822</v>
      </c>
      <c r="I1284">
        <v>1060.6958007999999</v>
      </c>
      <c r="J1284">
        <v>829.67590331999997</v>
      </c>
      <c r="K1284">
        <v>0</v>
      </c>
      <c r="L1284">
        <v>2400</v>
      </c>
      <c r="M1284">
        <v>2400</v>
      </c>
      <c r="N1284">
        <v>0</v>
      </c>
    </row>
    <row r="1285" spans="1:14" x14ac:dyDescent="0.25">
      <c r="A1285">
        <v>915.00001299999997</v>
      </c>
      <c r="B1285" s="1">
        <f>DATE(2012,11,1) + TIME(0,0,1)</f>
        <v>41214.000011574077</v>
      </c>
      <c r="C1285">
        <v>80</v>
      </c>
      <c r="D1285">
        <v>79.948379517000006</v>
      </c>
      <c r="E1285">
        <v>50</v>
      </c>
      <c r="F1285">
        <v>37.960769653</v>
      </c>
      <c r="G1285">
        <v>1648.6231689000001</v>
      </c>
      <c r="H1285">
        <v>1522.0488281</v>
      </c>
      <c r="I1285">
        <v>1060.7833252</v>
      </c>
      <c r="J1285">
        <v>829.76184081999997</v>
      </c>
      <c r="K1285">
        <v>0</v>
      </c>
      <c r="L1285">
        <v>2400</v>
      </c>
      <c r="M1285">
        <v>2400</v>
      </c>
      <c r="N1285">
        <v>0</v>
      </c>
    </row>
    <row r="1286" spans="1:14" x14ac:dyDescent="0.25">
      <c r="A1286">
        <v>915.00004000000001</v>
      </c>
      <c r="B1286" s="1">
        <f>DATE(2012,11,1) + TIME(0,0,3)</f>
        <v>41214.000034722223</v>
      </c>
      <c r="C1286">
        <v>80</v>
      </c>
      <c r="D1286">
        <v>79.947547912999994</v>
      </c>
      <c r="E1286">
        <v>50</v>
      </c>
      <c r="F1286">
        <v>37.961498259999999</v>
      </c>
      <c r="G1286">
        <v>1648.3535156</v>
      </c>
      <c r="H1286">
        <v>1521.7777100000001</v>
      </c>
      <c r="I1286">
        <v>1061.0455322</v>
      </c>
      <c r="J1286">
        <v>830.01971435999997</v>
      </c>
      <c r="K1286">
        <v>0</v>
      </c>
      <c r="L1286">
        <v>2400</v>
      </c>
      <c r="M1286">
        <v>2400</v>
      </c>
      <c r="N1286">
        <v>0</v>
      </c>
    </row>
    <row r="1287" spans="1:14" x14ac:dyDescent="0.25">
      <c r="A1287">
        <v>915.00012100000004</v>
      </c>
      <c r="B1287" s="1">
        <f>DATE(2012,11,1) + TIME(0,0,10)</f>
        <v>41214.000115740739</v>
      </c>
      <c r="C1287">
        <v>80</v>
      </c>
      <c r="D1287">
        <v>79.945083617999998</v>
      </c>
      <c r="E1287">
        <v>50</v>
      </c>
      <c r="F1287">
        <v>37.963684082</v>
      </c>
      <c r="G1287">
        <v>1647.5491943</v>
      </c>
      <c r="H1287">
        <v>1520.9693603999999</v>
      </c>
      <c r="I1287">
        <v>1061.8298339999999</v>
      </c>
      <c r="J1287">
        <v>830.79266356999995</v>
      </c>
      <c r="K1287">
        <v>0</v>
      </c>
      <c r="L1287">
        <v>2400</v>
      </c>
      <c r="M1287">
        <v>2400</v>
      </c>
      <c r="N1287">
        <v>0</v>
      </c>
    </row>
    <row r="1288" spans="1:14" x14ac:dyDescent="0.25">
      <c r="A1288">
        <v>915.00036399999999</v>
      </c>
      <c r="B1288" s="1">
        <f>DATE(2012,11,1) + TIME(0,0,31)</f>
        <v>41214.000358796293</v>
      </c>
      <c r="C1288">
        <v>80</v>
      </c>
      <c r="D1288">
        <v>79.937805175999998</v>
      </c>
      <c r="E1288">
        <v>50</v>
      </c>
      <c r="F1288">
        <v>37.970260619999998</v>
      </c>
      <c r="G1288">
        <v>1645.1781006000001</v>
      </c>
      <c r="H1288">
        <v>1518.5864257999999</v>
      </c>
      <c r="I1288">
        <v>1064.1604004000001</v>
      </c>
      <c r="J1288">
        <v>833.10546875</v>
      </c>
      <c r="K1288">
        <v>0</v>
      </c>
      <c r="L1288">
        <v>2400</v>
      </c>
      <c r="M1288">
        <v>2400</v>
      </c>
      <c r="N1288">
        <v>0</v>
      </c>
    </row>
    <row r="1289" spans="1:14" x14ac:dyDescent="0.25">
      <c r="A1289">
        <v>915.00109299999997</v>
      </c>
      <c r="B1289" s="1">
        <f>DATE(2012,11,1) + TIME(0,1,34)</f>
        <v>41214.001087962963</v>
      </c>
      <c r="C1289">
        <v>80</v>
      </c>
      <c r="D1289">
        <v>79.917045592999997</v>
      </c>
      <c r="E1289">
        <v>50</v>
      </c>
      <c r="F1289">
        <v>37.989948273000003</v>
      </c>
      <c r="G1289">
        <v>1638.4149170000001</v>
      </c>
      <c r="H1289">
        <v>1511.7902832</v>
      </c>
      <c r="I1289">
        <v>1070.9591064000001</v>
      </c>
      <c r="J1289">
        <v>839.94555663999995</v>
      </c>
      <c r="K1289">
        <v>0</v>
      </c>
      <c r="L1289">
        <v>2400</v>
      </c>
      <c r="M1289">
        <v>2400</v>
      </c>
      <c r="N1289">
        <v>0</v>
      </c>
    </row>
    <row r="1290" spans="1:14" x14ac:dyDescent="0.25">
      <c r="A1290">
        <v>915.00328000000002</v>
      </c>
      <c r="B1290" s="1">
        <f>DATE(2012,11,1) + TIME(0,4,43)</f>
        <v>41214.003275462965</v>
      </c>
      <c r="C1290">
        <v>80</v>
      </c>
      <c r="D1290">
        <v>79.862800598000007</v>
      </c>
      <c r="E1290">
        <v>50</v>
      </c>
      <c r="F1290">
        <v>38.047748566000003</v>
      </c>
      <c r="G1290">
        <v>1620.7457274999999</v>
      </c>
      <c r="H1290">
        <v>1494.0385742000001</v>
      </c>
      <c r="I1290">
        <v>1089.8001709</v>
      </c>
      <c r="J1290">
        <v>859.24053954999999</v>
      </c>
      <c r="K1290">
        <v>0</v>
      </c>
      <c r="L1290">
        <v>2400</v>
      </c>
      <c r="M1290">
        <v>2400</v>
      </c>
      <c r="N1290">
        <v>0</v>
      </c>
    </row>
    <row r="1291" spans="1:14" x14ac:dyDescent="0.25">
      <c r="A1291">
        <v>915.00984100000005</v>
      </c>
      <c r="B1291" s="1">
        <f>DATE(2012,11,1) + TIME(0,14,10)</f>
        <v>41214.009837962964</v>
      </c>
      <c r="C1291">
        <v>80</v>
      </c>
      <c r="D1291">
        <v>79.745895386000001</v>
      </c>
      <c r="E1291">
        <v>50</v>
      </c>
      <c r="F1291">
        <v>38.207893372000001</v>
      </c>
      <c r="G1291">
        <v>1582.7104492000001</v>
      </c>
      <c r="H1291">
        <v>1455.8310547000001</v>
      </c>
      <c r="I1291">
        <v>1135.7801514</v>
      </c>
      <c r="J1291">
        <v>906.75653076000003</v>
      </c>
      <c r="K1291">
        <v>0</v>
      </c>
      <c r="L1291">
        <v>2400</v>
      </c>
      <c r="M1291">
        <v>2400</v>
      </c>
      <c r="N1291">
        <v>0</v>
      </c>
    </row>
    <row r="1292" spans="1:14" x14ac:dyDescent="0.25">
      <c r="A1292">
        <v>915.02952400000004</v>
      </c>
      <c r="B1292" s="1">
        <f>DATE(2012,11,1) + TIME(0,42,30)</f>
        <v>41214.029513888891</v>
      </c>
      <c r="C1292">
        <v>80</v>
      </c>
      <c r="D1292">
        <v>79.561828613000003</v>
      </c>
      <c r="E1292">
        <v>50</v>
      </c>
      <c r="F1292">
        <v>38.609958648999999</v>
      </c>
      <c r="G1292">
        <v>1522.5017089999999</v>
      </c>
      <c r="H1292">
        <v>1395.3610839999999</v>
      </c>
      <c r="I1292">
        <v>1222.9597168</v>
      </c>
      <c r="J1292">
        <v>996.32666015999996</v>
      </c>
      <c r="K1292">
        <v>0</v>
      </c>
      <c r="L1292">
        <v>2400</v>
      </c>
      <c r="M1292">
        <v>2400</v>
      </c>
      <c r="N1292">
        <v>0</v>
      </c>
    </row>
    <row r="1293" spans="1:14" x14ac:dyDescent="0.25">
      <c r="A1293">
        <v>915.07295699999997</v>
      </c>
      <c r="B1293" s="1">
        <f>DATE(2012,11,1) + TIME(1,45,3)</f>
        <v>41214.072951388887</v>
      </c>
      <c r="C1293">
        <v>80</v>
      </c>
      <c r="D1293">
        <v>79.386810303000004</v>
      </c>
      <c r="E1293">
        <v>50</v>
      </c>
      <c r="F1293">
        <v>39.329833983999997</v>
      </c>
      <c r="G1293">
        <v>1462.7679443</v>
      </c>
      <c r="H1293">
        <v>1335.3812256000001</v>
      </c>
      <c r="I1293">
        <v>1321.5701904</v>
      </c>
      <c r="J1293">
        <v>1097.3353271000001</v>
      </c>
      <c r="K1293">
        <v>0</v>
      </c>
      <c r="L1293">
        <v>2400</v>
      </c>
      <c r="M1293">
        <v>2400</v>
      </c>
      <c r="N1293">
        <v>0</v>
      </c>
    </row>
    <row r="1294" spans="1:14" x14ac:dyDescent="0.25">
      <c r="A1294">
        <v>915.12325199999998</v>
      </c>
      <c r="B1294" s="1">
        <f>DATE(2012,11,1) + TIME(2,57,28)</f>
        <v>41214.123240740744</v>
      </c>
      <c r="C1294">
        <v>80</v>
      </c>
      <c r="D1294">
        <v>79.281883239999999</v>
      </c>
      <c r="E1294">
        <v>50</v>
      </c>
      <c r="F1294">
        <v>40.044982910000002</v>
      </c>
      <c r="G1294">
        <v>1424.9244385</v>
      </c>
      <c r="H1294">
        <v>1297.3924560999999</v>
      </c>
      <c r="I1294">
        <v>1386.4301757999999</v>
      </c>
      <c r="J1294">
        <v>1164.2529297000001</v>
      </c>
      <c r="K1294">
        <v>0</v>
      </c>
      <c r="L1294">
        <v>2400</v>
      </c>
      <c r="M1294">
        <v>2400</v>
      </c>
      <c r="N1294">
        <v>0</v>
      </c>
    </row>
    <row r="1295" spans="1:14" x14ac:dyDescent="0.25">
      <c r="A1295">
        <v>915.17979800000001</v>
      </c>
      <c r="B1295" s="1">
        <f>DATE(2012,11,1) + TIME(4,18,54)</f>
        <v>41214.179791666669</v>
      </c>
      <c r="C1295">
        <v>80</v>
      </c>
      <c r="D1295">
        <v>79.211105347</v>
      </c>
      <c r="E1295">
        <v>50</v>
      </c>
      <c r="F1295">
        <v>40.758892058999997</v>
      </c>
      <c r="G1295">
        <v>1397.7745361</v>
      </c>
      <c r="H1295">
        <v>1270.1512451000001</v>
      </c>
      <c r="I1295">
        <v>1432.6639404</v>
      </c>
      <c r="J1295">
        <v>1212.5933838000001</v>
      </c>
      <c r="K1295">
        <v>0</v>
      </c>
      <c r="L1295">
        <v>2400</v>
      </c>
      <c r="M1295">
        <v>2400</v>
      </c>
      <c r="N1295">
        <v>0</v>
      </c>
    </row>
    <row r="1296" spans="1:14" x14ac:dyDescent="0.25">
      <c r="A1296">
        <v>915.241806</v>
      </c>
      <c r="B1296" s="1">
        <f>DATE(2012,11,1) + TIME(5,48,12)</f>
        <v>41214.241805555554</v>
      </c>
      <c r="C1296">
        <v>80</v>
      </c>
      <c r="D1296">
        <v>79.159271239999995</v>
      </c>
      <c r="E1296">
        <v>50</v>
      </c>
      <c r="F1296">
        <v>41.463752747000001</v>
      </c>
      <c r="G1296">
        <v>1376.7089844</v>
      </c>
      <c r="H1296">
        <v>1249.0244141000001</v>
      </c>
      <c r="I1296">
        <v>1467.8922118999999</v>
      </c>
      <c r="J1296">
        <v>1249.9573975000001</v>
      </c>
      <c r="K1296">
        <v>0</v>
      </c>
      <c r="L1296">
        <v>2400</v>
      </c>
      <c r="M1296">
        <v>2400</v>
      </c>
      <c r="N1296">
        <v>0</v>
      </c>
    </row>
    <row r="1297" spans="1:14" x14ac:dyDescent="0.25">
      <c r="A1297">
        <v>915.30905299999995</v>
      </c>
      <c r="B1297" s="1">
        <f>DATE(2012,11,1) + TIME(7,25,2)</f>
        <v>41214.309050925927</v>
      </c>
      <c r="C1297">
        <v>80</v>
      </c>
      <c r="D1297">
        <v>79.118797302000004</v>
      </c>
      <c r="E1297">
        <v>50</v>
      </c>
      <c r="F1297">
        <v>42.155147552000003</v>
      </c>
      <c r="G1297">
        <v>1359.4332274999999</v>
      </c>
      <c r="H1297">
        <v>1231.7053223</v>
      </c>
      <c r="I1297">
        <v>1496.2640381000001</v>
      </c>
      <c r="J1297">
        <v>1280.4465332</v>
      </c>
      <c r="K1297">
        <v>0</v>
      </c>
      <c r="L1297">
        <v>2400</v>
      </c>
      <c r="M1297">
        <v>2400</v>
      </c>
      <c r="N1297">
        <v>0</v>
      </c>
    </row>
    <row r="1298" spans="1:14" x14ac:dyDescent="0.25">
      <c r="A1298">
        <v>915.38172499999996</v>
      </c>
      <c r="B1298" s="1">
        <f>DATE(2012,11,1) + TIME(9,9,41)</f>
        <v>41214.381724537037</v>
      </c>
      <c r="C1298">
        <v>80</v>
      </c>
      <c r="D1298">
        <v>79.085487365999995</v>
      </c>
      <c r="E1298">
        <v>50</v>
      </c>
      <c r="F1298">
        <v>42.830734253000003</v>
      </c>
      <c r="G1298">
        <v>1344.6782227000001</v>
      </c>
      <c r="H1298">
        <v>1216.9185791</v>
      </c>
      <c r="I1298">
        <v>1520.1220702999999</v>
      </c>
      <c r="J1298">
        <v>1306.3742675999999</v>
      </c>
      <c r="K1298">
        <v>0</v>
      </c>
      <c r="L1298">
        <v>2400</v>
      </c>
      <c r="M1298">
        <v>2400</v>
      </c>
      <c r="N1298">
        <v>0</v>
      </c>
    </row>
    <row r="1299" spans="1:14" x14ac:dyDescent="0.25">
      <c r="A1299">
        <v>915.46029999999996</v>
      </c>
      <c r="B1299" s="1">
        <f>DATE(2012,11,1) + TIME(11,2,49)</f>
        <v>41214.460289351853</v>
      </c>
      <c r="C1299">
        <v>80</v>
      </c>
      <c r="D1299">
        <v>79.056793213000006</v>
      </c>
      <c r="E1299">
        <v>50</v>
      </c>
      <c r="F1299">
        <v>43.489131927000003</v>
      </c>
      <c r="G1299">
        <v>1331.6768798999999</v>
      </c>
      <c r="H1299">
        <v>1203.8933105000001</v>
      </c>
      <c r="I1299">
        <v>1540.8762207</v>
      </c>
      <c r="J1299">
        <v>1329.1364745999999</v>
      </c>
      <c r="K1299">
        <v>0</v>
      </c>
      <c r="L1299">
        <v>2400</v>
      </c>
      <c r="M1299">
        <v>2400</v>
      </c>
      <c r="N1299">
        <v>0</v>
      </c>
    </row>
    <row r="1300" spans="1:14" x14ac:dyDescent="0.25">
      <c r="A1300">
        <v>915.54550900000004</v>
      </c>
      <c r="B1300" s="1">
        <f>DATE(2012,11,1) + TIME(13,5,31)</f>
        <v>41214.545497685183</v>
      </c>
      <c r="C1300">
        <v>80</v>
      </c>
      <c r="D1300">
        <v>79.031013489000003</v>
      </c>
      <c r="E1300">
        <v>50</v>
      </c>
      <c r="F1300">
        <v>44.129333496000001</v>
      </c>
      <c r="G1300">
        <v>1319.9299315999999</v>
      </c>
      <c r="H1300">
        <v>1192.1279297000001</v>
      </c>
      <c r="I1300">
        <v>1559.4365233999999</v>
      </c>
      <c r="J1300">
        <v>1349.6365966999999</v>
      </c>
      <c r="K1300">
        <v>0</v>
      </c>
      <c r="L1300">
        <v>2400</v>
      </c>
      <c r="M1300">
        <v>2400</v>
      </c>
      <c r="N1300">
        <v>0</v>
      </c>
    </row>
    <row r="1301" spans="1:14" x14ac:dyDescent="0.25">
      <c r="A1301">
        <v>915.63834699999995</v>
      </c>
      <c r="B1301" s="1">
        <f>DATE(2012,11,1) + TIME(15,19,13)</f>
        <v>41214.638344907406</v>
      </c>
      <c r="C1301">
        <v>80</v>
      </c>
      <c r="D1301">
        <v>79.006935119999994</v>
      </c>
      <c r="E1301">
        <v>50</v>
      </c>
      <c r="F1301">
        <v>44.750423431000002</v>
      </c>
      <c r="G1301">
        <v>1309.0897216999999</v>
      </c>
      <c r="H1301">
        <v>1181.2730713000001</v>
      </c>
      <c r="I1301">
        <v>1576.4296875</v>
      </c>
      <c r="J1301">
        <v>1368.4979248</v>
      </c>
      <c r="K1301">
        <v>0</v>
      </c>
      <c r="L1301">
        <v>2400</v>
      </c>
      <c r="M1301">
        <v>2400</v>
      </c>
      <c r="N1301">
        <v>0</v>
      </c>
    </row>
    <row r="1302" spans="1:14" x14ac:dyDescent="0.25">
      <c r="A1302">
        <v>915.74009799999999</v>
      </c>
      <c r="B1302" s="1">
        <f>DATE(2012,11,1) + TIME(17,45,44)</f>
        <v>41214.74009259259</v>
      </c>
      <c r="C1302">
        <v>80</v>
      </c>
      <c r="D1302">
        <v>78.983604431000003</v>
      </c>
      <c r="E1302">
        <v>50</v>
      </c>
      <c r="F1302">
        <v>45.351219176999997</v>
      </c>
      <c r="G1302">
        <v>1298.9011230000001</v>
      </c>
      <c r="H1302">
        <v>1171.0723877</v>
      </c>
      <c r="I1302">
        <v>1592.3116454999999</v>
      </c>
      <c r="J1302">
        <v>1386.1744385</v>
      </c>
      <c r="K1302">
        <v>0</v>
      </c>
      <c r="L1302">
        <v>2400</v>
      </c>
      <c r="M1302">
        <v>2400</v>
      </c>
      <c r="N1302">
        <v>0</v>
      </c>
    </row>
    <row r="1303" spans="1:14" x14ac:dyDescent="0.25">
      <c r="A1303">
        <v>915.85253999999998</v>
      </c>
      <c r="B1303" s="1">
        <f>DATE(2012,11,1) + TIME(20,27,39)</f>
        <v>41214.852534722224</v>
      </c>
      <c r="C1303">
        <v>80</v>
      </c>
      <c r="D1303">
        <v>78.960212708</v>
      </c>
      <c r="E1303">
        <v>50</v>
      </c>
      <c r="F1303">
        <v>45.930805206000002</v>
      </c>
      <c r="G1303">
        <v>1289.1547852000001</v>
      </c>
      <c r="H1303">
        <v>1161.3155518000001</v>
      </c>
      <c r="I1303">
        <v>1607.4498291</v>
      </c>
      <c r="J1303">
        <v>1403.0333252</v>
      </c>
      <c r="K1303">
        <v>0</v>
      </c>
      <c r="L1303">
        <v>2400</v>
      </c>
      <c r="M1303">
        <v>2400</v>
      </c>
      <c r="N1303">
        <v>0</v>
      </c>
    </row>
    <row r="1304" spans="1:14" x14ac:dyDescent="0.25">
      <c r="A1304">
        <v>915.97806000000003</v>
      </c>
      <c r="B1304" s="1">
        <f>DATE(2012,11,1) + TIME(23,28,24)</f>
        <v>41214.978055555555</v>
      </c>
      <c r="C1304">
        <v>80</v>
      </c>
      <c r="D1304">
        <v>78.935958862000007</v>
      </c>
      <c r="E1304">
        <v>50</v>
      </c>
      <c r="F1304">
        <v>46.487972259999999</v>
      </c>
      <c r="G1304">
        <v>1279.6710204999999</v>
      </c>
      <c r="H1304">
        <v>1151.8221435999999</v>
      </c>
      <c r="I1304">
        <v>1622.1524658000001</v>
      </c>
      <c r="J1304">
        <v>1419.3819579999999</v>
      </c>
      <c r="K1304">
        <v>0</v>
      </c>
      <c r="L1304">
        <v>2400</v>
      </c>
      <c r="M1304">
        <v>2400</v>
      </c>
      <c r="N1304">
        <v>0</v>
      </c>
    </row>
    <row r="1305" spans="1:14" x14ac:dyDescent="0.25">
      <c r="A1305">
        <v>916.11994300000003</v>
      </c>
      <c r="B1305" s="1">
        <f>DATE(2012,11,2) + TIME(2,52,43)</f>
        <v>41215.119942129626</v>
      </c>
      <c r="C1305">
        <v>80</v>
      </c>
      <c r="D1305">
        <v>78.910057068</v>
      </c>
      <c r="E1305">
        <v>50</v>
      </c>
      <c r="F1305">
        <v>47.021148682000003</v>
      </c>
      <c r="G1305">
        <v>1270.2816161999999</v>
      </c>
      <c r="H1305">
        <v>1142.4229736</v>
      </c>
      <c r="I1305">
        <v>1636.7020264</v>
      </c>
      <c r="J1305">
        <v>1435.5018310999999</v>
      </c>
      <c r="K1305">
        <v>0</v>
      </c>
      <c r="L1305">
        <v>2400</v>
      </c>
      <c r="M1305">
        <v>2400</v>
      </c>
      <c r="N1305">
        <v>0</v>
      </c>
    </row>
    <row r="1306" spans="1:14" x14ac:dyDescent="0.25">
      <c r="A1306">
        <v>916.28285900000003</v>
      </c>
      <c r="B1306" s="1">
        <f>DATE(2012,11,2) + TIME(6,47,19)</f>
        <v>41215.282858796294</v>
      </c>
      <c r="C1306">
        <v>80</v>
      </c>
      <c r="D1306">
        <v>78.881568908999995</v>
      </c>
      <c r="E1306">
        <v>50</v>
      </c>
      <c r="F1306">
        <v>47.528312683000003</v>
      </c>
      <c r="G1306">
        <v>1260.8125</v>
      </c>
      <c r="H1306">
        <v>1132.9436035000001</v>
      </c>
      <c r="I1306">
        <v>1651.3841553</v>
      </c>
      <c r="J1306">
        <v>1451.6763916</v>
      </c>
      <c r="K1306">
        <v>0</v>
      </c>
      <c r="L1306">
        <v>2400</v>
      </c>
      <c r="M1306">
        <v>2400</v>
      </c>
      <c r="N1306">
        <v>0</v>
      </c>
    </row>
    <row r="1307" spans="1:14" x14ac:dyDescent="0.25">
      <c r="A1307">
        <v>916.47371099999998</v>
      </c>
      <c r="B1307" s="1">
        <f>DATE(2012,11,2) + TIME(11,22,8)</f>
        <v>41215.473703703705</v>
      </c>
      <c r="C1307">
        <v>80</v>
      </c>
      <c r="D1307">
        <v>78.849357604999994</v>
      </c>
      <c r="E1307">
        <v>50</v>
      </c>
      <c r="F1307">
        <v>48.006752014</v>
      </c>
      <c r="G1307">
        <v>1251.065918</v>
      </c>
      <c r="H1307">
        <v>1123.1851807</v>
      </c>
      <c r="I1307">
        <v>1666.5162353999999</v>
      </c>
      <c r="J1307">
        <v>1468.2188721</v>
      </c>
      <c r="K1307">
        <v>0</v>
      </c>
      <c r="L1307">
        <v>2400</v>
      </c>
      <c r="M1307">
        <v>2400</v>
      </c>
      <c r="N1307">
        <v>0</v>
      </c>
    </row>
    <row r="1308" spans="1:14" x14ac:dyDescent="0.25">
      <c r="A1308">
        <v>916.693669</v>
      </c>
      <c r="B1308" s="1">
        <f>DATE(2012,11,2) + TIME(16,38,53)</f>
        <v>41215.693668981483</v>
      </c>
      <c r="C1308">
        <v>80</v>
      </c>
      <c r="D1308">
        <v>78.812980651999993</v>
      </c>
      <c r="E1308">
        <v>50</v>
      </c>
      <c r="F1308">
        <v>48.438205719000003</v>
      </c>
      <c r="G1308">
        <v>1241.1739502</v>
      </c>
      <c r="H1308">
        <v>1113.2795410000001</v>
      </c>
      <c r="I1308">
        <v>1681.8800048999999</v>
      </c>
      <c r="J1308">
        <v>1484.8613281</v>
      </c>
      <c r="K1308">
        <v>0</v>
      </c>
      <c r="L1308">
        <v>2400</v>
      </c>
      <c r="M1308">
        <v>2400</v>
      </c>
      <c r="N1308">
        <v>0</v>
      </c>
    </row>
    <row r="1309" spans="1:14" x14ac:dyDescent="0.25">
      <c r="A1309">
        <v>916.921244</v>
      </c>
      <c r="B1309" s="1">
        <f>DATE(2012,11,2) + TIME(22,6,35)</f>
        <v>41215.921238425923</v>
      </c>
      <c r="C1309">
        <v>80</v>
      </c>
      <c r="D1309">
        <v>78.774703978999995</v>
      </c>
      <c r="E1309">
        <v>50</v>
      </c>
      <c r="F1309">
        <v>48.784927367999998</v>
      </c>
      <c r="G1309">
        <v>1232.0447998</v>
      </c>
      <c r="H1309">
        <v>1104.1352539</v>
      </c>
      <c r="I1309">
        <v>1696.0093993999999</v>
      </c>
      <c r="J1309">
        <v>1500.0275879000001</v>
      </c>
      <c r="K1309">
        <v>0</v>
      </c>
      <c r="L1309">
        <v>2400</v>
      </c>
      <c r="M1309">
        <v>2400</v>
      </c>
      <c r="N1309">
        <v>0</v>
      </c>
    </row>
    <row r="1310" spans="1:14" x14ac:dyDescent="0.25">
      <c r="A1310">
        <v>917.15450699999997</v>
      </c>
      <c r="B1310" s="1">
        <f>DATE(2012,11,3) + TIME(3,42,29)</f>
        <v>41216.154502314814</v>
      </c>
      <c r="C1310">
        <v>80</v>
      </c>
      <c r="D1310">
        <v>78.734947204999997</v>
      </c>
      <c r="E1310">
        <v>50</v>
      </c>
      <c r="F1310">
        <v>49.059581756999997</v>
      </c>
      <c r="G1310">
        <v>1223.6110839999999</v>
      </c>
      <c r="H1310">
        <v>1095.6849365</v>
      </c>
      <c r="I1310">
        <v>1709.0252685999999</v>
      </c>
      <c r="J1310">
        <v>1513.8762207</v>
      </c>
      <c r="K1310">
        <v>0</v>
      </c>
      <c r="L1310">
        <v>2400</v>
      </c>
      <c r="M1310">
        <v>2400</v>
      </c>
      <c r="N1310">
        <v>0</v>
      </c>
    </row>
    <row r="1311" spans="1:14" x14ac:dyDescent="0.25">
      <c r="A1311">
        <v>917.39682700000003</v>
      </c>
      <c r="B1311" s="1">
        <f>DATE(2012,11,3) + TIME(9,31,25)</f>
        <v>41216.396817129629</v>
      </c>
      <c r="C1311">
        <v>80</v>
      </c>
      <c r="D1311">
        <v>78.693534850999995</v>
      </c>
      <c r="E1311">
        <v>50</v>
      </c>
      <c r="F1311">
        <v>49.278247833000002</v>
      </c>
      <c r="G1311">
        <v>1215.6575928</v>
      </c>
      <c r="H1311">
        <v>1087.7136230000001</v>
      </c>
      <c r="I1311">
        <v>1721.2695312000001</v>
      </c>
      <c r="J1311">
        <v>1526.7949219</v>
      </c>
      <c r="K1311">
        <v>0</v>
      </c>
      <c r="L1311">
        <v>2400</v>
      </c>
      <c r="M1311">
        <v>2400</v>
      </c>
      <c r="N1311">
        <v>0</v>
      </c>
    </row>
    <row r="1312" spans="1:14" x14ac:dyDescent="0.25">
      <c r="A1312">
        <v>917.65011800000002</v>
      </c>
      <c r="B1312" s="1">
        <f>DATE(2012,11,3) + TIME(15,36,10)</f>
        <v>41216.65011574074</v>
      </c>
      <c r="C1312">
        <v>80</v>
      </c>
      <c r="D1312">
        <v>78.650382996000005</v>
      </c>
      <c r="E1312">
        <v>50</v>
      </c>
      <c r="F1312">
        <v>49.451629638999997</v>
      </c>
      <c r="G1312">
        <v>1208.0701904</v>
      </c>
      <c r="H1312">
        <v>1080.1071777</v>
      </c>
      <c r="I1312">
        <v>1732.9118652</v>
      </c>
      <c r="J1312">
        <v>1538.9831543</v>
      </c>
      <c r="K1312">
        <v>0</v>
      </c>
      <c r="L1312">
        <v>2400</v>
      </c>
      <c r="M1312">
        <v>2400</v>
      </c>
      <c r="N1312">
        <v>0</v>
      </c>
    </row>
    <row r="1313" spans="1:14" x14ac:dyDescent="0.25">
      <c r="A1313">
        <v>917.91736900000001</v>
      </c>
      <c r="B1313" s="1">
        <f>DATE(2012,11,3) + TIME(22,1,0)</f>
        <v>41216.917361111111</v>
      </c>
      <c r="C1313">
        <v>80</v>
      </c>
      <c r="D1313">
        <v>78.605262756000002</v>
      </c>
      <c r="E1313">
        <v>50</v>
      </c>
      <c r="F1313">
        <v>49.588573455999999</v>
      </c>
      <c r="G1313">
        <v>1200.7379149999999</v>
      </c>
      <c r="H1313">
        <v>1072.7546387</v>
      </c>
      <c r="I1313">
        <v>1744.1157227000001</v>
      </c>
      <c r="J1313">
        <v>1550.6293945</v>
      </c>
      <c r="K1313">
        <v>0</v>
      </c>
      <c r="L1313">
        <v>2400</v>
      </c>
      <c r="M1313">
        <v>2400</v>
      </c>
      <c r="N1313">
        <v>0</v>
      </c>
    </row>
    <row r="1314" spans="1:14" x14ac:dyDescent="0.25">
      <c r="A1314">
        <v>918.201954</v>
      </c>
      <c r="B1314" s="1">
        <f>DATE(2012,11,4) + TIME(4,50,48)</f>
        <v>41217.201944444445</v>
      </c>
      <c r="C1314">
        <v>80</v>
      </c>
      <c r="D1314">
        <v>78.557884216000005</v>
      </c>
      <c r="E1314">
        <v>50</v>
      </c>
      <c r="F1314">
        <v>49.695953369000001</v>
      </c>
      <c r="G1314">
        <v>1193.5717772999999</v>
      </c>
      <c r="H1314">
        <v>1065.5671387</v>
      </c>
      <c r="I1314">
        <v>1755.0081786999999</v>
      </c>
      <c r="J1314">
        <v>1561.8796387</v>
      </c>
      <c r="K1314">
        <v>0</v>
      </c>
      <c r="L1314">
        <v>2400</v>
      </c>
      <c r="M1314">
        <v>2400</v>
      </c>
      <c r="N1314">
        <v>0</v>
      </c>
    </row>
    <row r="1315" spans="1:14" x14ac:dyDescent="0.25">
      <c r="A1315">
        <v>918.50787600000001</v>
      </c>
      <c r="B1315" s="1">
        <f>DATE(2012,11,4) + TIME(12,11,20)</f>
        <v>41217.507870370369</v>
      </c>
      <c r="C1315">
        <v>80</v>
      </c>
      <c r="D1315">
        <v>78.507850646999998</v>
      </c>
      <c r="E1315">
        <v>50</v>
      </c>
      <c r="F1315">
        <v>49.779243469000001</v>
      </c>
      <c r="G1315">
        <v>1186.4957274999999</v>
      </c>
      <c r="H1315">
        <v>1058.4686279</v>
      </c>
      <c r="I1315">
        <v>1765.6948242000001</v>
      </c>
      <c r="J1315">
        <v>1572.8546143000001</v>
      </c>
      <c r="K1315">
        <v>0</v>
      </c>
      <c r="L1315">
        <v>2400</v>
      </c>
      <c r="M1315">
        <v>2400</v>
      </c>
      <c r="N1315">
        <v>0</v>
      </c>
    </row>
    <row r="1316" spans="1:14" x14ac:dyDescent="0.25">
      <c r="A1316">
        <v>918.84023300000001</v>
      </c>
      <c r="B1316" s="1">
        <f>DATE(2012,11,4) + TIME(20,9,56)</f>
        <v>41217.840231481481</v>
      </c>
      <c r="C1316">
        <v>80</v>
      </c>
      <c r="D1316">
        <v>78.454643250000004</v>
      </c>
      <c r="E1316">
        <v>50</v>
      </c>
      <c r="F1316">
        <v>49.842910766999999</v>
      </c>
      <c r="G1316">
        <v>1179.4367675999999</v>
      </c>
      <c r="H1316">
        <v>1051.3859863</v>
      </c>
      <c r="I1316">
        <v>1776.2744141000001</v>
      </c>
      <c r="J1316">
        <v>1583.6652832</v>
      </c>
      <c r="K1316">
        <v>0</v>
      </c>
      <c r="L1316">
        <v>2400</v>
      </c>
      <c r="M1316">
        <v>2400</v>
      </c>
      <c r="N1316">
        <v>0</v>
      </c>
    </row>
    <row r="1317" spans="1:14" x14ac:dyDescent="0.25">
      <c r="A1317">
        <v>919.20554800000002</v>
      </c>
      <c r="B1317" s="1">
        <f>DATE(2012,11,5) + TIME(4,55,59)</f>
        <v>41218.205543981479</v>
      </c>
      <c r="C1317">
        <v>80</v>
      </c>
      <c r="D1317">
        <v>78.397598267000006</v>
      </c>
      <c r="E1317">
        <v>50</v>
      </c>
      <c r="F1317">
        <v>49.890625</v>
      </c>
      <c r="G1317">
        <v>1172.322876</v>
      </c>
      <c r="H1317">
        <v>1044.2468262</v>
      </c>
      <c r="I1317">
        <v>1786.8404541</v>
      </c>
      <c r="J1317">
        <v>1594.4156493999999</v>
      </c>
      <c r="K1317">
        <v>0</v>
      </c>
      <c r="L1317">
        <v>2400</v>
      </c>
      <c r="M1317">
        <v>2400</v>
      </c>
      <c r="N1317">
        <v>0</v>
      </c>
    </row>
    <row r="1318" spans="1:14" x14ac:dyDescent="0.25">
      <c r="A1318">
        <v>919.61248599999999</v>
      </c>
      <c r="B1318" s="1">
        <f>DATE(2012,11,5) + TIME(14,41,58)</f>
        <v>41218.612476851849</v>
      </c>
      <c r="C1318">
        <v>80</v>
      </c>
      <c r="D1318">
        <v>78.335823059000006</v>
      </c>
      <c r="E1318">
        <v>50</v>
      </c>
      <c r="F1318">
        <v>49.925434113000001</v>
      </c>
      <c r="G1318">
        <v>1165.0767822</v>
      </c>
      <c r="H1318">
        <v>1036.9738769999999</v>
      </c>
      <c r="I1318">
        <v>1797.4897461</v>
      </c>
      <c r="J1318">
        <v>1605.2105713000001</v>
      </c>
      <c r="K1318">
        <v>0</v>
      </c>
      <c r="L1318">
        <v>2400</v>
      </c>
      <c r="M1318">
        <v>2400</v>
      </c>
      <c r="N1318">
        <v>0</v>
      </c>
    </row>
    <row r="1319" spans="1:14" x14ac:dyDescent="0.25">
      <c r="A1319">
        <v>920.06802900000002</v>
      </c>
      <c r="B1319" s="1">
        <f>DATE(2012,11,6) + TIME(1,37,57)</f>
        <v>41219.068020833336</v>
      </c>
      <c r="C1319">
        <v>80</v>
      </c>
      <c r="D1319">
        <v>78.268554687999995</v>
      </c>
      <c r="E1319">
        <v>50</v>
      </c>
      <c r="F1319">
        <v>49.949741363999998</v>
      </c>
      <c r="G1319">
        <v>1157.6824951000001</v>
      </c>
      <c r="H1319">
        <v>1029.5507812000001</v>
      </c>
      <c r="I1319">
        <v>1808.2177733999999</v>
      </c>
      <c r="J1319">
        <v>1616.0528564000001</v>
      </c>
      <c r="K1319">
        <v>0</v>
      </c>
      <c r="L1319">
        <v>2400</v>
      </c>
      <c r="M1319">
        <v>2400</v>
      </c>
      <c r="N1319">
        <v>0</v>
      </c>
    </row>
    <row r="1320" spans="1:14" x14ac:dyDescent="0.25">
      <c r="A1320">
        <v>920.526162</v>
      </c>
      <c r="B1320" s="1">
        <f>DATE(2012,11,6) + TIME(12,37,40)</f>
        <v>41219.52615740741</v>
      </c>
      <c r="C1320">
        <v>80</v>
      </c>
      <c r="D1320">
        <v>78.199630737000007</v>
      </c>
      <c r="E1320">
        <v>50</v>
      </c>
      <c r="F1320">
        <v>49.964694977000001</v>
      </c>
      <c r="G1320">
        <v>1150.8603516000001</v>
      </c>
      <c r="H1320">
        <v>1022.7000121999999</v>
      </c>
      <c r="I1320">
        <v>1817.9160156</v>
      </c>
      <c r="J1320">
        <v>1625.8356934000001</v>
      </c>
      <c r="K1320">
        <v>0</v>
      </c>
      <c r="L1320">
        <v>2400</v>
      </c>
      <c r="M1320">
        <v>2400</v>
      </c>
      <c r="N1320">
        <v>0</v>
      </c>
    </row>
    <row r="1321" spans="1:14" x14ac:dyDescent="0.25">
      <c r="A1321">
        <v>920.99316899999997</v>
      </c>
      <c r="B1321" s="1">
        <f>DATE(2012,11,6) + TIME(23,50,9)</f>
        <v>41219.993159722224</v>
      </c>
      <c r="C1321">
        <v>80</v>
      </c>
      <c r="D1321">
        <v>78.129348754999995</v>
      </c>
      <c r="E1321">
        <v>50</v>
      </c>
      <c r="F1321">
        <v>49.973789214999996</v>
      </c>
      <c r="G1321">
        <v>1144.4600829999999</v>
      </c>
      <c r="H1321">
        <v>1016.270813</v>
      </c>
      <c r="I1321">
        <v>1826.8804932</v>
      </c>
      <c r="J1321">
        <v>1634.862793</v>
      </c>
      <c r="K1321">
        <v>0</v>
      </c>
      <c r="L1321">
        <v>2400</v>
      </c>
      <c r="M1321">
        <v>2400</v>
      </c>
      <c r="N1321">
        <v>0</v>
      </c>
    </row>
    <row r="1322" spans="1:14" x14ac:dyDescent="0.25">
      <c r="A1322">
        <v>921.47560299999998</v>
      </c>
      <c r="B1322" s="1">
        <f>DATE(2012,11,7) + TIME(11,24,52)</f>
        <v>41220.475601851853</v>
      </c>
      <c r="C1322">
        <v>80</v>
      </c>
      <c r="D1322">
        <v>78.057487488000007</v>
      </c>
      <c r="E1322">
        <v>50</v>
      </c>
      <c r="F1322">
        <v>49.979122162000003</v>
      </c>
      <c r="G1322">
        <v>1138.3619385</v>
      </c>
      <c r="H1322">
        <v>1010.1431885</v>
      </c>
      <c r="I1322">
        <v>1835.3043213000001</v>
      </c>
      <c r="J1322">
        <v>1643.3341064000001</v>
      </c>
      <c r="K1322">
        <v>0</v>
      </c>
      <c r="L1322">
        <v>2400</v>
      </c>
      <c r="M1322">
        <v>2400</v>
      </c>
      <c r="N1322">
        <v>0</v>
      </c>
    </row>
    <row r="1323" spans="1:14" x14ac:dyDescent="0.25">
      <c r="A1323">
        <v>921.97979599999996</v>
      </c>
      <c r="B1323" s="1">
        <f>DATE(2012,11,7) + TIME(23,30,54)</f>
        <v>41220.979791666665</v>
      </c>
      <c r="C1323">
        <v>80</v>
      </c>
      <c r="D1323">
        <v>77.983604431000003</v>
      </c>
      <c r="E1323">
        <v>50</v>
      </c>
      <c r="F1323">
        <v>49.982017517000003</v>
      </c>
      <c r="G1323">
        <v>1132.4770507999999</v>
      </c>
      <c r="H1323">
        <v>1004.2283325</v>
      </c>
      <c r="I1323">
        <v>1843.3197021000001</v>
      </c>
      <c r="J1323">
        <v>1651.3865966999999</v>
      </c>
      <c r="K1323">
        <v>0</v>
      </c>
      <c r="L1323">
        <v>2400</v>
      </c>
      <c r="M1323">
        <v>2400</v>
      </c>
      <c r="N1323">
        <v>0</v>
      </c>
    </row>
    <row r="1324" spans="1:14" x14ac:dyDescent="0.25">
      <c r="A1324">
        <v>922.51255100000003</v>
      </c>
      <c r="B1324" s="1">
        <f>DATE(2012,11,8) + TIME(12,18,4)</f>
        <v>41221.512546296297</v>
      </c>
      <c r="C1324">
        <v>80</v>
      </c>
      <c r="D1324">
        <v>77.907096863000007</v>
      </c>
      <c r="E1324">
        <v>50</v>
      </c>
      <c r="F1324">
        <v>49.983314514</v>
      </c>
      <c r="G1324">
        <v>1126.7342529</v>
      </c>
      <c r="H1324">
        <v>998.45489501999998</v>
      </c>
      <c r="I1324">
        <v>1851.0277100000001</v>
      </c>
      <c r="J1324">
        <v>1659.1245117000001</v>
      </c>
      <c r="K1324">
        <v>0</v>
      </c>
      <c r="L1324">
        <v>2400</v>
      </c>
      <c r="M1324">
        <v>2400</v>
      </c>
      <c r="N1324">
        <v>0</v>
      </c>
    </row>
    <row r="1325" spans="1:14" x14ac:dyDescent="0.25">
      <c r="A1325">
        <v>923.08178899999996</v>
      </c>
      <c r="B1325" s="1">
        <f>DATE(2012,11,9) + TIME(1,57,46)</f>
        <v>41222.081782407404</v>
      </c>
      <c r="C1325">
        <v>80</v>
      </c>
      <c r="D1325">
        <v>77.827171325999998</v>
      </c>
      <c r="E1325">
        <v>50</v>
      </c>
      <c r="F1325">
        <v>49.983585357999999</v>
      </c>
      <c r="G1325">
        <v>1121.0716553</v>
      </c>
      <c r="H1325">
        <v>992.76074218999997</v>
      </c>
      <c r="I1325">
        <v>1858.5119629000001</v>
      </c>
      <c r="J1325">
        <v>1666.6335449000001</v>
      </c>
      <c r="K1325">
        <v>0</v>
      </c>
      <c r="L1325">
        <v>2400</v>
      </c>
      <c r="M1325">
        <v>2400</v>
      </c>
      <c r="N1325">
        <v>0</v>
      </c>
    </row>
    <row r="1326" spans="1:14" x14ac:dyDescent="0.25">
      <c r="A1326">
        <v>923.69742599999995</v>
      </c>
      <c r="B1326" s="1">
        <f>DATE(2012,11,9) + TIME(16,44,17)</f>
        <v>41222.697418981479</v>
      </c>
      <c r="C1326">
        <v>80</v>
      </c>
      <c r="D1326">
        <v>77.742835998999993</v>
      </c>
      <c r="E1326">
        <v>50</v>
      </c>
      <c r="F1326">
        <v>49.983192443999997</v>
      </c>
      <c r="G1326">
        <v>1115.4300536999999</v>
      </c>
      <c r="H1326">
        <v>987.08618163999995</v>
      </c>
      <c r="I1326">
        <v>1865.8487548999999</v>
      </c>
      <c r="J1326">
        <v>1673.9914550999999</v>
      </c>
      <c r="K1326">
        <v>0</v>
      </c>
      <c r="L1326">
        <v>2400</v>
      </c>
      <c r="M1326">
        <v>2400</v>
      </c>
      <c r="N1326">
        <v>0</v>
      </c>
    </row>
    <row r="1327" spans="1:14" x14ac:dyDescent="0.25">
      <c r="A1327">
        <v>924.36943599999995</v>
      </c>
      <c r="B1327" s="1">
        <f>DATE(2012,11,10) + TIME(8,51,59)</f>
        <v>41223.369432870371</v>
      </c>
      <c r="C1327">
        <v>80</v>
      </c>
      <c r="D1327">
        <v>77.653045653999996</v>
      </c>
      <c r="E1327">
        <v>50</v>
      </c>
      <c r="F1327">
        <v>49.982391356999997</v>
      </c>
      <c r="G1327">
        <v>1109.7709961</v>
      </c>
      <c r="H1327">
        <v>981.39233397999999</v>
      </c>
      <c r="I1327">
        <v>1873.0805664</v>
      </c>
      <c r="J1327">
        <v>1681.2418213000001</v>
      </c>
      <c r="K1327">
        <v>0</v>
      </c>
      <c r="L1327">
        <v>2400</v>
      </c>
      <c r="M1327">
        <v>2400</v>
      </c>
      <c r="N1327">
        <v>0</v>
      </c>
    </row>
    <row r="1328" spans="1:14" x14ac:dyDescent="0.25">
      <c r="A1328">
        <v>925.10087299999998</v>
      </c>
      <c r="B1328" s="1">
        <f>DATE(2012,11,11) + TIME(2,25,15)</f>
        <v>41224.100868055553</v>
      </c>
      <c r="C1328">
        <v>80</v>
      </c>
      <c r="D1328">
        <v>77.557144164999997</v>
      </c>
      <c r="E1328">
        <v>50</v>
      </c>
      <c r="F1328">
        <v>49.981357574</v>
      </c>
      <c r="G1328">
        <v>1104.1226807</v>
      </c>
      <c r="H1328">
        <v>975.70733643000005</v>
      </c>
      <c r="I1328">
        <v>1880.1582031</v>
      </c>
      <c r="J1328">
        <v>1688.3360596</v>
      </c>
      <c r="K1328">
        <v>0</v>
      </c>
      <c r="L1328">
        <v>2400</v>
      </c>
      <c r="M1328">
        <v>2400</v>
      </c>
      <c r="N1328">
        <v>0</v>
      </c>
    </row>
    <row r="1329" spans="1:14" x14ac:dyDescent="0.25">
      <c r="A1329">
        <v>925.85508300000004</v>
      </c>
      <c r="B1329" s="1">
        <f>DATE(2012,11,11) + TIME(20,31,19)</f>
        <v>41224.855081018519</v>
      </c>
      <c r="C1329">
        <v>80</v>
      </c>
      <c r="D1329">
        <v>77.457199097</v>
      </c>
      <c r="E1329">
        <v>50</v>
      </c>
      <c r="F1329">
        <v>49.980247497999997</v>
      </c>
      <c r="G1329">
        <v>1098.7667236</v>
      </c>
      <c r="H1329">
        <v>970.31372069999998</v>
      </c>
      <c r="I1329">
        <v>1886.7059326000001</v>
      </c>
      <c r="J1329">
        <v>1694.8989257999999</v>
      </c>
      <c r="K1329">
        <v>0</v>
      </c>
      <c r="L1329">
        <v>2400</v>
      </c>
      <c r="M1329">
        <v>2400</v>
      </c>
      <c r="N1329">
        <v>0</v>
      </c>
    </row>
    <row r="1330" spans="1:14" x14ac:dyDescent="0.25">
      <c r="A1330">
        <v>926.620091</v>
      </c>
      <c r="B1330" s="1">
        <f>DATE(2012,11,12) + TIME(14,52,55)</f>
        <v>41225.620081018518</v>
      </c>
      <c r="C1330">
        <v>80</v>
      </c>
      <c r="D1330">
        <v>77.355087280000006</v>
      </c>
      <c r="E1330">
        <v>50</v>
      </c>
      <c r="F1330">
        <v>49.979179381999998</v>
      </c>
      <c r="G1330">
        <v>1093.7563477000001</v>
      </c>
      <c r="H1330">
        <v>965.26501465000001</v>
      </c>
      <c r="I1330">
        <v>1892.6937256000001</v>
      </c>
      <c r="J1330">
        <v>1700.8997803</v>
      </c>
      <c r="K1330">
        <v>0</v>
      </c>
      <c r="L1330">
        <v>2400</v>
      </c>
      <c r="M1330">
        <v>2400</v>
      </c>
      <c r="N1330">
        <v>0</v>
      </c>
    </row>
    <row r="1331" spans="1:14" x14ac:dyDescent="0.25">
      <c r="A1331">
        <v>927.40591400000005</v>
      </c>
      <c r="B1331" s="1">
        <f>DATE(2012,11,13) + TIME(9,44,30)</f>
        <v>41226.405902777777</v>
      </c>
      <c r="C1331">
        <v>80</v>
      </c>
      <c r="D1331">
        <v>77.251152039000004</v>
      </c>
      <c r="E1331">
        <v>50</v>
      </c>
      <c r="F1331">
        <v>49.978183745999999</v>
      </c>
      <c r="G1331">
        <v>1089.0031738</v>
      </c>
      <c r="H1331">
        <v>960.47271728999999</v>
      </c>
      <c r="I1331">
        <v>1898.2623291</v>
      </c>
      <c r="J1331">
        <v>1706.4794922000001</v>
      </c>
      <c r="K1331">
        <v>0</v>
      </c>
      <c r="L1331">
        <v>2400</v>
      </c>
      <c r="M1331">
        <v>2400</v>
      </c>
      <c r="N1331">
        <v>0</v>
      </c>
    </row>
    <row r="1332" spans="1:14" x14ac:dyDescent="0.25">
      <c r="A1332">
        <v>928.22254999999996</v>
      </c>
      <c r="B1332" s="1">
        <f>DATE(2012,11,14) + TIME(5,20,28)</f>
        <v>41227.222546296296</v>
      </c>
      <c r="C1332">
        <v>80</v>
      </c>
      <c r="D1332">
        <v>77.144950867000006</v>
      </c>
      <c r="E1332">
        <v>50</v>
      </c>
      <c r="F1332">
        <v>49.977264404000003</v>
      </c>
      <c r="G1332">
        <v>1084.4379882999999</v>
      </c>
      <c r="H1332">
        <v>955.86767578000001</v>
      </c>
      <c r="I1332">
        <v>1903.5061035000001</v>
      </c>
      <c r="J1332">
        <v>1711.7330322</v>
      </c>
      <c r="K1332">
        <v>0</v>
      </c>
      <c r="L1332">
        <v>2400</v>
      </c>
      <c r="M1332">
        <v>2400</v>
      </c>
      <c r="N1332">
        <v>0</v>
      </c>
    </row>
    <row r="1333" spans="1:14" x14ac:dyDescent="0.25">
      <c r="A1333">
        <v>929.08070299999997</v>
      </c>
      <c r="B1333" s="1">
        <f>DATE(2012,11,15) + TIME(1,56,12)</f>
        <v>41228.080694444441</v>
      </c>
      <c r="C1333">
        <v>80</v>
      </c>
      <c r="D1333">
        <v>77.035636901999993</v>
      </c>
      <c r="E1333">
        <v>50</v>
      </c>
      <c r="F1333">
        <v>49.976409912000001</v>
      </c>
      <c r="G1333">
        <v>1080.0051269999999</v>
      </c>
      <c r="H1333">
        <v>951.39379883000004</v>
      </c>
      <c r="I1333">
        <v>1908.4949951000001</v>
      </c>
      <c r="J1333">
        <v>1716.7305908000001</v>
      </c>
      <c r="K1333">
        <v>0</v>
      </c>
      <c r="L1333">
        <v>2400</v>
      </c>
      <c r="M1333">
        <v>2400</v>
      </c>
      <c r="N1333">
        <v>0</v>
      </c>
    </row>
    <row r="1334" spans="1:14" x14ac:dyDescent="0.25">
      <c r="A1334">
        <v>929.99249299999997</v>
      </c>
      <c r="B1334" s="1">
        <f>DATE(2012,11,15) + TIME(23,49,11)</f>
        <v>41228.992488425924</v>
      </c>
      <c r="C1334">
        <v>80</v>
      </c>
      <c r="D1334">
        <v>76.922080993999998</v>
      </c>
      <c r="E1334">
        <v>50</v>
      </c>
      <c r="F1334">
        <v>49.975616455000001</v>
      </c>
      <c r="G1334">
        <v>1075.6574707</v>
      </c>
      <c r="H1334">
        <v>947.00372314000003</v>
      </c>
      <c r="I1334">
        <v>1913.2834473</v>
      </c>
      <c r="J1334">
        <v>1721.5267334</v>
      </c>
      <c r="K1334">
        <v>0</v>
      </c>
      <c r="L1334">
        <v>2400</v>
      </c>
      <c r="M1334">
        <v>2400</v>
      </c>
      <c r="N1334">
        <v>0</v>
      </c>
    </row>
    <row r="1335" spans="1:14" x14ac:dyDescent="0.25">
      <c r="A1335">
        <v>930.97317999999996</v>
      </c>
      <c r="B1335" s="1">
        <f>DATE(2012,11,16) + TIME(23,21,22)</f>
        <v>41229.973171296297</v>
      </c>
      <c r="C1335">
        <v>80</v>
      </c>
      <c r="D1335">
        <v>76.802886963000006</v>
      </c>
      <c r="E1335">
        <v>50</v>
      </c>
      <c r="F1335">
        <v>49.974876404</v>
      </c>
      <c r="G1335">
        <v>1071.3502197</v>
      </c>
      <c r="H1335">
        <v>942.65167236000002</v>
      </c>
      <c r="I1335">
        <v>1917.9194336</v>
      </c>
      <c r="J1335">
        <v>1726.1696777</v>
      </c>
      <c r="K1335">
        <v>0</v>
      </c>
      <c r="L1335">
        <v>2400</v>
      </c>
      <c r="M1335">
        <v>2400</v>
      </c>
      <c r="N1335">
        <v>0</v>
      </c>
    </row>
    <row r="1336" spans="1:14" x14ac:dyDescent="0.25">
      <c r="A1336">
        <v>932.04210499999999</v>
      </c>
      <c r="B1336" s="1">
        <f>DATE(2012,11,18) + TIME(1,0,37)</f>
        <v>41231.042094907411</v>
      </c>
      <c r="C1336">
        <v>80</v>
      </c>
      <c r="D1336">
        <v>76.676322936999995</v>
      </c>
      <c r="E1336">
        <v>50</v>
      </c>
      <c r="F1336">
        <v>49.974178314</v>
      </c>
      <c r="G1336">
        <v>1067.0393065999999</v>
      </c>
      <c r="H1336">
        <v>938.29321288999995</v>
      </c>
      <c r="I1336">
        <v>1922.4442139</v>
      </c>
      <c r="J1336">
        <v>1730.7009277</v>
      </c>
      <c r="K1336">
        <v>0</v>
      </c>
      <c r="L1336">
        <v>2400</v>
      </c>
      <c r="M1336">
        <v>2400</v>
      </c>
      <c r="N1336">
        <v>0</v>
      </c>
    </row>
    <row r="1337" spans="1:14" x14ac:dyDescent="0.25">
      <c r="A1337">
        <v>933.15397800000005</v>
      </c>
      <c r="B1337" s="1">
        <f>DATE(2012,11,19) + TIME(3,41,43)</f>
        <v>41232.153969907406</v>
      </c>
      <c r="C1337">
        <v>80</v>
      </c>
      <c r="D1337">
        <v>76.543487549000005</v>
      </c>
      <c r="E1337">
        <v>50</v>
      </c>
      <c r="F1337">
        <v>49.973541259999998</v>
      </c>
      <c r="G1337">
        <v>1062.9124756000001</v>
      </c>
      <c r="H1337">
        <v>934.11645508000004</v>
      </c>
      <c r="I1337">
        <v>1926.6309814000001</v>
      </c>
      <c r="J1337">
        <v>1734.8935547000001</v>
      </c>
      <c r="K1337">
        <v>0</v>
      </c>
      <c r="L1337">
        <v>2400</v>
      </c>
      <c r="M1337">
        <v>2400</v>
      </c>
      <c r="N1337">
        <v>0</v>
      </c>
    </row>
    <row r="1338" spans="1:14" x14ac:dyDescent="0.25">
      <c r="A1338">
        <v>934.27990499999999</v>
      </c>
      <c r="B1338" s="1">
        <f>DATE(2012,11,20) + TIME(6,43,3)</f>
        <v>41233.279895833337</v>
      </c>
      <c r="C1338">
        <v>80</v>
      </c>
      <c r="D1338">
        <v>76.407302856000001</v>
      </c>
      <c r="E1338">
        <v>50</v>
      </c>
      <c r="F1338">
        <v>49.972976684999999</v>
      </c>
      <c r="G1338">
        <v>1059.0556641000001</v>
      </c>
      <c r="H1338">
        <v>930.20806885000002</v>
      </c>
      <c r="I1338">
        <v>1930.4086914</v>
      </c>
      <c r="J1338">
        <v>1738.6765137</v>
      </c>
      <c r="K1338">
        <v>0</v>
      </c>
      <c r="L1338">
        <v>2400</v>
      </c>
      <c r="M1338">
        <v>2400</v>
      </c>
      <c r="N1338">
        <v>0</v>
      </c>
    </row>
    <row r="1339" spans="1:14" x14ac:dyDescent="0.25">
      <c r="A1339">
        <v>935.43435999999997</v>
      </c>
      <c r="B1339" s="1">
        <f>DATE(2012,11,21) + TIME(10,25,28)</f>
        <v>41234.434351851851</v>
      </c>
      <c r="C1339">
        <v>80</v>
      </c>
      <c r="D1339">
        <v>76.269042968999997</v>
      </c>
      <c r="E1339">
        <v>50</v>
      </c>
      <c r="F1339">
        <v>49.972484588999997</v>
      </c>
      <c r="G1339">
        <v>1055.4051514</v>
      </c>
      <c r="H1339">
        <v>926.50421143000005</v>
      </c>
      <c r="I1339">
        <v>1933.8741454999999</v>
      </c>
      <c r="J1339">
        <v>1742.1464844</v>
      </c>
      <c r="K1339">
        <v>0</v>
      </c>
      <c r="L1339">
        <v>2400</v>
      </c>
      <c r="M1339">
        <v>2400</v>
      </c>
      <c r="N1339">
        <v>0</v>
      </c>
    </row>
    <row r="1340" spans="1:14" x14ac:dyDescent="0.25">
      <c r="A1340">
        <v>936.63223600000003</v>
      </c>
      <c r="B1340" s="1">
        <f>DATE(2012,11,22) + TIME(15,10,25)</f>
        <v>41235.632233796299</v>
      </c>
      <c r="C1340">
        <v>80</v>
      </c>
      <c r="D1340">
        <v>76.128204346000004</v>
      </c>
      <c r="E1340">
        <v>50</v>
      </c>
      <c r="F1340">
        <v>49.972049712999997</v>
      </c>
      <c r="G1340">
        <v>1051.9086914</v>
      </c>
      <c r="H1340">
        <v>922.95263671999999</v>
      </c>
      <c r="I1340">
        <v>1937.0892334</v>
      </c>
      <c r="J1340">
        <v>1745.3653564000001</v>
      </c>
      <c r="K1340">
        <v>0</v>
      </c>
      <c r="L1340">
        <v>2400</v>
      </c>
      <c r="M1340">
        <v>2400</v>
      </c>
      <c r="N1340">
        <v>0</v>
      </c>
    </row>
    <row r="1341" spans="1:14" x14ac:dyDescent="0.25">
      <c r="A1341">
        <v>937.88959399999999</v>
      </c>
      <c r="B1341" s="1">
        <f>DATE(2012,11,23) + TIME(21,21,0)</f>
        <v>41236.88958333333</v>
      </c>
      <c r="C1341">
        <v>80</v>
      </c>
      <c r="D1341">
        <v>75.983558654999996</v>
      </c>
      <c r="E1341">
        <v>50</v>
      </c>
      <c r="F1341">
        <v>49.971660614000001</v>
      </c>
      <c r="G1341">
        <v>1048.5239257999999</v>
      </c>
      <c r="H1341">
        <v>919.51031493999994</v>
      </c>
      <c r="I1341">
        <v>1940.0972899999999</v>
      </c>
      <c r="J1341">
        <v>1748.3767089999999</v>
      </c>
      <c r="K1341">
        <v>0</v>
      </c>
      <c r="L1341">
        <v>2400</v>
      </c>
      <c r="M1341">
        <v>2400</v>
      </c>
      <c r="N1341">
        <v>0</v>
      </c>
    </row>
    <row r="1342" spans="1:14" x14ac:dyDescent="0.25">
      <c r="A1342">
        <v>939.22493199999997</v>
      </c>
      <c r="B1342" s="1">
        <f>DATE(2012,11,25) + TIME(5,23,54)</f>
        <v>41238.224930555552</v>
      </c>
      <c r="C1342">
        <v>80</v>
      </c>
      <c r="D1342">
        <v>75.833503723000007</v>
      </c>
      <c r="E1342">
        <v>50</v>
      </c>
      <c r="F1342">
        <v>49.971309662000003</v>
      </c>
      <c r="G1342">
        <v>1045.2148437999999</v>
      </c>
      <c r="H1342">
        <v>916.14025878999996</v>
      </c>
      <c r="I1342">
        <v>1942.9300536999999</v>
      </c>
      <c r="J1342">
        <v>1751.2124022999999</v>
      </c>
      <c r="K1342">
        <v>0</v>
      </c>
      <c r="L1342">
        <v>2400</v>
      </c>
      <c r="M1342">
        <v>2400</v>
      </c>
      <c r="N1342">
        <v>0</v>
      </c>
    </row>
    <row r="1343" spans="1:14" x14ac:dyDescent="0.25">
      <c r="A1343">
        <v>940.65786800000001</v>
      </c>
      <c r="B1343" s="1">
        <f>DATE(2012,11,26) + TIME(15,47,19)</f>
        <v>41239.657858796294</v>
      </c>
      <c r="C1343">
        <v>80</v>
      </c>
      <c r="D1343">
        <v>75.676185607999997</v>
      </c>
      <c r="E1343">
        <v>50</v>
      </c>
      <c r="F1343">
        <v>49.970985413000001</v>
      </c>
      <c r="G1343">
        <v>1041.9542236</v>
      </c>
      <c r="H1343">
        <v>912.81420897999999</v>
      </c>
      <c r="I1343">
        <v>1945.6058350000001</v>
      </c>
      <c r="J1343">
        <v>1753.8909911999999</v>
      </c>
      <c r="K1343">
        <v>0</v>
      </c>
      <c r="L1343">
        <v>2400</v>
      </c>
      <c r="M1343">
        <v>2400</v>
      </c>
      <c r="N1343">
        <v>0</v>
      </c>
    </row>
    <row r="1344" spans="1:14" x14ac:dyDescent="0.25">
      <c r="A1344">
        <v>942.09415899999999</v>
      </c>
      <c r="B1344" s="1">
        <f>DATE(2012,11,28) + TIME(2,15,35)</f>
        <v>41241.094155092593</v>
      </c>
      <c r="C1344">
        <v>80</v>
      </c>
      <c r="D1344">
        <v>75.513946532999995</v>
      </c>
      <c r="E1344">
        <v>50</v>
      </c>
      <c r="F1344">
        <v>49.970695495999998</v>
      </c>
      <c r="G1344">
        <v>1038.9288329999999</v>
      </c>
      <c r="H1344">
        <v>909.71972656000003</v>
      </c>
      <c r="I1344">
        <v>1947.9401855000001</v>
      </c>
      <c r="J1344">
        <v>1756.2276611</v>
      </c>
      <c r="K1344">
        <v>0</v>
      </c>
      <c r="L1344">
        <v>2400</v>
      </c>
      <c r="M1344">
        <v>2400</v>
      </c>
      <c r="N1344">
        <v>0</v>
      </c>
    </row>
    <row r="1345" spans="1:14" x14ac:dyDescent="0.25">
      <c r="A1345">
        <v>943.55422599999997</v>
      </c>
      <c r="B1345" s="1">
        <f>DATE(2012,11,29) + TIME(13,18,5)</f>
        <v>41242.554224537038</v>
      </c>
      <c r="C1345">
        <v>80</v>
      </c>
      <c r="D1345">
        <v>75.350181579999997</v>
      </c>
      <c r="E1345">
        <v>50</v>
      </c>
      <c r="F1345">
        <v>49.970447540000002</v>
      </c>
      <c r="G1345">
        <v>1036.0854492000001</v>
      </c>
      <c r="H1345">
        <v>906.80395508000004</v>
      </c>
      <c r="I1345">
        <v>1950.019043</v>
      </c>
      <c r="J1345">
        <v>1758.3084716999999</v>
      </c>
      <c r="K1345">
        <v>0</v>
      </c>
      <c r="L1345">
        <v>2400</v>
      </c>
      <c r="M1345">
        <v>2400</v>
      </c>
      <c r="N1345">
        <v>0</v>
      </c>
    </row>
    <row r="1346" spans="1:14" x14ac:dyDescent="0.25">
      <c r="A1346">
        <v>945</v>
      </c>
      <c r="B1346" s="1">
        <f>DATE(2012,12,1) + TIME(0,0,0)</f>
        <v>41244</v>
      </c>
      <c r="C1346">
        <v>80</v>
      </c>
      <c r="D1346">
        <v>75.186790466000005</v>
      </c>
      <c r="E1346">
        <v>50</v>
      </c>
      <c r="F1346">
        <v>49.970233917000002</v>
      </c>
      <c r="G1346">
        <v>1033.4664307</v>
      </c>
      <c r="H1346">
        <v>904.11010741999996</v>
      </c>
      <c r="I1346">
        <v>1951.8161620999999</v>
      </c>
      <c r="J1346">
        <v>1760.1072998</v>
      </c>
      <c r="K1346">
        <v>0</v>
      </c>
      <c r="L1346">
        <v>2400</v>
      </c>
      <c r="M1346">
        <v>2400</v>
      </c>
      <c r="N1346">
        <v>0</v>
      </c>
    </row>
    <row r="1347" spans="1:14" x14ac:dyDescent="0.25">
      <c r="A1347">
        <v>946.50847899999997</v>
      </c>
      <c r="B1347" s="1">
        <f>DATE(2012,12,2) + TIME(12,12,12)</f>
        <v>41245.508472222224</v>
      </c>
      <c r="C1347">
        <v>80</v>
      </c>
      <c r="D1347">
        <v>75.022712708</v>
      </c>
      <c r="E1347">
        <v>50</v>
      </c>
      <c r="F1347">
        <v>49.970058440999999</v>
      </c>
      <c r="G1347">
        <v>1030.9395752</v>
      </c>
      <c r="H1347">
        <v>901.50482178000004</v>
      </c>
      <c r="I1347">
        <v>1953.463501</v>
      </c>
      <c r="J1347">
        <v>1761.7559814000001</v>
      </c>
      <c r="K1347">
        <v>0</v>
      </c>
      <c r="L1347">
        <v>2400</v>
      </c>
      <c r="M1347">
        <v>2400</v>
      </c>
      <c r="N1347">
        <v>0</v>
      </c>
    </row>
    <row r="1348" spans="1:14" x14ac:dyDescent="0.25">
      <c r="A1348">
        <v>948.17155000000002</v>
      </c>
      <c r="B1348" s="1">
        <f>DATE(2012,12,4) + TIME(4,7,1)</f>
        <v>41247.171539351853</v>
      </c>
      <c r="C1348">
        <v>80</v>
      </c>
      <c r="D1348">
        <v>74.851776122999993</v>
      </c>
      <c r="E1348">
        <v>50</v>
      </c>
      <c r="F1348">
        <v>49.969905853</v>
      </c>
      <c r="G1348">
        <v>1028.3822021000001</v>
      </c>
      <c r="H1348">
        <v>898.86230468999997</v>
      </c>
      <c r="I1348">
        <v>1955.0440673999999</v>
      </c>
      <c r="J1348">
        <v>1763.3378906</v>
      </c>
      <c r="K1348">
        <v>0</v>
      </c>
      <c r="L1348">
        <v>2400</v>
      </c>
      <c r="M1348">
        <v>2400</v>
      </c>
      <c r="N1348">
        <v>0</v>
      </c>
    </row>
    <row r="1349" spans="1:14" x14ac:dyDescent="0.25">
      <c r="A1349">
        <v>949.90592500000002</v>
      </c>
      <c r="B1349" s="1">
        <f>DATE(2012,12,5) + TIME(21,44,31)</f>
        <v>41248.905914351853</v>
      </c>
      <c r="C1349">
        <v>80</v>
      </c>
      <c r="D1349">
        <v>74.671318053999997</v>
      </c>
      <c r="E1349">
        <v>50</v>
      </c>
      <c r="F1349">
        <v>49.969757080000001</v>
      </c>
      <c r="G1349">
        <v>1025.9084473</v>
      </c>
      <c r="H1349">
        <v>896.29504395000004</v>
      </c>
      <c r="I1349">
        <v>1956.4353027</v>
      </c>
      <c r="J1349">
        <v>1764.7302245999999</v>
      </c>
      <c r="K1349">
        <v>0</v>
      </c>
      <c r="L1349">
        <v>2400</v>
      </c>
      <c r="M1349">
        <v>2400</v>
      </c>
      <c r="N1349">
        <v>0</v>
      </c>
    </row>
    <row r="1350" spans="1:14" x14ac:dyDescent="0.25">
      <c r="A1350">
        <v>951.65340300000003</v>
      </c>
      <c r="B1350" s="1">
        <f>DATE(2012,12,7) + TIME(15,40,53)</f>
        <v>41250.653391203705</v>
      </c>
      <c r="C1350">
        <v>80</v>
      </c>
      <c r="D1350">
        <v>74.485687256000006</v>
      </c>
      <c r="E1350">
        <v>50</v>
      </c>
      <c r="F1350">
        <v>49.969631194999998</v>
      </c>
      <c r="G1350">
        <v>1023.5834351</v>
      </c>
      <c r="H1350">
        <v>893.86871338000003</v>
      </c>
      <c r="I1350">
        <v>1957.6064452999999</v>
      </c>
      <c r="J1350">
        <v>1765.9022216999999</v>
      </c>
      <c r="K1350">
        <v>0</v>
      </c>
      <c r="L1350">
        <v>2400</v>
      </c>
      <c r="M1350">
        <v>2400</v>
      </c>
      <c r="N1350">
        <v>0</v>
      </c>
    </row>
    <row r="1351" spans="1:14" x14ac:dyDescent="0.25">
      <c r="A1351">
        <v>953.44541900000002</v>
      </c>
      <c r="B1351" s="1">
        <f>DATE(2012,12,9) + TIME(10,41,24)</f>
        <v>41252.445416666669</v>
      </c>
      <c r="C1351">
        <v>80</v>
      </c>
      <c r="D1351">
        <v>74.297622681000007</v>
      </c>
      <c r="E1351">
        <v>50</v>
      </c>
      <c r="F1351">
        <v>49.969528197999999</v>
      </c>
      <c r="G1351">
        <v>1021.3653564</v>
      </c>
      <c r="H1351">
        <v>891.54217529000005</v>
      </c>
      <c r="I1351">
        <v>1958.6120605000001</v>
      </c>
      <c r="J1351">
        <v>1766.9086914</v>
      </c>
      <c r="K1351">
        <v>0</v>
      </c>
      <c r="L1351">
        <v>2400</v>
      </c>
      <c r="M1351">
        <v>2400</v>
      </c>
      <c r="N1351">
        <v>0</v>
      </c>
    </row>
    <row r="1352" spans="1:14" x14ac:dyDescent="0.25">
      <c r="A1352">
        <v>955.30781300000001</v>
      </c>
      <c r="B1352" s="1">
        <f>DATE(2012,12,11) + TIME(7,23,15)</f>
        <v>41254.307812500003</v>
      </c>
      <c r="C1352">
        <v>80</v>
      </c>
      <c r="D1352">
        <v>74.105842589999995</v>
      </c>
      <c r="E1352">
        <v>50</v>
      </c>
      <c r="F1352">
        <v>49.96944809</v>
      </c>
      <c r="G1352">
        <v>1019.2200317</v>
      </c>
      <c r="H1352">
        <v>889.27984618999994</v>
      </c>
      <c r="I1352">
        <v>1959.4774170000001</v>
      </c>
      <c r="J1352">
        <v>1767.7749022999999</v>
      </c>
      <c r="K1352">
        <v>0</v>
      </c>
      <c r="L1352">
        <v>2400</v>
      </c>
      <c r="M1352">
        <v>2400</v>
      </c>
      <c r="N1352">
        <v>0</v>
      </c>
    </row>
    <row r="1353" spans="1:14" x14ac:dyDescent="0.25">
      <c r="A1353">
        <v>957.23013300000002</v>
      </c>
      <c r="B1353" s="1">
        <f>DATE(2012,12,13) + TIME(5,31,23)</f>
        <v>41256.230127314811</v>
      </c>
      <c r="C1353">
        <v>80</v>
      </c>
      <c r="D1353">
        <v>73.909187317000004</v>
      </c>
      <c r="E1353">
        <v>50</v>
      </c>
      <c r="F1353">
        <v>49.969383239999999</v>
      </c>
      <c r="G1353">
        <v>1017.1484985</v>
      </c>
      <c r="H1353">
        <v>887.08129883000004</v>
      </c>
      <c r="I1353">
        <v>1960.2001952999999</v>
      </c>
      <c r="J1353">
        <v>1768.4982910000001</v>
      </c>
      <c r="K1353">
        <v>0</v>
      </c>
      <c r="L1353">
        <v>2400</v>
      </c>
      <c r="M1353">
        <v>2400</v>
      </c>
      <c r="N1353">
        <v>0</v>
      </c>
    </row>
    <row r="1354" spans="1:14" x14ac:dyDescent="0.25">
      <c r="A1354">
        <v>959.24339299999997</v>
      </c>
      <c r="B1354" s="1">
        <f>DATE(2012,12,15) + TIME(5,50,29)</f>
        <v>41258.243391203701</v>
      </c>
      <c r="C1354">
        <v>80</v>
      </c>
      <c r="D1354">
        <v>73.706787109000004</v>
      </c>
      <c r="E1354">
        <v>50</v>
      </c>
      <c r="F1354">
        <v>49.969337463000002</v>
      </c>
      <c r="G1354">
        <v>1015.1209717</v>
      </c>
      <c r="H1354">
        <v>884.91491699000005</v>
      </c>
      <c r="I1354">
        <v>1960.8013916</v>
      </c>
      <c r="J1354">
        <v>1769.0999756000001</v>
      </c>
      <c r="K1354">
        <v>0</v>
      </c>
      <c r="L1354">
        <v>2400</v>
      </c>
      <c r="M1354">
        <v>2400</v>
      </c>
      <c r="N1354">
        <v>0</v>
      </c>
    </row>
    <row r="1355" spans="1:14" x14ac:dyDescent="0.25">
      <c r="A1355">
        <v>961.31592599999999</v>
      </c>
      <c r="B1355" s="1">
        <f>DATE(2012,12,17) + TIME(7,34,56)</f>
        <v>41260.315925925926</v>
      </c>
      <c r="C1355">
        <v>80</v>
      </c>
      <c r="D1355">
        <v>73.497879028</v>
      </c>
      <c r="E1355">
        <v>50</v>
      </c>
      <c r="F1355">
        <v>49.969303130999997</v>
      </c>
      <c r="G1355">
        <v>1013.1522217</v>
      </c>
      <c r="H1355">
        <v>882.79382324000005</v>
      </c>
      <c r="I1355">
        <v>1961.2713623</v>
      </c>
      <c r="J1355">
        <v>1769.5704346</v>
      </c>
      <c r="K1355">
        <v>0</v>
      </c>
      <c r="L1355">
        <v>2400</v>
      </c>
      <c r="M1355">
        <v>2400</v>
      </c>
      <c r="N1355">
        <v>0</v>
      </c>
    </row>
    <row r="1356" spans="1:14" x14ac:dyDescent="0.25">
      <c r="A1356">
        <v>963.40134599999999</v>
      </c>
      <c r="B1356" s="1">
        <f>DATE(2012,12,19) + TIME(9,37,56)</f>
        <v>41262.401342592595</v>
      </c>
      <c r="C1356">
        <v>80</v>
      </c>
      <c r="D1356">
        <v>73.284866332999997</v>
      </c>
      <c r="E1356">
        <v>50</v>
      </c>
      <c r="F1356">
        <v>49.969276428000001</v>
      </c>
      <c r="G1356">
        <v>1011.2661133</v>
      </c>
      <c r="H1356">
        <v>880.74200439000003</v>
      </c>
      <c r="I1356">
        <v>1961.6115723</v>
      </c>
      <c r="J1356">
        <v>1769.9110106999999</v>
      </c>
      <c r="K1356">
        <v>0</v>
      </c>
      <c r="L1356">
        <v>2400</v>
      </c>
      <c r="M1356">
        <v>2400</v>
      </c>
      <c r="N1356">
        <v>0</v>
      </c>
    </row>
    <row r="1357" spans="1:14" x14ac:dyDescent="0.25">
      <c r="A1357">
        <v>965.53267700000004</v>
      </c>
      <c r="B1357" s="1">
        <f>DATE(2012,12,21) + TIME(12,47,3)</f>
        <v>41264.532673611109</v>
      </c>
      <c r="C1357">
        <v>80</v>
      </c>
      <c r="D1357">
        <v>73.069549561000002</v>
      </c>
      <c r="E1357">
        <v>50</v>
      </c>
      <c r="F1357">
        <v>49.969268798999998</v>
      </c>
      <c r="G1357">
        <v>1009.4363403</v>
      </c>
      <c r="H1357">
        <v>878.73358154000005</v>
      </c>
      <c r="I1357">
        <v>1961.8509521000001</v>
      </c>
      <c r="J1357">
        <v>1770.1507568</v>
      </c>
      <c r="K1357">
        <v>0</v>
      </c>
      <c r="L1357">
        <v>2400</v>
      </c>
      <c r="M1357">
        <v>2400</v>
      </c>
      <c r="N1357">
        <v>0</v>
      </c>
    </row>
    <row r="1358" spans="1:14" x14ac:dyDescent="0.25">
      <c r="A1358">
        <v>967.74421800000005</v>
      </c>
      <c r="B1358" s="1">
        <f>DATE(2012,12,23) + TIME(17,51,40)</f>
        <v>41266.744212962964</v>
      </c>
      <c r="C1358">
        <v>80</v>
      </c>
      <c r="D1358">
        <v>72.849891662999994</v>
      </c>
      <c r="E1358">
        <v>50</v>
      </c>
      <c r="F1358">
        <v>49.969276428000001</v>
      </c>
      <c r="G1358">
        <v>1007.631897</v>
      </c>
      <c r="H1358">
        <v>876.73492432</v>
      </c>
      <c r="I1358">
        <v>1962.0037841999999</v>
      </c>
      <c r="J1358">
        <v>1770.3038329999999</v>
      </c>
      <c r="K1358">
        <v>0</v>
      </c>
      <c r="L1358">
        <v>2400</v>
      </c>
      <c r="M1358">
        <v>2400</v>
      </c>
      <c r="N1358">
        <v>0</v>
      </c>
    </row>
    <row r="1359" spans="1:14" x14ac:dyDescent="0.25">
      <c r="A1359">
        <v>970.07345899999996</v>
      </c>
      <c r="B1359" s="1">
        <f>DATE(2012,12,26) + TIME(1,45,46)</f>
        <v>41269.073449074072</v>
      </c>
      <c r="C1359">
        <v>80</v>
      </c>
      <c r="D1359">
        <v>72.622879028</v>
      </c>
      <c r="E1359">
        <v>50</v>
      </c>
      <c r="F1359">
        <v>49.969295502000001</v>
      </c>
      <c r="G1359">
        <v>1005.8220825</v>
      </c>
      <c r="H1359">
        <v>874.71118163999995</v>
      </c>
      <c r="I1359">
        <v>1962.0770264</v>
      </c>
      <c r="J1359">
        <v>1770.3773193</v>
      </c>
      <c r="K1359">
        <v>0</v>
      </c>
      <c r="L1359">
        <v>2400</v>
      </c>
      <c r="M1359">
        <v>2400</v>
      </c>
      <c r="N1359">
        <v>0</v>
      </c>
    </row>
    <row r="1360" spans="1:14" x14ac:dyDescent="0.25">
      <c r="A1360">
        <v>972.44392900000003</v>
      </c>
      <c r="B1360" s="1">
        <f>DATE(2012,12,28) + TIME(10,39,15)</f>
        <v>41271.443923611114</v>
      </c>
      <c r="C1360">
        <v>80</v>
      </c>
      <c r="D1360">
        <v>72.387527465999995</v>
      </c>
      <c r="E1360">
        <v>50</v>
      </c>
      <c r="F1360">
        <v>49.969314574999999</v>
      </c>
      <c r="G1360">
        <v>1004.0303345</v>
      </c>
      <c r="H1360">
        <v>872.68267821999996</v>
      </c>
      <c r="I1360">
        <v>1962.0629882999999</v>
      </c>
      <c r="J1360">
        <v>1770.3635254000001</v>
      </c>
      <c r="K1360">
        <v>0</v>
      </c>
      <c r="L1360">
        <v>2400</v>
      </c>
      <c r="M1360">
        <v>2400</v>
      </c>
      <c r="N1360">
        <v>0</v>
      </c>
    </row>
    <row r="1361" spans="1:14" x14ac:dyDescent="0.25">
      <c r="A1361">
        <v>974.83997199999999</v>
      </c>
      <c r="B1361" s="1">
        <f>DATE(2012,12,30) + TIME(20,9,33)</f>
        <v>41273.839965277781</v>
      </c>
      <c r="C1361">
        <v>80</v>
      </c>
      <c r="D1361">
        <v>72.147567749000004</v>
      </c>
      <c r="E1361">
        <v>50</v>
      </c>
      <c r="F1361">
        <v>49.969345093000001</v>
      </c>
      <c r="G1361">
        <v>1002.2649536</v>
      </c>
      <c r="H1361">
        <v>870.65942383000004</v>
      </c>
      <c r="I1361">
        <v>1961.9769286999999</v>
      </c>
      <c r="J1361">
        <v>1770.2777100000001</v>
      </c>
      <c r="K1361">
        <v>0</v>
      </c>
      <c r="L1361">
        <v>2400</v>
      </c>
      <c r="M1361">
        <v>2400</v>
      </c>
      <c r="N1361">
        <v>0</v>
      </c>
    </row>
    <row r="1362" spans="1:14" x14ac:dyDescent="0.25">
      <c r="A1362">
        <v>976</v>
      </c>
      <c r="B1362" s="1">
        <f>DATE(2013,1,1) + TIME(0,0,0)</f>
        <v>41275</v>
      </c>
      <c r="C1362">
        <v>80</v>
      </c>
      <c r="D1362">
        <v>71.955894470000004</v>
      </c>
      <c r="E1362">
        <v>50</v>
      </c>
      <c r="F1362">
        <v>49.969299315999997</v>
      </c>
      <c r="G1362">
        <v>1001.1154175</v>
      </c>
      <c r="H1362">
        <v>869.28540038999995</v>
      </c>
      <c r="I1362">
        <v>1961.8216553</v>
      </c>
      <c r="J1362">
        <v>1770.1224365</v>
      </c>
      <c r="K1362">
        <v>0</v>
      </c>
      <c r="L1362">
        <v>2400</v>
      </c>
      <c r="M1362">
        <v>2400</v>
      </c>
      <c r="N1362">
        <v>0</v>
      </c>
    </row>
    <row r="1363" spans="1:14" x14ac:dyDescent="0.25">
      <c r="A1363">
        <v>978.46112400000004</v>
      </c>
      <c r="B1363" s="1">
        <f>DATE(2013,1,3) + TIME(11,4,1)</f>
        <v>41277.461122685185</v>
      </c>
      <c r="C1363">
        <v>80</v>
      </c>
      <c r="D1363">
        <v>71.766860961999996</v>
      </c>
      <c r="E1363">
        <v>50</v>
      </c>
      <c r="F1363">
        <v>49.969413756999998</v>
      </c>
      <c r="G1363">
        <v>999.60339354999996</v>
      </c>
      <c r="H1363">
        <v>867.55072021000001</v>
      </c>
      <c r="I1363">
        <v>1961.7174072</v>
      </c>
      <c r="J1363">
        <v>1770.0185547000001</v>
      </c>
      <c r="K1363">
        <v>0</v>
      </c>
      <c r="L1363">
        <v>2400</v>
      </c>
      <c r="M1363">
        <v>2400</v>
      </c>
      <c r="N1363">
        <v>0</v>
      </c>
    </row>
    <row r="1364" spans="1:14" x14ac:dyDescent="0.25">
      <c r="A1364">
        <v>981.07007099999998</v>
      </c>
      <c r="B1364" s="1">
        <f>DATE(2013,1,6) + TIME(1,40,54)</f>
        <v>41280.070069444446</v>
      </c>
      <c r="C1364">
        <v>80</v>
      </c>
      <c r="D1364">
        <v>71.528663635000001</v>
      </c>
      <c r="E1364">
        <v>50</v>
      </c>
      <c r="F1364">
        <v>49.969474792</v>
      </c>
      <c r="G1364">
        <v>997.85430908000001</v>
      </c>
      <c r="H1364">
        <v>865.50323486000002</v>
      </c>
      <c r="I1364">
        <v>1961.5257568</v>
      </c>
      <c r="J1364">
        <v>1769.8271483999999</v>
      </c>
      <c r="K1364">
        <v>0</v>
      </c>
      <c r="L1364">
        <v>2400</v>
      </c>
      <c r="M1364">
        <v>2400</v>
      </c>
      <c r="N1364">
        <v>0</v>
      </c>
    </row>
    <row r="1365" spans="1:14" x14ac:dyDescent="0.25">
      <c r="A1365">
        <v>983.76367700000003</v>
      </c>
      <c r="B1365" s="1">
        <f>DATE(2013,1,8) + TIME(18,19,41)</f>
        <v>41282.763668981483</v>
      </c>
      <c r="C1365">
        <v>80</v>
      </c>
      <c r="D1365">
        <v>71.267372131000002</v>
      </c>
      <c r="E1365">
        <v>50</v>
      </c>
      <c r="F1365">
        <v>49.969524384000003</v>
      </c>
      <c r="G1365">
        <v>996.03326416000004</v>
      </c>
      <c r="H1365">
        <v>863.33361816000001</v>
      </c>
      <c r="I1365">
        <v>1961.2646483999999</v>
      </c>
      <c r="J1365">
        <v>1769.5661620999999</v>
      </c>
      <c r="K1365">
        <v>0</v>
      </c>
      <c r="L1365">
        <v>2400</v>
      </c>
      <c r="M1365">
        <v>2400</v>
      </c>
      <c r="N1365">
        <v>0</v>
      </c>
    </row>
    <row r="1366" spans="1:14" x14ac:dyDescent="0.25">
      <c r="A1366">
        <v>986.48157000000003</v>
      </c>
      <c r="B1366" s="1">
        <f>DATE(2013,1,11) + TIME(11,33,27)</f>
        <v>41285.481562499997</v>
      </c>
      <c r="C1366">
        <v>80</v>
      </c>
      <c r="D1366">
        <v>70.994300842000001</v>
      </c>
      <c r="E1366">
        <v>50</v>
      </c>
      <c r="F1366">
        <v>49.969581603999998</v>
      </c>
      <c r="G1366">
        <v>994.18096923999997</v>
      </c>
      <c r="H1366">
        <v>861.09417725000003</v>
      </c>
      <c r="I1366">
        <v>1960.9570312000001</v>
      </c>
      <c r="J1366">
        <v>1769.2586670000001</v>
      </c>
      <c r="K1366">
        <v>0</v>
      </c>
      <c r="L1366">
        <v>2400</v>
      </c>
      <c r="M1366">
        <v>2400</v>
      </c>
      <c r="N1366">
        <v>0</v>
      </c>
    </row>
    <row r="1367" spans="1:14" x14ac:dyDescent="0.25">
      <c r="A1367">
        <v>989.24760300000003</v>
      </c>
      <c r="B1367" s="1">
        <f>DATE(2013,1,14) + TIME(5,56,32)</f>
        <v>41288.24759259259</v>
      </c>
      <c r="C1367">
        <v>80</v>
      </c>
      <c r="D1367">
        <v>70.714706421000002</v>
      </c>
      <c r="E1367">
        <v>50</v>
      </c>
      <c r="F1367">
        <v>49.969646453999999</v>
      </c>
      <c r="G1367">
        <v>992.30200194999998</v>
      </c>
      <c r="H1367">
        <v>858.79498291000004</v>
      </c>
      <c r="I1367">
        <v>1960.6179199000001</v>
      </c>
      <c r="J1367">
        <v>1768.9196777</v>
      </c>
      <c r="K1367">
        <v>0</v>
      </c>
      <c r="L1367">
        <v>2400</v>
      </c>
      <c r="M1367">
        <v>2400</v>
      </c>
      <c r="N1367">
        <v>0</v>
      </c>
    </row>
    <row r="1368" spans="1:14" x14ac:dyDescent="0.25">
      <c r="A1368">
        <v>992.08661900000004</v>
      </c>
      <c r="B1368" s="1">
        <f>DATE(2013,1,17) + TIME(2,4,43)</f>
        <v>41291.086608796293</v>
      </c>
      <c r="C1368">
        <v>80</v>
      </c>
      <c r="D1368">
        <v>70.427528381000002</v>
      </c>
      <c r="E1368">
        <v>50</v>
      </c>
      <c r="F1368">
        <v>49.969718933000003</v>
      </c>
      <c r="G1368">
        <v>990.37982178000004</v>
      </c>
      <c r="H1368">
        <v>856.41619873000002</v>
      </c>
      <c r="I1368">
        <v>1960.2524414</v>
      </c>
      <c r="J1368">
        <v>1768.5543213000001</v>
      </c>
      <c r="K1368">
        <v>0</v>
      </c>
      <c r="L1368">
        <v>2400</v>
      </c>
      <c r="M1368">
        <v>2400</v>
      </c>
      <c r="N1368">
        <v>0</v>
      </c>
    </row>
    <row r="1369" spans="1:14" x14ac:dyDescent="0.25">
      <c r="A1369">
        <v>994.97727799999996</v>
      </c>
      <c r="B1369" s="1">
        <f>DATE(2013,1,19) + TIME(23,27,16)</f>
        <v>41293.977268518516</v>
      </c>
      <c r="C1369">
        <v>80</v>
      </c>
      <c r="D1369">
        <v>70.130851746000005</v>
      </c>
      <c r="E1369">
        <v>50</v>
      </c>
      <c r="F1369">
        <v>49.969791411999999</v>
      </c>
      <c r="G1369">
        <v>988.40679932</v>
      </c>
      <c r="H1369">
        <v>853.94567871000004</v>
      </c>
      <c r="I1369">
        <v>1959.8647461</v>
      </c>
      <c r="J1369">
        <v>1768.1667480000001</v>
      </c>
      <c r="K1369">
        <v>0</v>
      </c>
      <c r="L1369">
        <v>2400</v>
      </c>
      <c r="M1369">
        <v>2400</v>
      </c>
      <c r="N1369">
        <v>0</v>
      </c>
    </row>
    <row r="1370" spans="1:14" x14ac:dyDescent="0.25">
      <c r="A1370">
        <v>997.90403800000001</v>
      </c>
      <c r="B1370" s="1">
        <f>DATE(2013,1,22) + TIME(21,41,48)</f>
        <v>41296.904027777775</v>
      </c>
      <c r="C1370">
        <v>80</v>
      </c>
      <c r="D1370">
        <v>69.825225829999994</v>
      </c>
      <c r="E1370">
        <v>50</v>
      </c>
      <c r="F1370">
        <v>49.969871521000002</v>
      </c>
      <c r="G1370">
        <v>986.38543701000003</v>
      </c>
      <c r="H1370">
        <v>851.38513183999999</v>
      </c>
      <c r="I1370">
        <v>1959.4609375</v>
      </c>
      <c r="J1370">
        <v>1767.7630615</v>
      </c>
      <c r="K1370">
        <v>0</v>
      </c>
      <c r="L1370">
        <v>2400</v>
      </c>
      <c r="M1370">
        <v>2400</v>
      </c>
      <c r="N1370">
        <v>0</v>
      </c>
    </row>
    <row r="1371" spans="1:14" x14ac:dyDescent="0.25">
      <c r="A1371">
        <v>1000.891432</v>
      </c>
      <c r="B1371" s="1">
        <f>DATE(2013,1,25) + TIME(21,23,39)</f>
        <v>41299.891423611109</v>
      </c>
      <c r="C1371">
        <v>80</v>
      </c>
      <c r="D1371">
        <v>69.510635375999996</v>
      </c>
      <c r="E1371">
        <v>50</v>
      </c>
      <c r="F1371">
        <v>49.969951629999997</v>
      </c>
      <c r="G1371">
        <v>984.30841064000003</v>
      </c>
      <c r="H1371">
        <v>848.72589111000002</v>
      </c>
      <c r="I1371">
        <v>1959.0443115</v>
      </c>
      <c r="J1371">
        <v>1767.3465576000001</v>
      </c>
      <c r="K1371">
        <v>0</v>
      </c>
      <c r="L1371">
        <v>2400</v>
      </c>
      <c r="M1371">
        <v>2400</v>
      </c>
      <c r="N1371">
        <v>0</v>
      </c>
    </row>
    <row r="1372" spans="1:14" x14ac:dyDescent="0.25">
      <c r="A1372">
        <v>1003.953394</v>
      </c>
      <c r="B1372" s="1">
        <f>DATE(2013,1,28) + TIME(22,52,53)</f>
        <v>41302.9533912037</v>
      </c>
      <c r="C1372">
        <v>80</v>
      </c>
      <c r="D1372">
        <v>69.185226439999994</v>
      </c>
      <c r="E1372">
        <v>50</v>
      </c>
      <c r="F1372">
        <v>49.970035553000002</v>
      </c>
      <c r="G1372">
        <v>982.15899658000001</v>
      </c>
      <c r="H1372">
        <v>845.94543456999997</v>
      </c>
      <c r="I1372">
        <v>1958.6162108999999</v>
      </c>
      <c r="J1372">
        <v>1766.9185791</v>
      </c>
      <c r="K1372">
        <v>0</v>
      </c>
      <c r="L1372">
        <v>2400</v>
      </c>
      <c r="M1372">
        <v>2400</v>
      </c>
      <c r="N1372">
        <v>0</v>
      </c>
    </row>
    <row r="1373" spans="1:14" x14ac:dyDescent="0.25">
      <c r="A1373">
        <v>1007</v>
      </c>
      <c r="B1373" s="1">
        <f>DATE(2013,2,1) + TIME(0,0,0)</f>
        <v>41306</v>
      </c>
      <c r="C1373">
        <v>80</v>
      </c>
      <c r="D1373">
        <v>68.848831176999994</v>
      </c>
      <c r="E1373">
        <v>50</v>
      </c>
      <c r="F1373">
        <v>49.970115661999998</v>
      </c>
      <c r="G1373">
        <v>979.94757079999999</v>
      </c>
      <c r="H1373">
        <v>843.05194091999999</v>
      </c>
      <c r="I1373">
        <v>1958.1837158000001</v>
      </c>
      <c r="J1373">
        <v>1766.4862060999999</v>
      </c>
      <c r="K1373">
        <v>0</v>
      </c>
      <c r="L1373">
        <v>2400</v>
      </c>
      <c r="M1373">
        <v>2400</v>
      </c>
      <c r="N1373">
        <v>0</v>
      </c>
    </row>
    <row r="1374" spans="1:14" x14ac:dyDescent="0.25">
      <c r="A1374">
        <v>1010.087136</v>
      </c>
      <c r="B1374" s="1">
        <f>DATE(2013,2,4) + TIME(2,5,28)</f>
        <v>41309.087129629632</v>
      </c>
      <c r="C1374">
        <v>80</v>
      </c>
      <c r="D1374">
        <v>68.505561829000001</v>
      </c>
      <c r="E1374">
        <v>50</v>
      </c>
      <c r="F1374">
        <v>49.970203400000003</v>
      </c>
      <c r="G1374">
        <v>977.68737793000003</v>
      </c>
      <c r="H1374">
        <v>840.06622314000003</v>
      </c>
      <c r="I1374">
        <v>1957.75</v>
      </c>
      <c r="J1374">
        <v>1766.0526123</v>
      </c>
      <c r="K1374">
        <v>0</v>
      </c>
      <c r="L1374">
        <v>2400</v>
      </c>
      <c r="M1374">
        <v>2400</v>
      </c>
      <c r="N1374">
        <v>0</v>
      </c>
    </row>
    <row r="1375" spans="1:14" x14ac:dyDescent="0.25">
      <c r="A1375">
        <v>1013.2591619999999</v>
      </c>
      <c r="B1375" s="1">
        <f>DATE(2013,2,7) + TIME(6,13,11)</f>
        <v>41312.259155092594</v>
      </c>
      <c r="C1375">
        <v>80</v>
      </c>
      <c r="D1375">
        <v>68.150962829999997</v>
      </c>
      <c r="E1375">
        <v>50</v>
      </c>
      <c r="F1375">
        <v>49.970291138</v>
      </c>
      <c r="G1375">
        <v>975.34741211000005</v>
      </c>
      <c r="H1375">
        <v>836.94824218999997</v>
      </c>
      <c r="I1375">
        <v>1957.3123779</v>
      </c>
      <c r="J1375">
        <v>1765.6151123</v>
      </c>
      <c r="K1375">
        <v>0</v>
      </c>
      <c r="L1375">
        <v>2400</v>
      </c>
      <c r="M1375">
        <v>2400</v>
      </c>
      <c r="N1375">
        <v>0</v>
      </c>
    </row>
    <row r="1376" spans="1:14" x14ac:dyDescent="0.25">
      <c r="A1376">
        <v>1016.458487</v>
      </c>
      <c r="B1376" s="1">
        <f>DATE(2013,2,10) + TIME(11,0,13)</f>
        <v>41315.458483796298</v>
      </c>
      <c r="C1376">
        <v>80</v>
      </c>
      <c r="D1376">
        <v>67.781555175999998</v>
      </c>
      <c r="E1376">
        <v>50</v>
      </c>
      <c r="F1376">
        <v>49.970378875999998</v>
      </c>
      <c r="G1376">
        <v>972.91619873000002</v>
      </c>
      <c r="H1376">
        <v>833.67718506000006</v>
      </c>
      <c r="I1376">
        <v>1956.8735352000001</v>
      </c>
      <c r="J1376">
        <v>1765.1762695</v>
      </c>
      <c r="K1376">
        <v>0</v>
      </c>
      <c r="L1376">
        <v>2400</v>
      </c>
      <c r="M1376">
        <v>2400</v>
      </c>
      <c r="N1376">
        <v>0</v>
      </c>
    </row>
    <row r="1377" spans="1:14" x14ac:dyDescent="0.25">
      <c r="A1377">
        <v>1019.6904479999999</v>
      </c>
      <c r="B1377" s="1">
        <f>DATE(2013,2,13) + TIME(16,34,14)</f>
        <v>41318.690439814818</v>
      </c>
      <c r="C1377">
        <v>80</v>
      </c>
      <c r="D1377">
        <v>67.399719238000003</v>
      </c>
      <c r="E1377">
        <v>50</v>
      </c>
      <c r="F1377">
        <v>49.970466614000003</v>
      </c>
      <c r="G1377">
        <v>970.40930175999995</v>
      </c>
      <c r="H1377">
        <v>830.27319336000005</v>
      </c>
      <c r="I1377">
        <v>1956.4359131000001</v>
      </c>
      <c r="J1377">
        <v>1764.7387695</v>
      </c>
      <c r="K1377">
        <v>0</v>
      </c>
      <c r="L1377">
        <v>2400</v>
      </c>
      <c r="M1377">
        <v>2400</v>
      </c>
      <c r="N1377">
        <v>0</v>
      </c>
    </row>
    <row r="1378" spans="1:14" x14ac:dyDescent="0.25">
      <c r="A1378">
        <v>1022.951375</v>
      </c>
      <c r="B1378" s="1">
        <f>DATE(2013,2,16) + TIME(22,49,58)</f>
        <v>41321.951365740744</v>
      </c>
      <c r="C1378">
        <v>80</v>
      </c>
      <c r="D1378">
        <v>67.005081176999994</v>
      </c>
      <c r="E1378">
        <v>50</v>
      </c>
      <c r="F1378">
        <v>49.970554352000001</v>
      </c>
      <c r="G1378">
        <v>967.82421875</v>
      </c>
      <c r="H1378">
        <v>826.73266602000001</v>
      </c>
      <c r="I1378">
        <v>1956.0012207</v>
      </c>
      <c r="J1378">
        <v>1764.3041992000001</v>
      </c>
      <c r="K1378">
        <v>0</v>
      </c>
      <c r="L1378">
        <v>2400</v>
      </c>
      <c r="M1378">
        <v>2400</v>
      </c>
      <c r="N1378">
        <v>0</v>
      </c>
    </row>
    <row r="1379" spans="1:14" x14ac:dyDescent="0.25">
      <c r="A1379">
        <v>1026.24074</v>
      </c>
      <c r="B1379" s="1">
        <f>DATE(2013,2,20) + TIME(5,46,39)</f>
        <v>41325.240729166668</v>
      </c>
      <c r="C1379">
        <v>80</v>
      </c>
      <c r="D1379">
        <v>66.597213745000005</v>
      </c>
      <c r="E1379">
        <v>50</v>
      </c>
      <c r="F1379">
        <v>49.970642089999998</v>
      </c>
      <c r="G1379">
        <v>965.16033935999997</v>
      </c>
      <c r="H1379">
        <v>823.05377196999996</v>
      </c>
      <c r="I1379">
        <v>1955.5704346</v>
      </c>
      <c r="J1379">
        <v>1763.8734131000001</v>
      </c>
      <c r="K1379">
        <v>0</v>
      </c>
      <c r="L1379">
        <v>2400</v>
      </c>
      <c r="M1379">
        <v>2400</v>
      </c>
      <c r="N1379">
        <v>0</v>
      </c>
    </row>
    <row r="1380" spans="1:14" x14ac:dyDescent="0.25">
      <c r="A1380">
        <v>1029.563296</v>
      </c>
      <c r="B1380" s="1">
        <f>DATE(2013,2,23) + TIME(13,31,8)</f>
        <v>41328.563287037039</v>
      </c>
      <c r="C1380">
        <v>80</v>
      </c>
      <c r="D1380">
        <v>66.174987793</v>
      </c>
      <c r="E1380">
        <v>50</v>
      </c>
      <c r="F1380">
        <v>49.970729828000003</v>
      </c>
      <c r="G1380">
        <v>962.41455078000001</v>
      </c>
      <c r="H1380">
        <v>819.23132324000005</v>
      </c>
      <c r="I1380">
        <v>1955.1435547000001</v>
      </c>
      <c r="J1380">
        <v>1763.4467772999999</v>
      </c>
      <c r="K1380">
        <v>0</v>
      </c>
      <c r="L1380">
        <v>2400</v>
      </c>
      <c r="M1380">
        <v>2400</v>
      </c>
      <c r="N1380">
        <v>0</v>
      </c>
    </row>
    <row r="1381" spans="1:14" x14ac:dyDescent="0.25">
      <c r="A1381">
        <v>1032.9236860000001</v>
      </c>
      <c r="B1381" s="1">
        <f>DATE(2013,2,26) + TIME(22,10,6)</f>
        <v>41331.923680555556</v>
      </c>
      <c r="C1381">
        <v>80</v>
      </c>
      <c r="D1381">
        <v>65.737297057999996</v>
      </c>
      <c r="E1381">
        <v>50</v>
      </c>
      <c r="F1381">
        <v>49.970821381</v>
      </c>
      <c r="G1381">
        <v>959.58160399999997</v>
      </c>
      <c r="H1381">
        <v>815.25714111000002</v>
      </c>
      <c r="I1381">
        <v>1954.7205810999999</v>
      </c>
      <c r="J1381">
        <v>1763.0238036999999</v>
      </c>
      <c r="K1381">
        <v>0</v>
      </c>
      <c r="L1381">
        <v>2400</v>
      </c>
      <c r="M1381">
        <v>2400</v>
      </c>
      <c r="N1381">
        <v>0</v>
      </c>
    </row>
    <row r="1382" spans="1:14" x14ac:dyDescent="0.25">
      <c r="A1382">
        <v>1035</v>
      </c>
      <c r="B1382" s="1">
        <f>DATE(2013,3,1) + TIME(0,0,0)</f>
        <v>41334</v>
      </c>
      <c r="C1382">
        <v>80</v>
      </c>
      <c r="D1382">
        <v>65.329841614000003</v>
      </c>
      <c r="E1382">
        <v>50</v>
      </c>
      <c r="F1382">
        <v>49.970848083</v>
      </c>
      <c r="G1382">
        <v>957.00549316000001</v>
      </c>
      <c r="H1382">
        <v>811.58636475000003</v>
      </c>
      <c r="I1382">
        <v>1954.4025879000001</v>
      </c>
      <c r="J1382">
        <v>1762.7058105000001</v>
      </c>
      <c r="K1382">
        <v>0</v>
      </c>
      <c r="L1382">
        <v>2400</v>
      </c>
      <c r="M1382">
        <v>2400</v>
      </c>
      <c r="N1382">
        <v>0</v>
      </c>
    </row>
    <row r="1383" spans="1:14" x14ac:dyDescent="0.25">
      <c r="A1383">
        <v>1038.3906810000001</v>
      </c>
      <c r="B1383" s="1">
        <f>DATE(2013,3,4) + TIME(9,22,34)</f>
        <v>41337.3906712963</v>
      </c>
      <c r="C1383">
        <v>80</v>
      </c>
      <c r="D1383">
        <v>64.969223021999994</v>
      </c>
      <c r="E1383">
        <v>50</v>
      </c>
      <c r="F1383">
        <v>49.970970154</v>
      </c>
      <c r="G1383">
        <v>954.71411133000004</v>
      </c>
      <c r="H1383">
        <v>808.32666015999996</v>
      </c>
      <c r="I1383">
        <v>1954.0231934000001</v>
      </c>
      <c r="J1383">
        <v>1762.3265381000001</v>
      </c>
      <c r="K1383">
        <v>0</v>
      </c>
      <c r="L1383">
        <v>2400</v>
      </c>
      <c r="M1383">
        <v>2400</v>
      </c>
      <c r="N1383">
        <v>0</v>
      </c>
    </row>
    <row r="1384" spans="1:14" x14ac:dyDescent="0.25">
      <c r="A1384">
        <v>1041.8214029999999</v>
      </c>
      <c r="B1384" s="1">
        <f>DATE(2013,3,7) + TIME(19,42,49)</f>
        <v>41340.821400462963</v>
      </c>
      <c r="C1384">
        <v>80</v>
      </c>
      <c r="D1384">
        <v>64.510025024000001</v>
      </c>
      <c r="E1384">
        <v>50</v>
      </c>
      <c r="F1384">
        <v>49.971057891999997</v>
      </c>
      <c r="G1384">
        <v>951.734375</v>
      </c>
      <c r="H1384">
        <v>804.09539795000001</v>
      </c>
      <c r="I1384">
        <v>1953.6292725000001</v>
      </c>
      <c r="J1384">
        <v>1761.9326172000001</v>
      </c>
      <c r="K1384">
        <v>0</v>
      </c>
      <c r="L1384">
        <v>2400</v>
      </c>
      <c r="M1384">
        <v>2400</v>
      </c>
      <c r="N1384">
        <v>0</v>
      </c>
    </row>
    <row r="1385" spans="1:14" x14ac:dyDescent="0.25">
      <c r="A1385">
        <v>1045.2796269999999</v>
      </c>
      <c r="B1385" s="1">
        <f>DATE(2013,3,11) + TIME(6,42,39)</f>
        <v>41344.279618055552</v>
      </c>
      <c r="C1385">
        <v>80</v>
      </c>
      <c r="D1385">
        <v>64.014945983999993</v>
      </c>
      <c r="E1385">
        <v>50</v>
      </c>
      <c r="F1385">
        <v>49.971141815000003</v>
      </c>
      <c r="G1385">
        <v>948.60565185999997</v>
      </c>
      <c r="H1385">
        <v>799.59338378999996</v>
      </c>
      <c r="I1385">
        <v>1953.2283935999999</v>
      </c>
      <c r="J1385">
        <v>1761.5318603999999</v>
      </c>
      <c r="K1385">
        <v>0</v>
      </c>
      <c r="L1385">
        <v>2400</v>
      </c>
      <c r="M1385">
        <v>2400</v>
      </c>
      <c r="N1385">
        <v>0</v>
      </c>
    </row>
    <row r="1386" spans="1:14" x14ac:dyDescent="0.25">
      <c r="A1386">
        <v>1048.765983</v>
      </c>
      <c r="B1386" s="1">
        <f>DATE(2013,3,14) + TIME(18,23,0)</f>
        <v>41347.765972222223</v>
      </c>
      <c r="C1386">
        <v>80</v>
      </c>
      <c r="D1386">
        <v>63.499282837000003</v>
      </c>
      <c r="E1386">
        <v>50</v>
      </c>
      <c r="F1386">
        <v>49.971229553000001</v>
      </c>
      <c r="G1386">
        <v>945.37835693</v>
      </c>
      <c r="H1386">
        <v>794.91308593999997</v>
      </c>
      <c r="I1386">
        <v>1952.828125</v>
      </c>
      <c r="J1386">
        <v>1761.1315918</v>
      </c>
      <c r="K1386">
        <v>0</v>
      </c>
      <c r="L1386">
        <v>2400</v>
      </c>
      <c r="M1386">
        <v>2400</v>
      </c>
      <c r="N1386">
        <v>0</v>
      </c>
    </row>
    <row r="1387" spans="1:14" x14ac:dyDescent="0.25">
      <c r="A1387">
        <v>1052.2859060000001</v>
      </c>
      <c r="B1387" s="1">
        <f>DATE(2013,3,18) + TIME(6,51,42)</f>
        <v>41351.285902777781</v>
      </c>
      <c r="C1387">
        <v>80</v>
      </c>
      <c r="D1387">
        <v>62.964351653999998</v>
      </c>
      <c r="E1387">
        <v>50</v>
      </c>
      <c r="F1387">
        <v>49.971317290999998</v>
      </c>
      <c r="G1387">
        <v>942.05871581999997</v>
      </c>
      <c r="H1387">
        <v>790.06622314000003</v>
      </c>
      <c r="I1387">
        <v>1952.4304199000001</v>
      </c>
      <c r="J1387">
        <v>1760.7340088000001</v>
      </c>
      <c r="K1387">
        <v>0</v>
      </c>
      <c r="L1387">
        <v>2400</v>
      </c>
      <c r="M1387">
        <v>2400</v>
      </c>
      <c r="N1387">
        <v>0</v>
      </c>
    </row>
    <row r="1388" spans="1:14" x14ac:dyDescent="0.25">
      <c r="A1388">
        <v>1055.843427</v>
      </c>
      <c r="B1388" s="1">
        <f>DATE(2013,3,21) + TIME(20,14,32)</f>
        <v>41354.843425925923</v>
      </c>
      <c r="C1388">
        <v>80</v>
      </c>
      <c r="D1388">
        <v>62.410068512000002</v>
      </c>
      <c r="E1388">
        <v>50</v>
      </c>
      <c r="F1388">
        <v>49.971405029000003</v>
      </c>
      <c r="G1388">
        <v>938.64550781000003</v>
      </c>
      <c r="H1388">
        <v>785.05047606999995</v>
      </c>
      <c r="I1388">
        <v>1952.0355225000001</v>
      </c>
      <c r="J1388">
        <v>1760.3392334</v>
      </c>
      <c r="K1388">
        <v>0</v>
      </c>
      <c r="L1388">
        <v>2400</v>
      </c>
      <c r="M1388">
        <v>2400</v>
      </c>
      <c r="N1388">
        <v>0</v>
      </c>
    </row>
    <row r="1389" spans="1:14" x14ac:dyDescent="0.25">
      <c r="A1389">
        <v>1059.4249440000001</v>
      </c>
      <c r="B1389" s="1">
        <f>DATE(2013,3,25) + TIME(10,11,55)</f>
        <v>41358.424942129626</v>
      </c>
      <c r="C1389">
        <v>80</v>
      </c>
      <c r="D1389">
        <v>61.836238860999998</v>
      </c>
      <c r="E1389">
        <v>50</v>
      </c>
      <c r="F1389">
        <v>49.971492767000001</v>
      </c>
      <c r="G1389">
        <v>935.13934326000003</v>
      </c>
      <c r="H1389">
        <v>779.86492920000001</v>
      </c>
      <c r="I1389">
        <v>1951.6437988</v>
      </c>
      <c r="J1389">
        <v>1759.9475098</v>
      </c>
      <c r="K1389">
        <v>0</v>
      </c>
      <c r="L1389">
        <v>2400</v>
      </c>
      <c r="M1389">
        <v>2400</v>
      </c>
      <c r="N1389">
        <v>0</v>
      </c>
    </row>
    <row r="1390" spans="1:14" x14ac:dyDescent="0.25">
      <c r="A1390">
        <v>1063.0312510000001</v>
      </c>
      <c r="B1390" s="1">
        <f>DATE(2013,3,29) + TIME(0,45,0)</f>
        <v>41362.03125</v>
      </c>
      <c r="C1390">
        <v>80</v>
      </c>
      <c r="D1390">
        <v>61.244213104000004</v>
      </c>
      <c r="E1390">
        <v>50</v>
      </c>
      <c r="F1390">
        <v>49.971576691000003</v>
      </c>
      <c r="G1390">
        <v>931.55108643000005</v>
      </c>
      <c r="H1390">
        <v>774.52410888999998</v>
      </c>
      <c r="I1390">
        <v>1951.255249</v>
      </c>
      <c r="J1390">
        <v>1759.559082</v>
      </c>
      <c r="K1390">
        <v>0</v>
      </c>
      <c r="L1390">
        <v>2400</v>
      </c>
      <c r="M1390">
        <v>2400</v>
      </c>
      <c r="N1390">
        <v>0</v>
      </c>
    </row>
    <row r="1391" spans="1:14" x14ac:dyDescent="0.25">
      <c r="A1391">
        <v>1066</v>
      </c>
      <c r="B1391" s="1">
        <f>DATE(2013,4,1) + TIME(0,0,0)</f>
        <v>41365</v>
      </c>
      <c r="C1391">
        <v>80</v>
      </c>
      <c r="D1391">
        <v>60.656669616999999</v>
      </c>
      <c r="E1391">
        <v>50</v>
      </c>
      <c r="F1391">
        <v>49.971637725999997</v>
      </c>
      <c r="G1391">
        <v>928.02691649999997</v>
      </c>
      <c r="H1391">
        <v>769.23870850000003</v>
      </c>
      <c r="I1391">
        <v>1950.911499</v>
      </c>
      <c r="J1391">
        <v>1759.215332</v>
      </c>
      <c r="K1391">
        <v>0</v>
      </c>
      <c r="L1391">
        <v>2400</v>
      </c>
      <c r="M1391">
        <v>2400</v>
      </c>
      <c r="N1391">
        <v>0</v>
      </c>
    </row>
    <row r="1392" spans="1:14" x14ac:dyDescent="0.25">
      <c r="A1392">
        <v>1069.637377</v>
      </c>
      <c r="B1392" s="1">
        <f>DATE(2013,4,4) + TIME(15,17,49)</f>
        <v>41368.637372685182</v>
      </c>
      <c r="C1392">
        <v>80</v>
      </c>
      <c r="D1392">
        <v>60.106536865000002</v>
      </c>
      <c r="E1392">
        <v>50</v>
      </c>
      <c r="F1392">
        <v>49.971736907999997</v>
      </c>
      <c r="G1392">
        <v>924.76538086000005</v>
      </c>
      <c r="H1392">
        <v>764.31182861000002</v>
      </c>
      <c r="I1392">
        <v>1950.5439452999999</v>
      </c>
      <c r="J1392">
        <v>1758.8479004000001</v>
      </c>
      <c r="K1392">
        <v>0</v>
      </c>
      <c r="L1392">
        <v>2400</v>
      </c>
      <c r="M1392">
        <v>2400</v>
      </c>
      <c r="N1392">
        <v>0</v>
      </c>
    </row>
    <row r="1393" spans="1:14" x14ac:dyDescent="0.25">
      <c r="A1393">
        <v>1073.320534</v>
      </c>
      <c r="B1393" s="1">
        <f>DATE(2013,4,8) + TIME(7,41,34)</f>
        <v>41372.320532407408</v>
      </c>
      <c r="C1393">
        <v>80</v>
      </c>
      <c r="D1393">
        <v>59.481391907000003</v>
      </c>
      <c r="E1393">
        <v>50</v>
      </c>
      <c r="F1393">
        <v>49.971824646000002</v>
      </c>
      <c r="G1393">
        <v>921.01647949000005</v>
      </c>
      <c r="H1393">
        <v>758.66040038999995</v>
      </c>
      <c r="I1393">
        <v>1950.1701660000001</v>
      </c>
      <c r="J1393">
        <v>1758.4741211</v>
      </c>
      <c r="K1393">
        <v>0</v>
      </c>
      <c r="L1393">
        <v>2400</v>
      </c>
      <c r="M1393">
        <v>2400</v>
      </c>
      <c r="N1393">
        <v>0</v>
      </c>
    </row>
    <row r="1394" spans="1:14" x14ac:dyDescent="0.25">
      <c r="A1394">
        <v>1077.036321</v>
      </c>
      <c r="B1394" s="1">
        <f>DATE(2013,4,12) + TIME(0,52,18)</f>
        <v>41376.036319444444</v>
      </c>
      <c r="C1394">
        <v>80</v>
      </c>
      <c r="D1394">
        <v>58.826431274000001</v>
      </c>
      <c r="E1394">
        <v>50</v>
      </c>
      <c r="F1394">
        <v>49.971908569</v>
      </c>
      <c r="G1394">
        <v>917.14654541000004</v>
      </c>
      <c r="H1394">
        <v>752.77221680000002</v>
      </c>
      <c r="I1394">
        <v>1949.7919922000001</v>
      </c>
      <c r="J1394">
        <v>1758.0960693</v>
      </c>
      <c r="K1394">
        <v>0</v>
      </c>
      <c r="L1394">
        <v>2400</v>
      </c>
      <c r="M1394">
        <v>2400</v>
      </c>
      <c r="N1394">
        <v>0</v>
      </c>
    </row>
    <row r="1395" spans="1:14" x14ac:dyDescent="0.25">
      <c r="A1395">
        <v>1080.783095</v>
      </c>
      <c r="B1395" s="1">
        <f>DATE(2013,4,15) + TIME(18,47,39)</f>
        <v>41379.783090277779</v>
      </c>
      <c r="C1395">
        <v>80</v>
      </c>
      <c r="D1395">
        <v>58.1549263</v>
      </c>
      <c r="E1395">
        <v>50</v>
      </c>
      <c r="F1395">
        <v>49.971992493000002</v>
      </c>
      <c r="G1395">
        <v>913.19732666000004</v>
      </c>
      <c r="H1395">
        <v>746.72662353999999</v>
      </c>
      <c r="I1395">
        <v>1949.4124756000001</v>
      </c>
      <c r="J1395">
        <v>1757.7165527</v>
      </c>
      <c r="K1395">
        <v>0</v>
      </c>
      <c r="L1395">
        <v>2400</v>
      </c>
      <c r="M1395">
        <v>2400</v>
      </c>
      <c r="N1395">
        <v>0</v>
      </c>
    </row>
    <row r="1396" spans="1:14" x14ac:dyDescent="0.25">
      <c r="A1396">
        <v>1084.5603329999999</v>
      </c>
      <c r="B1396" s="1">
        <f>DATE(2013,4,19) + TIME(13,26,52)</f>
        <v>41383.560324074075</v>
      </c>
      <c r="C1396">
        <v>80</v>
      </c>
      <c r="D1396">
        <v>57.468757629000002</v>
      </c>
      <c r="E1396">
        <v>50</v>
      </c>
      <c r="F1396">
        <v>49.972076416</v>
      </c>
      <c r="G1396">
        <v>909.17852783000001</v>
      </c>
      <c r="H1396">
        <v>740.54034423999997</v>
      </c>
      <c r="I1396">
        <v>1949.0324707</v>
      </c>
      <c r="J1396">
        <v>1757.3366699000001</v>
      </c>
      <c r="K1396">
        <v>0</v>
      </c>
      <c r="L1396">
        <v>2400</v>
      </c>
      <c r="M1396">
        <v>2400</v>
      </c>
      <c r="N1396">
        <v>0</v>
      </c>
    </row>
    <row r="1397" spans="1:14" x14ac:dyDescent="0.25">
      <c r="A1397">
        <v>1088.376667</v>
      </c>
      <c r="B1397" s="1">
        <f>DATE(2013,4,23) + TIME(9,2,24)</f>
        <v>41387.376666666663</v>
      </c>
      <c r="C1397">
        <v>80</v>
      </c>
      <c r="D1397">
        <v>56.770797729000002</v>
      </c>
      <c r="E1397">
        <v>50</v>
      </c>
      <c r="F1397">
        <v>49.972160338999998</v>
      </c>
      <c r="G1397">
        <v>905.09704590000001</v>
      </c>
      <c r="H1397">
        <v>734.22467041000004</v>
      </c>
      <c r="I1397">
        <v>1948.6513672000001</v>
      </c>
      <c r="J1397">
        <v>1756.9555664</v>
      </c>
      <c r="K1397">
        <v>0</v>
      </c>
      <c r="L1397">
        <v>2400</v>
      </c>
      <c r="M1397">
        <v>2400</v>
      </c>
      <c r="N1397">
        <v>0</v>
      </c>
    </row>
    <row r="1398" spans="1:14" x14ac:dyDescent="0.25">
      <c r="A1398">
        <v>1092.240638</v>
      </c>
      <c r="B1398" s="1">
        <f>DATE(2013,4,27) + TIME(5,46,31)</f>
        <v>41391.240636574075</v>
      </c>
      <c r="C1398">
        <v>80</v>
      </c>
      <c r="D1398">
        <v>56.060733794999997</v>
      </c>
      <c r="E1398">
        <v>50</v>
      </c>
      <c r="F1398">
        <v>49.972244263</v>
      </c>
      <c r="G1398">
        <v>900.95019531000003</v>
      </c>
      <c r="H1398">
        <v>727.77484131000006</v>
      </c>
      <c r="I1398">
        <v>1948.2680664</v>
      </c>
      <c r="J1398">
        <v>1756.5722656</v>
      </c>
      <c r="K1398">
        <v>0</v>
      </c>
      <c r="L1398">
        <v>2400</v>
      </c>
      <c r="M1398">
        <v>2400</v>
      </c>
      <c r="N1398">
        <v>0</v>
      </c>
    </row>
    <row r="1399" spans="1:14" x14ac:dyDescent="0.25">
      <c r="A1399">
        <v>1096</v>
      </c>
      <c r="B1399" s="1">
        <f>DATE(2013,5,1) + TIME(0,0,0)</f>
        <v>41395</v>
      </c>
      <c r="C1399">
        <v>80</v>
      </c>
      <c r="D1399">
        <v>55.344383239999999</v>
      </c>
      <c r="E1399">
        <v>50</v>
      </c>
      <c r="F1399">
        <v>49.972324370999999</v>
      </c>
      <c r="G1399">
        <v>896.76519774999997</v>
      </c>
      <c r="H1399">
        <v>721.23303223000005</v>
      </c>
      <c r="I1399">
        <v>1947.8908690999999</v>
      </c>
      <c r="J1399">
        <v>1756.1951904</v>
      </c>
      <c r="K1399">
        <v>0</v>
      </c>
      <c r="L1399">
        <v>2400</v>
      </c>
      <c r="M1399">
        <v>2400</v>
      </c>
      <c r="N1399">
        <v>0</v>
      </c>
    </row>
    <row r="1400" spans="1:14" x14ac:dyDescent="0.25">
      <c r="A1400">
        <v>1096.0000010000001</v>
      </c>
      <c r="B1400" s="1">
        <f>DATE(2013,5,1) + TIME(0,0,0)</f>
        <v>41395</v>
      </c>
      <c r="C1400">
        <v>80</v>
      </c>
      <c r="D1400">
        <v>55.344436645999998</v>
      </c>
      <c r="E1400">
        <v>50</v>
      </c>
      <c r="F1400">
        <v>49.972309113000001</v>
      </c>
      <c r="G1400">
        <v>1072.2608643000001</v>
      </c>
      <c r="H1400">
        <v>896.77502441000001</v>
      </c>
      <c r="I1400">
        <v>1756.1854248</v>
      </c>
      <c r="J1400">
        <v>1564.4885254000001</v>
      </c>
      <c r="K1400">
        <v>2400</v>
      </c>
      <c r="L1400">
        <v>0</v>
      </c>
      <c r="M1400">
        <v>0</v>
      </c>
      <c r="N1400">
        <v>2400</v>
      </c>
    </row>
    <row r="1401" spans="1:14" x14ac:dyDescent="0.25">
      <c r="A1401">
        <v>1096.000004</v>
      </c>
      <c r="B1401" s="1">
        <f>DATE(2013,5,1) + TIME(0,0,0)</f>
        <v>41395</v>
      </c>
      <c r="C1401">
        <v>80</v>
      </c>
      <c r="D1401">
        <v>55.344593048</v>
      </c>
      <c r="E1401">
        <v>50</v>
      </c>
      <c r="F1401">
        <v>49.972267150999997</v>
      </c>
      <c r="G1401">
        <v>1072.2900391000001</v>
      </c>
      <c r="H1401">
        <v>896.80438231999995</v>
      </c>
      <c r="I1401">
        <v>1756.1558838000001</v>
      </c>
      <c r="J1401">
        <v>1564.4588623</v>
      </c>
      <c r="K1401">
        <v>2400</v>
      </c>
      <c r="L1401">
        <v>0</v>
      </c>
      <c r="M1401">
        <v>0</v>
      </c>
      <c r="N1401">
        <v>2400</v>
      </c>
    </row>
    <row r="1402" spans="1:14" x14ac:dyDescent="0.25">
      <c r="A1402">
        <v>1096.0000130000001</v>
      </c>
      <c r="B1402" s="1">
        <f>DATE(2013,5,1) + TIME(0,0,1)</f>
        <v>41395.000011574077</v>
      </c>
      <c r="C1402">
        <v>80</v>
      </c>
      <c r="D1402">
        <v>55.345062255999999</v>
      </c>
      <c r="E1402">
        <v>50</v>
      </c>
      <c r="F1402">
        <v>49.972133636000002</v>
      </c>
      <c r="G1402">
        <v>1072.3776855000001</v>
      </c>
      <c r="H1402">
        <v>896.89245604999996</v>
      </c>
      <c r="I1402">
        <v>1756.0675048999999</v>
      </c>
      <c r="J1402">
        <v>1564.3699951000001</v>
      </c>
      <c r="K1402">
        <v>2400</v>
      </c>
      <c r="L1402">
        <v>0</v>
      </c>
      <c r="M1402">
        <v>0</v>
      </c>
      <c r="N1402">
        <v>2400</v>
      </c>
    </row>
    <row r="1403" spans="1:14" x14ac:dyDescent="0.25">
      <c r="A1403">
        <v>1096.0000399999999</v>
      </c>
      <c r="B1403" s="1">
        <f>DATE(2013,5,1) + TIME(0,0,3)</f>
        <v>41395.000034722223</v>
      </c>
      <c r="C1403">
        <v>80</v>
      </c>
      <c r="D1403">
        <v>55.346469878999997</v>
      </c>
      <c r="E1403">
        <v>50</v>
      </c>
      <c r="F1403">
        <v>49.971733092999997</v>
      </c>
      <c r="G1403">
        <v>1072.6400146000001</v>
      </c>
      <c r="H1403">
        <v>897.15649413999995</v>
      </c>
      <c r="I1403">
        <v>1755.8026123</v>
      </c>
      <c r="J1403">
        <v>1564.1038818</v>
      </c>
      <c r="K1403">
        <v>2400</v>
      </c>
      <c r="L1403">
        <v>0</v>
      </c>
      <c r="M1403">
        <v>0</v>
      </c>
      <c r="N1403">
        <v>2400</v>
      </c>
    </row>
    <row r="1404" spans="1:14" x14ac:dyDescent="0.25">
      <c r="A1404">
        <v>1096.000121</v>
      </c>
      <c r="B1404" s="1">
        <f>DATE(2013,5,1) + TIME(0,0,10)</f>
        <v>41395.000115740739</v>
      </c>
      <c r="C1404">
        <v>80</v>
      </c>
      <c r="D1404">
        <v>55.350700377999999</v>
      </c>
      <c r="E1404">
        <v>50</v>
      </c>
      <c r="F1404">
        <v>49.970535278</v>
      </c>
      <c r="G1404">
        <v>1073.4239502</v>
      </c>
      <c r="H1404">
        <v>897.94738770000004</v>
      </c>
      <c r="I1404">
        <v>1755.0111084</v>
      </c>
      <c r="J1404">
        <v>1563.3084716999999</v>
      </c>
      <c r="K1404">
        <v>2400</v>
      </c>
      <c r="L1404">
        <v>0</v>
      </c>
      <c r="M1404">
        <v>0</v>
      </c>
      <c r="N1404">
        <v>2400</v>
      </c>
    </row>
    <row r="1405" spans="1:14" x14ac:dyDescent="0.25">
      <c r="A1405">
        <v>1096.000364</v>
      </c>
      <c r="B1405" s="1">
        <f>DATE(2013,5,1) + TIME(0,0,31)</f>
        <v>41395.000358796293</v>
      </c>
      <c r="C1405">
        <v>80</v>
      </c>
      <c r="D1405">
        <v>55.363372802999997</v>
      </c>
      <c r="E1405">
        <v>50</v>
      </c>
      <c r="F1405">
        <v>49.966987609999997</v>
      </c>
      <c r="G1405">
        <v>1075.7463379000001</v>
      </c>
      <c r="H1405">
        <v>900.30487060999997</v>
      </c>
      <c r="I1405">
        <v>1752.6634521000001</v>
      </c>
      <c r="J1405">
        <v>1560.9490966999999</v>
      </c>
      <c r="K1405">
        <v>2400</v>
      </c>
      <c r="L1405">
        <v>0</v>
      </c>
      <c r="M1405">
        <v>0</v>
      </c>
      <c r="N1405">
        <v>2400</v>
      </c>
    </row>
    <row r="1406" spans="1:14" x14ac:dyDescent="0.25">
      <c r="A1406">
        <v>1096.0010930000001</v>
      </c>
      <c r="B1406" s="1">
        <f>DATE(2013,5,1) + TIME(0,1,34)</f>
        <v>41395.001087962963</v>
      </c>
      <c r="C1406">
        <v>80</v>
      </c>
      <c r="D1406">
        <v>55.401153563999998</v>
      </c>
      <c r="E1406">
        <v>50</v>
      </c>
      <c r="F1406">
        <v>49.956695557000003</v>
      </c>
      <c r="G1406">
        <v>1082.4621582</v>
      </c>
      <c r="H1406">
        <v>907.19970703000001</v>
      </c>
      <c r="I1406">
        <v>1745.8510742000001</v>
      </c>
      <c r="J1406">
        <v>1554.1037598</v>
      </c>
      <c r="K1406">
        <v>2400</v>
      </c>
      <c r="L1406">
        <v>0</v>
      </c>
      <c r="M1406">
        <v>0</v>
      </c>
      <c r="N1406">
        <v>2400</v>
      </c>
    </row>
    <row r="1407" spans="1:14" x14ac:dyDescent="0.25">
      <c r="A1407">
        <v>1096.0032799999999</v>
      </c>
      <c r="B1407" s="1">
        <f>DATE(2013,5,1) + TIME(0,4,43)</f>
        <v>41395.003275462965</v>
      </c>
      <c r="C1407">
        <v>80</v>
      </c>
      <c r="D1407">
        <v>55.510795592999997</v>
      </c>
      <c r="E1407">
        <v>50</v>
      </c>
      <c r="F1407">
        <v>49.928573608000001</v>
      </c>
      <c r="G1407">
        <v>1100.6459961</v>
      </c>
      <c r="H1407">
        <v>926.08148193</v>
      </c>
      <c r="I1407">
        <v>1727.2467041</v>
      </c>
      <c r="J1407">
        <v>1535.4107666</v>
      </c>
      <c r="K1407">
        <v>2400</v>
      </c>
      <c r="L1407">
        <v>0</v>
      </c>
      <c r="M1407">
        <v>0</v>
      </c>
      <c r="N1407">
        <v>2400</v>
      </c>
    </row>
    <row r="1408" spans="1:14" x14ac:dyDescent="0.25">
      <c r="A1408">
        <v>1096.0098410000001</v>
      </c>
      <c r="B1408" s="1">
        <f>DATE(2013,5,1) + TIME(0,14,10)</f>
        <v>41395.009837962964</v>
      </c>
      <c r="C1408">
        <v>80</v>
      </c>
      <c r="D1408">
        <v>55.812721252000003</v>
      </c>
      <c r="E1408">
        <v>50</v>
      </c>
      <c r="F1408">
        <v>49.862209319999998</v>
      </c>
      <c r="G1408">
        <v>1142.7725829999999</v>
      </c>
      <c r="H1408">
        <v>969.83856201000003</v>
      </c>
      <c r="I1408">
        <v>1683.3435059000001</v>
      </c>
      <c r="J1408">
        <v>1491.3023682</v>
      </c>
      <c r="K1408">
        <v>2400</v>
      </c>
      <c r="L1408">
        <v>0</v>
      </c>
      <c r="M1408">
        <v>0</v>
      </c>
      <c r="N1408">
        <v>2400</v>
      </c>
    </row>
    <row r="1409" spans="1:14" x14ac:dyDescent="0.25">
      <c r="A1409">
        <v>1096.029524</v>
      </c>
      <c r="B1409" s="1">
        <f>DATE(2013,5,1) + TIME(0,42,30)</f>
        <v>41395.029513888891</v>
      </c>
      <c r="C1409">
        <v>80</v>
      </c>
      <c r="D1409">
        <v>56.588130950999997</v>
      </c>
      <c r="E1409">
        <v>50</v>
      </c>
      <c r="F1409">
        <v>49.742797852000002</v>
      </c>
      <c r="G1409">
        <v>1216.0424805</v>
      </c>
      <c r="H1409">
        <v>1045.3764647999999</v>
      </c>
      <c r="I1409">
        <v>1604.1722411999999</v>
      </c>
      <c r="J1409">
        <v>1411.7681885</v>
      </c>
      <c r="K1409">
        <v>2400</v>
      </c>
      <c r="L1409">
        <v>0</v>
      </c>
      <c r="M1409">
        <v>0</v>
      </c>
      <c r="N1409">
        <v>2400</v>
      </c>
    </row>
    <row r="1410" spans="1:14" x14ac:dyDescent="0.25">
      <c r="A1410">
        <v>1096.0536480000001</v>
      </c>
      <c r="B1410" s="1">
        <f>DATE(2013,5,1) + TIME(1,17,15)</f>
        <v>41395.05364583333</v>
      </c>
      <c r="C1410">
        <v>80</v>
      </c>
      <c r="D1410">
        <v>57.423870086999997</v>
      </c>
      <c r="E1410">
        <v>50</v>
      </c>
      <c r="F1410">
        <v>49.654159546000002</v>
      </c>
      <c r="G1410">
        <v>1269.1317139</v>
      </c>
      <c r="H1410">
        <v>1100.1525879000001</v>
      </c>
      <c r="I1410">
        <v>1544.5567627</v>
      </c>
      <c r="J1410">
        <v>1351.8863524999999</v>
      </c>
      <c r="K1410">
        <v>2400</v>
      </c>
      <c r="L1410">
        <v>0</v>
      </c>
      <c r="M1410">
        <v>0</v>
      </c>
      <c r="N1410">
        <v>2400</v>
      </c>
    </row>
    <row r="1411" spans="1:14" x14ac:dyDescent="0.25">
      <c r="A1411">
        <v>1096.0802430000001</v>
      </c>
      <c r="B1411" s="1">
        <f>DATE(2013,5,1) + TIME(1,55,33)</f>
        <v>41395.080243055556</v>
      </c>
      <c r="C1411">
        <v>80</v>
      </c>
      <c r="D1411">
        <v>58.265293120999999</v>
      </c>
      <c r="E1411">
        <v>50</v>
      </c>
      <c r="F1411">
        <v>49.591526031000001</v>
      </c>
      <c r="G1411">
        <v>1306.4428711</v>
      </c>
      <c r="H1411">
        <v>1139.0588379000001</v>
      </c>
      <c r="I1411">
        <v>1501.2023925999999</v>
      </c>
      <c r="J1411">
        <v>1308.3461914</v>
      </c>
      <c r="K1411">
        <v>2400</v>
      </c>
      <c r="L1411">
        <v>0</v>
      </c>
      <c r="M1411">
        <v>0</v>
      </c>
      <c r="N1411">
        <v>2400</v>
      </c>
    </row>
    <row r="1412" spans="1:14" x14ac:dyDescent="0.25">
      <c r="A1412">
        <v>1096.108843</v>
      </c>
      <c r="B1412" s="1">
        <f>DATE(2013,5,1) + TIME(2,36,43)</f>
        <v>41395.108831018515</v>
      </c>
      <c r="C1412">
        <v>80</v>
      </c>
      <c r="D1412">
        <v>59.108814240000001</v>
      </c>
      <c r="E1412">
        <v>50</v>
      </c>
      <c r="F1412">
        <v>49.545574188000003</v>
      </c>
      <c r="G1412">
        <v>1334.0737305</v>
      </c>
      <c r="H1412">
        <v>1168.3312988</v>
      </c>
      <c r="I1412">
        <v>1468.1444091999999</v>
      </c>
      <c r="J1412">
        <v>1275.1541748</v>
      </c>
      <c r="K1412">
        <v>2400</v>
      </c>
      <c r="L1412">
        <v>0</v>
      </c>
      <c r="M1412">
        <v>0</v>
      </c>
      <c r="N1412">
        <v>2400</v>
      </c>
    </row>
    <row r="1413" spans="1:14" x14ac:dyDescent="0.25">
      <c r="A1413">
        <v>1096.1390980000001</v>
      </c>
      <c r="B1413" s="1">
        <f>DATE(2013,5,1) + TIME(3,20,18)</f>
        <v>41395.139097222222</v>
      </c>
      <c r="C1413">
        <v>80</v>
      </c>
      <c r="D1413">
        <v>59.949329376000001</v>
      </c>
      <c r="E1413">
        <v>50</v>
      </c>
      <c r="F1413">
        <v>49.510486602999997</v>
      </c>
      <c r="G1413">
        <v>1355.5694579999999</v>
      </c>
      <c r="H1413">
        <v>1191.5035399999999</v>
      </c>
      <c r="I1413">
        <v>1441.7736815999999</v>
      </c>
      <c r="J1413">
        <v>1248.6832274999999</v>
      </c>
      <c r="K1413">
        <v>2400</v>
      </c>
      <c r="L1413">
        <v>0</v>
      </c>
      <c r="M1413">
        <v>0</v>
      </c>
      <c r="N1413">
        <v>2400</v>
      </c>
    </row>
    <row r="1414" spans="1:14" x14ac:dyDescent="0.25">
      <c r="A1414">
        <v>1096.17083</v>
      </c>
      <c r="B1414" s="1">
        <f>DATE(2013,5,1) + TIME(4,5,59)</f>
        <v>41395.17082175926</v>
      </c>
      <c r="C1414">
        <v>80</v>
      </c>
      <c r="D1414">
        <v>60.783317566000001</v>
      </c>
      <c r="E1414">
        <v>50</v>
      </c>
      <c r="F1414">
        <v>49.482700348000002</v>
      </c>
      <c r="G1414">
        <v>1373.0054932</v>
      </c>
      <c r="H1414">
        <v>1210.6231689000001</v>
      </c>
      <c r="I1414">
        <v>1419.9047852000001</v>
      </c>
      <c r="J1414">
        <v>1226.7369385</v>
      </c>
      <c r="K1414">
        <v>2400</v>
      </c>
      <c r="L1414">
        <v>0</v>
      </c>
      <c r="M1414">
        <v>0</v>
      </c>
      <c r="N1414">
        <v>2400</v>
      </c>
    </row>
    <row r="1415" spans="1:14" x14ac:dyDescent="0.25">
      <c r="A1415">
        <v>1096.203937</v>
      </c>
      <c r="B1415" s="1">
        <f>DATE(2013,5,1) + TIME(4,53,40)</f>
        <v>41395.203935185185</v>
      </c>
      <c r="C1415">
        <v>80</v>
      </c>
      <c r="D1415">
        <v>61.608905792000002</v>
      </c>
      <c r="E1415">
        <v>50</v>
      </c>
      <c r="F1415">
        <v>49.460041046000001</v>
      </c>
      <c r="G1415">
        <v>1387.6153564000001</v>
      </c>
      <c r="H1415">
        <v>1226.9018555</v>
      </c>
      <c r="I1415">
        <v>1401.2128906</v>
      </c>
      <c r="J1415">
        <v>1207.9836425999999</v>
      </c>
      <c r="K1415">
        <v>2400</v>
      </c>
      <c r="L1415">
        <v>0</v>
      </c>
      <c r="M1415">
        <v>0</v>
      </c>
      <c r="N1415">
        <v>2400</v>
      </c>
    </row>
    <row r="1416" spans="1:14" x14ac:dyDescent="0.25">
      <c r="A1416">
        <v>1096.238396</v>
      </c>
      <c r="B1416" s="1">
        <f>DATE(2013,5,1) + TIME(5,43,17)</f>
        <v>41395.238391203704</v>
      </c>
      <c r="C1416">
        <v>80</v>
      </c>
      <c r="D1416">
        <v>62.424953461000001</v>
      </c>
      <c r="E1416">
        <v>50</v>
      </c>
      <c r="F1416">
        <v>49.441108704000001</v>
      </c>
      <c r="G1416">
        <v>1400.1774902</v>
      </c>
      <c r="H1416">
        <v>1241.1053466999999</v>
      </c>
      <c r="I1416">
        <v>1384.8498535000001</v>
      </c>
      <c r="J1416">
        <v>1191.5710449000001</v>
      </c>
      <c r="K1416">
        <v>2400</v>
      </c>
      <c r="L1416">
        <v>0</v>
      </c>
      <c r="M1416">
        <v>0</v>
      </c>
      <c r="N1416">
        <v>2400</v>
      </c>
    </row>
    <row r="1417" spans="1:14" x14ac:dyDescent="0.25">
      <c r="A1417">
        <v>1096.2742249999999</v>
      </c>
      <c r="B1417" s="1">
        <f>DATE(2013,5,1) + TIME(6,34,53)</f>
        <v>41395.274224537039</v>
      </c>
      <c r="C1417">
        <v>80</v>
      </c>
      <c r="D1417">
        <v>63.230739593999999</v>
      </c>
      <c r="E1417">
        <v>50</v>
      </c>
      <c r="F1417">
        <v>49.424972533999998</v>
      </c>
      <c r="G1417">
        <v>1411.2052002</v>
      </c>
      <c r="H1417">
        <v>1253.7398682</v>
      </c>
      <c r="I1417">
        <v>1370.2529297000001</v>
      </c>
      <c r="J1417">
        <v>1176.9334716999999</v>
      </c>
      <c r="K1417">
        <v>2400</v>
      </c>
      <c r="L1417">
        <v>0</v>
      </c>
      <c r="M1417">
        <v>0</v>
      </c>
      <c r="N1417">
        <v>2400</v>
      </c>
    </row>
    <row r="1418" spans="1:14" x14ac:dyDescent="0.25">
      <c r="A1418">
        <v>1096.311471</v>
      </c>
      <c r="B1418" s="1">
        <f>DATE(2013,5,1) + TIME(7,28,31)</f>
        <v>41395.311469907407</v>
      </c>
      <c r="C1418">
        <v>80</v>
      </c>
      <c r="D1418">
        <v>64.025779724000003</v>
      </c>
      <c r="E1418">
        <v>50</v>
      </c>
      <c r="F1418">
        <v>49.410995483000001</v>
      </c>
      <c r="G1418">
        <v>1421.0526123</v>
      </c>
      <c r="H1418">
        <v>1265.1556396000001</v>
      </c>
      <c r="I1418">
        <v>1357.0325928</v>
      </c>
      <c r="J1418">
        <v>1163.6794434000001</v>
      </c>
      <c r="K1418">
        <v>2400</v>
      </c>
      <c r="L1418">
        <v>0</v>
      </c>
      <c r="M1418">
        <v>0</v>
      </c>
      <c r="N1418">
        <v>2400</v>
      </c>
    </row>
    <row r="1419" spans="1:14" x14ac:dyDescent="0.25">
      <c r="A1419">
        <v>1096.350199</v>
      </c>
      <c r="B1419" s="1">
        <f>DATE(2013,5,1) + TIME(8,24,17)</f>
        <v>41395.35019675926</v>
      </c>
      <c r="C1419">
        <v>80</v>
      </c>
      <c r="D1419">
        <v>64.809638977000006</v>
      </c>
      <c r="E1419">
        <v>50</v>
      </c>
      <c r="F1419">
        <v>49.398704529</v>
      </c>
      <c r="G1419">
        <v>1429.9729004000001</v>
      </c>
      <c r="H1419">
        <v>1275.6042480000001</v>
      </c>
      <c r="I1419">
        <v>1344.9097899999999</v>
      </c>
      <c r="J1419">
        <v>1151.5284423999999</v>
      </c>
      <c r="K1419">
        <v>2400</v>
      </c>
      <c r="L1419">
        <v>0</v>
      </c>
      <c r="M1419">
        <v>0</v>
      </c>
      <c r="N1419">
        <v>2400</v>
      </c>
    </row>
    <row r="1420" spans="1:14" x14ac:dyDescent="0.25">
      <c r="A1420">
        <v>1096.390494</v>
      </c>
      <c r="B1420" s="1">
        <f>DATE(2013,5,1) + TIME(9,22,18)</f>
        <v>41395.390486111108</v>
      </c>
      <c r="C1420">
        <v>80</v>
      </c>
      <c r="D1420">
        <v>65.582061768000003</v>
      </c>
      <c r="E1420">
        <v>50</v>
      </c>
      <c r="F1420">
        <v>49.387752532999997</v>
      </c>
      <c r="G1420">
        <v>1438.1538086</v>
      </c>
      <c r="H1420">
        <v>1285.2720947</v>
      </c>
      <c r="I1420">
        <v>1333.6776123</v>
      </c>
      <c r="J1420">
        <v>1140.2725829999999</v>
      </c>
      <c r="K1420">
        <v>2400</v>
      </c>
      <c r="L1420">
        <v>0</v>
      </c>
      <c r="M1420">
        <v>0</v>
      </c>
      <c r="N1420">
        <v>2400</v>
      </c>
    </row>
    <row r="1421" spans="1:14" x14ac:dyDescent="0.25">
      <c r="A1421">
        <v>1096.4324610000001</v>
      </c>
      <c r="B1421" s="1">
        <f>DATE(2013,5,1) + TIME(10,22,44)</f>
        <v>41395.432453703703</v>
      </c>
      <c r="C1421">
        <v>80</v>
      </c>
      <c r="D1421">
        <v>66.342750549000002</v>
      </c>
      <c r="E1421">
        <v>50</v>
      </c>
      <c r="F1421">
        <v>49.377876282000003</v>
      </c>
      <c r="G1421">
        <v>1445.7397461</v>
      </c>
      <c r="H1421">
        <v>1294.3038329999999</v>
      </c>
      <c r="I1421">
        <v>1323.1760254000001</v>
      </c>
      <c r="J1421">
        <v>1129.7508545000001</v>
      </c>
      <c r="K1421">
        <v>2400</v>
      </c>
      <c r="L1421">
        <v>0</v>
      </c>
      <c r="M1421">
        <v>0</v>
      </c>
      <c r="N1421">
        <v>2400</v>
      </c>
    </row>
    <row r="1422" spans="1:14" x14ac:dyDescent="0.25">
      <c r="A1422">
        <v>1096.4762310000001</v>
      </c>
      <c r="B1422" s="1">
        <f>DATE(2013,5,1) + TIME(11,25,46)</f>
        <v>41395.476226851853</v>
      </c>
      <c r="C1422">
        <v>80</v>
      </c>
      <c r="D1422">
        <v>67.091445922999995</v>
      </c>
      <c r="E1422">
        <v>50</v>
      </c>
      <c r="F1422">
        <v>49.368858336999999</v>
      </c>
      <c r="G1422">
        <v>1452.84375</v>
      </c>
      <c r="H1422">
        <v>1302.8129882999999</v>
      </c>
      <c r="I1422">
        <v>1313.2794189000001</v>
      </c>
      <c r="J1422">
        <v>1119.8371582</v>
      </c>
      <c r="K1422">
        <v>2400</v>
      </c>
      <c r="L1422">
        <v>0</v>
      </c>
      <c r="M1422">
        <v>0</v>
      </c>
      <c r="N1422">
        <v>2400</v>
      </c>
    </row>
    <row r="1423" spans="1:14" x14ac:dyDescent="0.25">
      <c r="A1423">
        <v>1096.5219500000001</v>
      </c>
      <c r="B1423" s="1">
        <f>DATE(2013,5,1) + TIME(12,31,36)</f>
        <v>41395.521944444445</v>
      </c>
      <c r="C1423">
        <v>80</v>
      </c>
      <c r="D1423">
        <v>67.827949524000005</v>
      </c>
      <c r="E1423">
        <v>50</v>
      </c>
      <c r="F1423">
        <v>49.360527038999997</v>
      </c>
      <c r="G1423">
        <v>1459.5567627</v>
      </c>
      <c r="H1423">
        <v>1310.8909911999999</v>
      </c>
      <c r="I1423">
        <v>1303.8869629000001</v>
      </c>
      <c r="J1423">
        <v>1110.4301757999999</v>
      </c>
      <c r="K1423">
        <v>2400</v>
      </c>
      <c r="L1423">
        <v>0</v>
      </c>
      <c r="M1423">
        <v>0</v>
      </c>
      <c r="N1423">
        <v>2400</v>
      </c>
    </row>
    <row r="1424" spans="1:14" x14ac:dyDescent="0.25">
      <c r="A1424">
        <v>1096.569812</v>
      </c>
      <c r="B1424" s="1">
        <f>DATE(2013,5,1) + TIME(13,40,31)</f>
        <v>41395.569803240738</v>
      </c>
      <c r="C1424">
        <v>80</v>
      </c>
      <c r="D1424">
        <v>68.552314757999994</v>
      </c>
      <c r="E1424">
        <v>50</v>
      </c>
      <c r="F1424">
        <v>49.352733612000002</v>
      </c>
      <c r="G1424">
        <v>1465.9555664</v>
      </c>
      <c r="H1424">
        <v>1318.6160889</v>
      </c>
      <c r="I1424">
        <v>1294.9123535000001</v>
      </c>
      <c r="J1424">
        <v>1101.4429932</v>
      </c>
      <c r="K1424">
        <v>2400</v>
      </c>
      <c r="L1424">
        <v>0</v>
      </c>
      <c r="M1424">
        <v>0</v>
      </c>
      <c r="N1424">
        <v>2400</v>
      </c>
    </row>
    <row r="1425" spans="1:14" x14ac:dyDescent="0.25">
      <c r="A1425">
        <v>1096.620021</v>
      </c>
      <c r="B1425" s="1">
        <f>DATE(2013,5,1) + TIME(14,52,49)</f>
        <v>41395.620011574072</v>
      </c>
      <c r="C1425">
        <v>80</v>
      </c>
      <c r="D1425">
        <v>69.264305114999999</v>
      </c>
      <c r="E1425">
        <v>50</v>
      </c>
      <c r="F1425">
        <v>49.345355988000001</v>
      </c>
      <c r="G1425">
        <v>1472.1022949000001</v>
      </c>
      <c r="H1425">
        <v>1326.0513916</v>
      </c>
      <c r="I1425">
        <v>1286.2862548999999</v>
      </c>
      <c r="J1425">
        <v>1092.8062743999999</v>
      </c>
      <c r="K1425">
        <v>2400</v>
      </c>
      <c r="L1425">
        <v>0</v>
      </c>
      <c r="M1425">
        <v>0</v>
      </c>
      <c r="N1425">
        <v>2400</v>
      </c>
    </row>
    <row r="1426" spans="1:14" x14ac:dyDescent="0.25">
      <c r="A1426">
        <v>1096.6727969999999</v>
      </c>
      <c r="B1426" s="1">
        <f>DATE(2013,5,1) + TIME(16,8,49)</f>
        <v>41395.672789351855</v>
      </c>
      <c r="C1426">
        <v>80</v>
      </c>
      <c r="D1426">
        <v>69.963409424000005</v>
      </c>
      <c r="E1426">
        <v>50</v>
      </c>
      <c r="F1426">
        <v>49.338287354000002</v>
      </c>
      <c r="G1426">
        <v>1478.0487060999999</v>
      </c>
      <c r="H1426">
        <v>1333.2489014</v>
      </c>
      <c r="I1426">
        <v>1277.9521483999999</v>
      </c>
      <c r="J1426">
        <v>1084.4627685999999</v>
      </c>
      <c r="K1426">
        <v>2400</v>
      </c>
      <c r="L1426">
        <v>0</v>
      </c>
      <c r="M1426">
        <v>0</v>
      </c>
      <c r="N1426">
        <v>2400</v>
      </c>
    </row>
    <row r="1427" spans="1:14" x14ac:dyDescent="0.25">
      <c r="A1427">
        <v>1096.728417</v>
      </c>
      <c r="B1427" s="1">
        <f>DATE(2013,5,1) + TIME(17,28,55)</f>
        <v>41395.728414351855</v>
      </c>
      <c r="C1427">
        <v>80</v>
      </c>
      <c r="D1427">
        <v>70.648918151999993</v>
      </c>
      <c r="E1427">
        <v>50</v>
      </c>
      <c r="F1427">
        <v>49.331428528000004</v>
      </c>
      <c r="G1427">
        <v>1483.8421631000001</v>
      </c>
      <c r="H1427">
        <v>1340.2569579999999</v>
      </c>
      <c r="I1427">
        <v>1269.8571777</v>
      </c>
      <c r="J1427">
        <v>1076.3597411999999</v>
      </c>
      <c r="K1427">
        <v>2400</v>
      </c>
      <c r="L1427">
        <v>0</v>
      </c>
      <c r="M1427">
        <v>0</v>
      </c>
      <c r="N1427">
        <v>2400</v>
      </c>
    </row>
    <row r="1428" spans="1:14" x14ac:dyDescent="0.25">
      <c r="A1428">
        <v>1096.787206</v>
      </c>
      <c r="B1428" s="1">
        <f>DATE(2013,5,1) + TIME(18,53,34)</f>
        <v>41395.787199074075</v>
      </c>
      <c r="C1428">
        <v>80</v>
      </c>
      <c r="D1428">
        <v>71.320922851999995</v>
      </c>
      <c r="E1428">
        <v>50</v>
      </c>
      <c r="F1428">
        <v>49.324695587000001</v>
      </c>
      <c r="G1428">
        <v>1489.5255127</v>
      </c>
      <c r="H1428">
        <v>1347.1193848</v>
      </c>
      <c r="I1428">
        <v>1261.9541016000001</v>
      </c>
      <c r="J1428">
        <v>1068.4495850000001</v>
      </c>
      <c r="K1428">
        <v>2400</v>
      </c>
      <c r="L1428">
        <v>0</v>
      </c>
      <c r="M1428">
        <v>0</v>
      </c>
      <c r="N1428">
        <v>2400</v>
      </c>
    </row>
    <row r="1429" spans="1:14" x14ac:dyDescent="0.25">
      <c r="A1429">
        <v>1096.8495459999999</v>
      </c>
      <c r="B1429" s="1">
        <f>DATE(2013,5,1) + TIME(20,23,20)</f>
        <v>41395.849537037036</v>
      </c>
      <c r="C1429">
        <v>80</v>
      </c>
      <c r="D1429">
        <v>71.979057311999995</v>
      </c>
      <c r="E1429">
        <v>50</v>
      </c>
      <c r="F1429">
        <v>49.317993164000001</v>
      </c>
      <c r="G1429">
        <v>1495.1381836</v>
      </c>
      <c r="H1429">
        <v>1353.8762207</v>
      </c>
      <c r="I1429">
        <v>1254.1998291</v>
      </c>
      <c r="J1429">
        <v>1060.6889647999999</v>
      </c>
      <c r="K1429">
        <v>2400</v>
      </c>
      <c r="L1429">
        <v>0</v>
      </c>
      <c r="M1429">
        <v>0</v>
      </c>
      <c r="N1429">
        <v>2400</v>
      </c>
    </row>
    <row r="1430" spans="1:14" x14ac:dyDescent="0.25">
      <c r="A1430">
        <v>1096.9158910000001</v>
      </c>
      <c r="B1430" s="1">
        <f>DATE(2013,5,1) + TIME(21,58,53)</f>
        <v>41395.915891203702</v>
      </c>
      <c r="C1430">
        <v>80</v>
      </c>
      <c r="D1430">
        <v>72.622879028</v>
      </c>
      <c r="E1430">
        <v>50</v>
      </c>
      <c r="F1430">
        <v>49.311237335000001</v>
      </c>
      <c r="G1430">
        <v>1500.7177733999999</v>
      </c>
      <c r="H1430">
        <v>1360.5656738</v>
      </c>
      <c r="I1430">
        <v>1246.5534668</v>
      </c>
      <c r="J1430">
        <v>1053.0369873</v>
      </c>
      <c r="K1430">
        <v>2400</v>
      </c>
      <c r="L1430">
        <v>0</v>
      </c>
      <c r="M1430">
        <v>0</v>
      </c>
      <c r="N1430">
        <v>2400</v>
      </c>
    </row>
    <row r="1431" spans="1:14" x14ac:dyDescent="0.25">
      <c r="A1431">
        <v>1096.986811</v>
      </c>
      <c r="B1431" s="1">
        <f>DATE(2013,5,1) + TIME(23,41,0)</f>
        <v>41395.986805555556</v>
      </c>
      <c r="C1431">
        <v>80</v>
      </c>
      <c r="D1431">
        <v>73.252029418999996</v>
      </c>
      <c r="E1431">
        <v>50</v>
      </c>
      <c r="F1431">
        <v>49.304344176999997</v>
      </c>
      <c r="G1431">
        <v>1506.3031006000001</v>
      </c>
      <c r="H1431">
        <v>1367.2276611</v>
      </c>
      <c r="I1431">
        <v>1238.9730225000001</v>
      </c>
      <c r="J1431">
        <v>1045.4511719</v>
      </c>
      <c r="K1431">
        <v>2400</v>
      </c>
      <c r="L1431">
        <v>0</v>
      </c>
      <c r="M1431">
        <v>0</v>
      </c>
      <c r="N1431">
        <v>2400</v>
      </c>
    </row>
    <row r="1432" spans="1:14" x14ac:dyDescent="0.25">
      <c r="A1432">
        <v>1097.0629879999999</v>
      </c>
      <c r="B1432" s="1">
        <f>DATE(2013,5,2) + TIME(1,30,42)</f>
        <v>41396.062986111108</v>
      </c>
      <c r="C1432">
        <v>80</v>
      </c>
      <c r="D1432">
        <v>73.866012573000006</v>
      </c>
      <c r="E1432">
        <v>50</v>
      </c>
      <c r="F1432">
        <v>49.297218323000003</v>
      </c>
      <c r="G1432">
        <v>1511.9333495999999</v>
      </c>
      <c r="H1432">
        <v>1373.9016113</v>
      </c>
      <c r="I1432">
        <v>1231.4169922000001</v>
      </c>
      <c r="J1432">
        <v>1037.8901367000001</v>
      </c>
      <c r="K1432">
        <v>2400</v>
      </c>
      <c r="L1432">
        <v>0</v>
      </c>
      <c r="M1432">
        <v>0</v>
      </c>
      <c r="N1432">
        <v>2400</v>
      </c>
    </row>
    <row r="1433" spans="1:14" x14ac:dyDescent="0.25">
      <c r="A1433">
        <v>1097.1452690000001</v>
      </c>
      <c r="B1433" s="1">
        <f>DATE(2013,5,2) + TIME(3,29,11)</f>
        <v>41396.145266203705</v>
      </c>
      <c r="C1433">
        <v>80</v>
      </c>
      <c r="D1433">
        <v>74.464202881000006</v>
      </c>
      <c r="E1433">
        <v>50</v>
      </c>
      <c r="F1433">
        <v>49.289756775000001</v>
      </c>
      <c r="G1433">
        <v>1517.6500243999999</v>
      </c>
      <c r="H1433">
        <v>1380.6296387</v>
      </c>
      <c r="I1433">
        <v>1223.8420410000001</v>
      </c>
      <c r="J1433">
        <v>1030.3103027</v>
      </c>
      <c r="K1433">
        <v>2400</v>
      </c>
      <c r="L1433">
        <v>0</v>
      </c>
      <c r="M1433">
        <v>0</v>
      </c>
      <c r="N1433">
        <v>2400</v>
      </c>
    </row>
    <row r="1434" spans="1:14" x14ac:dyDescent="0.25">
      <c r="A1434">
        <v>1097.2347159999999</v>
      </c>
      <c r="B1434" s="1">
        <f>DATE(2013,5,2) + TIME(5,37,59)</f>
        <v>41396.234710648147</v>
      </c>
      <c r="C1434">
        <v>80</v>
      </c>
      <c r="D1434">
        <v>75.045852660999998</v>
      </c>
      <c r="E1434">
        <v>50</v>
      </c>
      <c r="F1434">
        <v>49.281845093000001</v>
      </c>
      <c r="G1434">
        <v>1523.4991454999999</v>
      </c>
      <c r="H1434">
        <v>1387.4578856999999</v>
      </c>
      <c r="I1434">
        <v>1216.2008057</v>
      </c>
      <c r="J1434">
        <v>1022.6639404</v>
      </c>
      <c r="K1434">
        <v>2400</v>
      </c>
      <c r="L1434">
        <v>0</v>
      </c>
      <c r="M1434">
        <v>0</v>
      </c>
      <c r="N1434">
        <v>2400</v>
      </c>
    </row>
    <row r="1435" spans="1:14" x14ac:dyDescent="0.25">
      <c r="A1435">
        <v>1097.3327589999999</v>
      </c>
      <c r="B1435" s="1">
        <f>DATE(2013,5,2) + TIME(7,59,10)</f>
        <v>41396.332754629628</v>
      </c>
      <c r="C1435">
        <v>80</v>
      </c>
      <c r="D1435">
        <v>75.610076903999996</v>
      </c>
      <c r="E1435">
        <v>50</v>
      </c>
      <c r="F1435">
        <v>49.273345947000003</v>
      </c>
      <c r="G1435">
        <v>1529.5372314000001</v>
      </c>
      <c r="H1435">
        <v>1394.4438477000001</v>
      </c>
      <c r="I1435">
        <v>1208.4345702999999</v>
      </c>
      <c r="J1435">
        <v>1014.892334</v>
      </c>
      <c r="K1435">
        <v>2400</v>
      </c>
      <c r="L1435">
        <v>0</v>
      </c>
      <c r="M1435">
        <v>0</v>
      </c>
      <c r="N1435">
        <v>2400</v>
      </c>
    </row>
    <row r="1436" spans="1:14" x14ac:dyDescent="0.25">
      <c r="A1436">
        <v>1097.441133</v>
      </c>
      <c r="B1436" s="1">
        <f>DATE(2013,5,2) + TIME(10,35,13)</f>
        <v>41396.441122685188</v>
      </c>
      <c r="C1436">
        <v>80</v>
      </c>
      <c r="D1436">
        <v>76.155860900999997</v>
      </c>
      <c r="E1436">
        <v>50</v>
      </c>
      <c r="F1436">
        <v>49.264095306000002</v>
      </c>
      <c r="G1436">
        <v>1535.8234863</v>
      </c>
      <c r="H1436">
        <v>1401.6459961</v>
      </c>
      <c r="I1436">
        <v>1200.4844971</v>
      </c>
      <c r="J1436">
        <v>1006.9364014</v>
      </c>
      <c r="K1436">
        <v>2400</v>
      </c>
      <c r="L1436">
        <v>0</v>
      </c>
      <c r="M1436">
        <v>0</v>
      </c>
      <c r="N1436">
        <v>2400</v>
      </c>
    </row>
    <row r="1437" spans="1:14" x14ac:dyDescent="0.25">
      <c r="A1437">
        <v>1097.5622049999999</v>
      </c>
      <c r="B1437" s="1">
        <f>DATE(2013,5,2) + TIME(13,29,34)</f>
        <v>41396.562199074076</v>
      </c>
      <c r="C1437">
        <v>80</v>
      </c>
      <c r="D1437">
        <v>76.681823730000005</v>
      </c>
      <c r="E1437">
        <v>50</v>
      </c>
      <c r="F1437">
        <v>49.253898620999998</v>
      </c>
      <c r="G1437">
        <v>1542.4338379000001</v>
      </c>
      <c r="H1437">
        <v>1409.1400146000001</v>
      </c>
      <c r="I1437">
        <v>1192.2746582</v>
      </c>
      <c r="J1437">
        <v>998.72003173999997</v>
      </c>
      <c r="K1437">
        <v>2400</v>
      </c>
      <c r="L1437">
        <v>0</v>
      </c>
      <c r="M1437">
        <v>0</v>
      </c>
      <c r="N1437">
        <v>2400</v>
      </c>
    </row>
    <row r="1438" spans="1:14" x14ac:dyDescent="0.25">
      <c r="A1438">
        <v>1097.6845510000001</v>
      </c>
      <c r="B1438" s="1">
        <f>DATE(2013,5,2) + TIME(16,25,45)</f>
        <v>41396.684548611112</v>
      </c>
      <c r="C1438">
        <v>80</v>
      </c>
      <c r="D1438">
        <v>77.139595032000003</v>
      </c>
      <c r="E1438">
        <v>50</v>
      </c>
      <c r="F1438">
        <v>49.243461609000001</v>
      </c>
      <c r="G1438">
        <v>1548.7283935999999</v>
      </c>
      <c r="H1438">
        <v>1416.2032471</v>
      </c>
      <c r="I1438">
        <v>1184.5643310999999</v>
      </c>
      <c r="J1438">
        <v>991.00262451000003</v>
      </c>
      <c r="K1438">
        <v>2400</v>
      </c>
      <c r="L1438">
        <v>0</v>
      </c>
      <c r="M1438">
        <v>0</v>
      </c>
      <c r="N1438">
        <v>2400</v>
      </c>
    </row>
    <row r="1439" spans="1:14" x14ac:dyDescent="0.25">
      <c r="A1439">
        <v>1097.8076820000001</v>
      </c>
      <c r="B1439" s="1">
        <f>DATE(2013,5,2) + TIME(19,23,3)</f>
        <v>41396.807673611111</v>
      </c>
      <c r="C1439">
        <v>80</v>
      </c>
      <c r="D1439">
        <v>77.536132812000005</v>
      </c>
      <c r="E1439">
        <v>50</v>
      </c>
      <c r="F1439">
        <v>49.232830047999997</v>
      </c>
      <c r="G1439">
        <v>1554.7264404</v>
      </c>
      <c r="H1439">
        <v>1422.8714600000001</v>
      </c>
      <c r="I1439">
        <v>1177.3187256000001</v>
      </c>
      <c r="J1439">
        <v>983.74957274999997</v>
      </c>
      <c r="K1439">
        <v>2400</v>
      </c>
      <c r="L1439">
        <v>0</v>
      </c>
      <c r="M1439">
        <v>0</v>
      </c>
      <c r="N1439">
        <v>2400</v>
      </c>
    </row>
    <row r="1440" spans="1:14" x14ac:dyDescent="0.25">
      <c r="A1440">
        <v>1097.9322320000001</v>
      </c>
      <c r="B1440" s="1">
        <f>DATE(2013,5,2) + TIME(22,22,24)</f>
        <v>41396.932222222225</v>
      </c>
      <c r="C1440">
        <v>80</v>
      </c>
      <c r="D1440">
        <v>77.880882263000004</v>
      </c>
      <c r="E1440">
        <v>50</v>
      </c>
      <c r="F1440">
        <v>49.221981049</v>
      </c>
      <c r="G1440">
        <v>1560.4945068</v>
      </c>
      <c r="H1440">
        <v>1429.2265625</v>
      </c>
      <c r="I1440">
        <v>1170.4493408000001</v>
      </c>
      <c r="J1440">
        <v>976.87207031000003</v>
      </c>
      <c r="K1440">
        <v>2400</v>
      </c>
      <c r="L1440">
        <v>0</v>
      </c>
      <c r="M1440">
        <v>0</v>
      </c>
      <c r="N1440">
        <v>2400</v>
      </c>
    </row>
    <row r="1441" spans="1:14" x14ac:dyDescent="0.25">
      <c r="A1441">
        <v>1098.058745</v>
      </c>
      <c r="B1441" s="1">
        <f>DATE(2013,5,3) + TIME(1,24,35)</f>
        <v>41397.058738425927</v>
      </c>
      <c r="C1441">
        <v>80</v>
      </c>
      <c r="D1441">
        <v>78.181251525999997</v>
      </c>
      <c r="E1441">
        <v>50</v>
      </c>
      <c r="F1441">
        <v>49.210884094000001</v>
      </c>
      <c r="G1441">
        <v>1566.0793457</v>
      </c>
      <c r="H1441">
        <v>1435.3280029</v>
      </c>
      <c r="I1441">
        <v>1163.8881836</v>
      </c>
      <c r="J1441">
        <v>970.30224609000004</v>
      </c>
      <c r="K1441">
        <v>2400</v>
      </c>
      <c r="L1441">
        <v>0</v>
      </c>
      <c r="M1441">
        <v>0</v>
      </c>
      <c r="N1441">
        <v>2400</v>
      </c>
    </row>
    <row r="1442" spans="1:14" x14ac:dyDescent="0.25">
      <c r="A1442">
        <v>1098.1877569999999</v>
      </c>
      <c r="B1442" s="1">
        <f>DATE(2013,5,3) + TIME(4,30,22)</f>
        <v>41397.187754629631</v>
      </c>
      <c r="C1442">
        <v>80</v>
      </c>
      <c r="D1442">
        <v>78.443290709999999</v>
      </c>
      <c r="E1442">
        <v>50</v>
      </c>
      <c r="F1442">
        <v>49.199520110999998</v>
      </c>
      <c r="G1442">
        <v>1571.5181885</v>
      </c>
      <c r="H1442">
        <v>1441.2227783000001</v>
      </c>
      <c r="I1442">
        <v>1157.5798339999999</v>
      </c>
      <c r="J1442">
        <v>963.98480225000003</v>
      </c>
      <c r="K1442">
        <v>2400</v>
      </c>
      <c r="L1442">
        <v>0</v>
      </c>
      <c r="M1442">
        <v>0</v>
      </c>
      <c r="N1442">
        <v>2400</v>
      </c>
    </row>
    <row r="1443" spans="1:14" x14ac:dyDescent="0.25">
      <c r="A1443">
        <v>1098.3198130000001</v>
      </c>
      <c r="B1443" s="1">
        <f>DATE(2013,5,3) + TIME(7,40,31)</f>
        <v>41397.319803240738</v>
      </c>
      <c r="C1443">
        <v>80</v>
      </c>
      <c r="D1443">
        <v>78.671981811999999</v>
      </c>
      <c r="E1443">
        <v>50</v>
      </c>
      <c r="F1443">
        <v>49.187862396</v>
      </c>
      <c r="G1443">
        <v>1576.8419189000001</v>
      </c>
      <c r="H1443">
        <v>1446.9499512</v>
      </c>
      <c r="I1443">
        <v>1151.4785156</v>
      </c>
      <c r="J1443">
        <v>957.87390137</v>
      </c>
      <c r="K1443">
        <v>2400</v>
      </c>
      <c r="L1443">
        <v>0</v>
      </c>
      <c r="M1443">
        <v>0</v>
      </c>
      <c r="N1443">
        <v>2400</v>
      </c>
    </row>
    <row r="1444" spans="1:14" x14ac:dyDescent="0.25">
      <c r="A1444">
        <v>1098.4554780000001</v>
      </c>
      <c r="B1444" s="1">
        <f>DATE(2013,5,3) + TIME(10,55,53)</f>
        <v>41397.455474537041</v>
      </c>
      <c r="C1444">
        <v>80</v>
      </c>
      <c r="D1444">
        <v>78.871528624999996</v>
      </c>
      <c r="E1444">
        <v>50</v>
      </c>
      <c r="F1444">
        <v>49.175884246999999</v>
      </c>
      <c r="G1444">
        <v>1582.0765381000001</v>
      </c>
      <c r="H1444">
        <v>1452.5422363</v>
      </c>
      <c r="I1444">
        <v>1145.5454102000001</v>
      </c>
      <c r="J1444">
        <v>951.93066406000003</v>
      </c>
      <c r="K1444">
        <v>2400</v>
      </c>
      <c r="L1444">
        <v>0</v>
      </c>
      <c r="M1444">
        <v>0</v>
      </c>
      <c r="N1444">
        <v>2400</v>
      </c>
    </row>
    <row r="1445" spans="1:14" x14ac:dyDescent="0.25">
      <c r="A1445">
        <v>1098.5954389999999</v>
      </c>
      <c r="B1445" s="1">
        <f>DATE(2013,5,3) + TIME(14,17,25)</f>
        <v>41397.59542824074</v>
      </c>
      <c r="C1445">
        <v>80</v>
      </c>
      <c r="D1445">
        <v>79.045555114999999</v>
      </c>
      <c r="E1445">
        <v>50</v>
      </c>
      <c r="F1445">
        <v>49.163543701000002</v>
      </c>
      <c r="G1445">
        <v>1587.2480469</v>
      </c>
      <c r="H1445">
        <v>1458.0313721</v>
      </c>
      <c r="I1445">
        <v>1139.7434082</v>
      </c>
      <c r="J1445">
        <v>946.11798095999995</v>
      </c>
      <c r="K1445">
        <v>2400</v>
      </c>
      <c r="L1445">
        <v>0</v>
      </c>
      <c r="M1445">
        <v>0</v>
      </c>
      <c r="N1445">
        <v>2400</v>
      </c>
    </row>
    <row r="1446" spans="1:14" x14ac:dyDescent="0.25">
      <c r="A1446">
        <v>1098.7400130000001</v>
      </c>
      <c r="B1446" s="1">
        <f>DATE(2013,5,3) + TIME(17,45,37)</f>
        <v>41397.740011574075</v>
      </c>
      <c r="C1446">
        <v>80</v>
      </c>
      <c r="D1446">
        <v>79.196754455999994</v>
      </c>
      <c r="E1446">
        <v>50</v>
      </c>
      <c r="F1446">
        <v>49.150836945000002</v>
      </c>
      <c r="G1446">
        <v>1592.3645019999999</v>
      </c>
      <c r="H1446">
        <v>1463.4296875</v>
      </c>
      <c r="I1446">
        <v>1134.0556641000001</v>
      </c>
      <c r="J1446">
        <v>940.41918944999998</v>
      </c>
      <c r="K1446">
        <v>2400</v>
      </c>
      <c r="L1446">
        <v>0</v>
      </c>
      <c r="M1446">
        <v>0</v>
      </c>
      <c r="N1446">
        <v>2400</v>
      </c>
    </row>
    <row r="1447" spans="1:14" x14ac:dyDescent="0.25">
      <c r="A1447">
        <v>1098.8895239999999</v>
      </c>
      <c r="B1447" s="1">
        <f>DATE(2013,5,3) + TIME(21,20,54)</f>
        <v>41397.889513888891</v>
      </c>
      <c r="C1447">
        <v>80</v>
      </c>
      <c r="D1447">
        <v>79.327568053999997</v>
      </c>
      <c r="E1447">
        <v>50</v>
      </c>
      <c r="F1447">
        <v>49.137748717999997</v>
      </c>
      <c r="G1447">
        <v>1597.4326172000001</v>
      </c>
      <c r="H1447">
        <v>1468.7474365</v>
      </c>
      <c r="I1447">
        <v>1128.4678954999999</v>
      </c>
      <c r="J1447">
        <v>934.81994628999996</v>
      </c>
      <c r="K1447">
        <v>2400</v>
      </c>
      <c r="L1447">
        <v>0</v>
      </c>
      <c r="M1447">
        <v>0</v>
      </c>
      <c r="N1447">
        <v>2400</v>
      </c>
    </row>
    <row r="1448" spans="1:14" x14ac:dyDescent="0.25">
      <c r="A1448">
        <v>1099.04466</v>
      </c>
      <c r="B1448" s="1">
        <f>DATE(2013,5,4) + TIME(1,4,18)</f>
        <v>41398.044652777775</v>
      </c>
      <c r="C1448">
        <v>80</v>
      </c>
      <c r="D1448">
        <v>79.440406799000002</v>
      </c>
      <c r="E1448">
        <v>50</v>
      </c>
      <c r="F1448">
        <v>49.124244689999998</v>
      </c>
      <c r="G1448">
        <v>1602.4694824000001</v>
      </c>
      <c r="H1448">
        <v>1474.0056152</v>
      </c>
      <c r="I1448">
        <v>1122.9559326000001</v>
      </c>
      <c r="J1448">
        <v>929.29608154000005</v>
      </c>
      <c r="K1448">
        <v>2400</v>
      </c>
      <c r="L1448">
        <v>0</v>
      </c>
      <c r="M1448">
        <v>0</v>
      </c>
      <c r="N1448">
        <v>2400</v>
      </c>
    </row>
    <row r="1449" spans="1:14" x14ac:dyDescent="0.25">
      <c r="A1449">
        <v>1099.2061269999999</v>
      </c>
      <c r="B1449" s="1">
        <f>DATE(2013,5,4) + TIME(4,56,49)</f>
        <v>41398.206122685187</v>
      </c>
      <c r="C1449">
        <v>80</v>
      </c>
      <c r="D1449">
        <v>79.537376404</v>
      </c>
      <c r="E1449">
        <v>50</v>
      </c>
      <c r="F1449">
        <v>49.110282898000001</v>
      </c>
      <c r="G1449">
        <v>1607.4888916</v>
      </c>
      <c r="H1449">
        <v>1479.2211914</v>
      </c>
      <c r="I1449">
        <v>1117.4993896000001</v>
      </c>
      <c r="J1449">
        <v>923.82714843999997</v>
      </c>
      <c r="K1449">
        <v>2400</v>
      </c>
      <c r="L1449">
        <v>0</v>
      </c>
      <c r="M1449">
        <v>0</v>
      </c>
      <c r="N1449">
        <v>2400</v>
      </c>
    </row>
    <row r="1450" spans="1:14" x14ac:dyDescent="0.25">
      <c r="A1450">
        <v>1099.374783</v>
      </c>
      <c r="B1450" s="1">
        <f>DATE(2013,5,4) + TIME(8,59,41)</f>
        <v>41398.374780092592</v>
      </c>
      <c r="C1450">
        <v>80</v>
      </c>
      <c r="D1450">
        <v>79.620338439999998</v>
      </c>
      <c r="E1450">
        <v>50</v>
      </c>
      <c r="F1450">
        <v>49.095813751000001</v>
      </c>
      <c r="G1450">
        <v>1612.5062256000001</v>
      </c>
      <c r="H1450">
        <v>1484.4123535000001</v>
      </c>
      <c r="I1450">
        <v>1112.0770264</v>
      </c>
      <c r="J1450">
        <v>918.39208984000004</v>
      </c>
      <c r="K1450">
        <v>2400</v>
      </c>
      <c r="L1450">
        <v>0</v>
      </c>
      <c r="M1450">
        <v>0</v>
      </c>
      <c r="N1450">
        <v>2400</v>
      </c>
    </row>
    <row r="1451" spans="1:14" x14ac:dyDescent="0.25">
      <c r="A1451">
        <v>1099.55161</v>
      </c>
      <c r="B1451" s="1">
        <f>DATE(2013,5,4) + TIME(13,14,19)</f>
        <v>41398.551608796297</v>
      </c>
      <c r="C1451">
        <v>80</v>
      </c>
      <c r="D1451">
        <v>79.690933228000006</v>
      </c>
      <c r="E1451">
        <v>50</v>
      </c>
      <c r="F1451">
        <v>49.080783844000003</v>
      </c>
      <c r="G1451">
        <v>1617.536499</v>
      </c>
      <c r="H1451">
        <v>1489.5966797000001</v>
      </c>
      <c r="I1451">
        <v>1106.6685791</v>
      </c>
      <c r="J1451">
        <v>912.97027588000003</v>
      </c>
      <c r="K1451">
        <v>2400</v>
      </c>
      <c r="L1451">
        <v>0</v>
      </c>
      <c r="M1451">
        <v>0</v>
      </c>
      <c r="N1451">
        <v>2400</v>
      </c>
    </row>
    <row r="1452" spans="1:14" x14ac:dyDescent="0.25">
      <c r="A1452">
        <v>1099.7377329999999</v>
      </c>
      <c r="B1452" s="1">
        <f>DATE(2013,5,4) + TIME(17,42,20)</f>
        <v>41398.73773148148</v>
      </c>
      <c r="C1452">
        <v>80</v>
      </c>
      <c r="D1452">
        <v>79.750617981000005</v>
      </c>
      <c r="E1452">
        <v>50</v>
      </c>
      <c r="F1452">
        <v>49.065128326</v>
      </c>
      <c r="G1452">
        <v>1622.5944824000001</v>
      </c>
      <c r="H1452">
        <v>1494.7911377</v>
      </c>
      <c r="I1452">
        <v>1101.2539062000001</v>
      </c>
      <c r="J1452">
        <v>907.54180908000001</v>
      </c>
      <c r="K1452">
        <v>2400</v>
      </c>
      <c r="L1452">
        <v>0</v>
      </c>
      <c r="M1452">
        <v>0</v>
      </c>
      <c r="N1452">
        <v>2400</v>
      </c>
    </row>
    <row r="1453" spans="1:14" x14ac:dyDescent="0.25">
      <c r="A1453">
        <v>1099.9344739999999</v>
      </c>
      <c r="B1453" s="1">
        <f>DATE(2013,5,4) + TIME(22,25,38)</f>
        <v>41398.934467592589</v>
      </c>
      <c r="C1453">
        <v>80</v>
      </c>
      <c r="D1453">
        <v>79.800689696999996</v>
      </c>
      <c r="E1453">
        <v>50</v>
      </c>
      <c r="F1453">
        <v>49.048767089999998</v>
      </c>
      <c r="G1453">
        <v>1627.6956786999999</v>
      </c>
      <c r="H1453">
        <v>1500.0133057</v>
      </c>
      <c r="I1453">
        <v>1095.8125</v>
      </c>
      <c r="J1453">
        <v>902.08618163999995</v>
      </c>
      <c r="K1453">
        <v>2400</v>
      </c>
      <c r="L1453">
        <v>0</v>
      </c>
      <c r="M1453">
        <v>0</v>
      </c>
      <c r="N1453">
        <v>2400</v>
      </c>
    </row>
    <row r="1454" spans="1:14" x14ac:dyDescent="0.25">
      <c r="A1454">
        <v>1100.1434569999999</v>
      </c>
      <c r="B1454" s="1">
        <f>DATE(2013,5,5) + TIME(3,26,34)</f>
        <v>41399.143449074072</v>
      </c>
      <c r="C1454">
        <v>80</v>
      </c>
      <c r="D1454">
        <v>79.842323303000001</v>
      </c>
      <c r="E1454">
        <v>50</v>
      </c>
      <c r="F1454">
        <v>49.031600951999998</v>
      </c>
      <c r="G1454">
        <v>1632.8582764</v>
      </c>
      <c r="H1454">
        <v>1505.2832031</v>
      </c>
      <c r="I1454">
        <v>1090.3218993999999</v>
      </c>
      <c r="J1454">
        <v>896.58062743999994</v>
      </c>
      <c r="K1454">
        <v>2400</v>
      </c>
      <c r="L1454">
        <v>0</v>
      </c>
      <c r="M1454">
        <v>0</v>
      </c>
      <c r="N1454">
        <v>2400</v>
      </c>
    </row>
    <row r="1455" spans="1:14" x14ac:dyDescent="0.25">
      <c r="A1455">
        <v>1100.3666040000001</v>
      </c>
      <c r="B1455" s="1">
        <f>DATE(2013,5,5) + TIME(8,47,54)</f>
        <v>41399.366597222222</v>
      </c>
      <c r="C1455">
        <v>80</v>
      </c>
      <c r="D1455">
        <v>79.876548767000003</v>
      </c>
      <c r="E1455">
        <v>50</v>
      </c>
      <c r="F1455">
        <v>49.013519287000001</v>
      </c>
      <c r="G1455">
        <v>1638.1009521000001</v>
      </c>
      <c r="H1455">
        <v>1510.6210937999999</v>
      </c>
      <c r="I1455">
        <v>1084.7583007999999</v>
      </c>
      <c r="J1455">
        <v>891.00152588000003</v>
      </c>
      <c r="K1455">
        <v>2400</v>
      </c>
      <c r="L1455">
        <v>0</v>
      </c>
      <c r="M1455">
        <v>0</v>
      </c>
      <c r="N1455">
        <v>2400</v>
      </c>
    </row>
    <row r="1456" spans="1:14" x14ac:dyDescent="0.25">
      <c r="A1456">
        <v>1100.606268</v>
      </c>
      <c r="B1456" s="1">
        <f>DATE(2013,5,5) + TIME(14,33,1)</f>
        <v>41399.606261574074</v>
      </c>
      <c r="C1456">
        <v>80</v>
      </c>
      <c r="D1456">
        <v>79.904304503999995</v>
      </c>
      <c r="E1456">
        <v>50</v>
      </c>
      <c r="F1456">
        <v>48.994377135999997</v>
      </c>
      <c r="G1456">
        <v>1643.4449463000001</v>
      </c>
      <c r="H1456">
        <v>1516.0498047000001</v>
      </c>
      <c r="I1456">
        <v>1079.0958252</v>
      </c>
      <c r="J1456">
        <v>885.32275390999996</v>
      </c>
      <c r="K1456">
        <v>2400</v>
      </c>
      <c r="L1456">
        <v>0</v>
      </c>
      <c r="M1456">
        <v>0</v>
      </c>
      <c r="N1456">
        <v>2400</v>
      </c>
    </row>
    <row r="1457" spans="1:14" x14ac:dyDescent="0.25">
      <c r="A1457">
        <v>1100.8548659999999</v>
      </c>
      <c r="B1457" s="1">
        <f>DATE(2013,5,5) + TIME(20,31,0)</f>
        <v>41399.854861111111</v>
      </c>
      <c r="C1457">
        <v>80</v>
      </c>
      <c r="D1457">
        <v>79.925735474000007</v>
      </c>
      <c r="E1457">
        <v>50</v>
      </c>
      <c r="F1457">
        <v>48.974620819000002</v>
      </c>
      <c r="G1457">
        <v>1648.6899414</v>
      </c>
      <c r="H1457">
        <v>1521.3686522999999</v>
      </c>
      <c r="I1457">
        <v>1073.5269774999999</v>
      </c>
      <c r="J1457">
        <v>879.73730468999997</v>
      </c>
      <c r="K1457">
        <v>2400</v>
      </c>
      <c r="L1457">
        <v>0</v>
      </c>
      <c r="M1457">
        <v>0</v>
      </c>
      <c r="N1457">
        <v>2400</v>
      </c>
    </row>
    <row r="1458" spans="1:14" x14ac:dyDescent="0.25">
      <c r="A1458">
        <v>1101.1042870000001</v>
      </c>
      <c r="B1458" s="1">
        <f>DATE(2013,5,6) + TIME(2,30,10)</f>
        <v>41400.10428240741</v>
      </c>
      <c r="C1458">
        <v>80</v>
      </c>
      <c r="D1458">
        <v>79.941627502000003</v>
      </c>
      <c r="E1458">
        <v>50</v>
      </c>
      <c r="F1458">
        <v>48.954742432000003</v>
      </c>
      <c r="G1458">
        <v>1653.6716309000001</v>
      </c>
      <c r="H1458">
        <v>1526.4136963000001</v>
      </c>
      <c r="I1458">
        <v>1068.2189940999999</v>
      </c>
      <c r="J1458">
        <v>874.41302489999998</v>
      </c>
      <c r="K1458">
        <v>2400</v>
      </c>
      <c r="L1458">
        <v>0</v>
      </c>
      <c r="M1458">
        <v>0</v>
      </c>
      <c r="N1458">
        <v>2400</v>
      </c>
    </row>
    <row r="1459" spans="1:14" x14ac:dyDescent="0.25">
      <c r="A1459">
        <v>1101.355681</v>
      </c>
      <c r="B1459" s="1">
        <f>DATE(2013,5,6) + TIME(8,32,10)</f>
        <v>41400.355671296296</v>
      </c>
      <c r="C1459">
        <v>80</v>
      </c>
      <c r="D1459">
        <v>79.953384399000001</v>
      </c>
      <c r="E1459">
        <v>50</v>
      </c>
      <c r="F1459">
        <v>48.934722899999997</v>
      </c>
      <c r="G1459">
        <v>1658.4412841999999</v>
      </c>
      <c r="H1459">
        <v>1531.2374268000001</v>
      </c>
      <c r="I1459">
        <v>1063.1295166</v>
      </c>
      <c r="J1459">
        <v>869.30718993999994</v>
      </c>
      <c r="K1459">
        <v>2400</v>
      </c>
      <c r="L1459">
        <v>0</v>
      </c>
      <c r="M1459">
        <v>0</v>
      </c>
      <c r="N1459">
        <v>2400</v>
      </c>
    </row>
    <row r="1460" spans="1:14" x14ac:dyDescent="0.25">
      <c r="A1460">
        <v>1101.6101679999999</v>
      </c>
      <c r="B1460" s="1">
        <f>DATE(2013,5,6) + TIME(14,38,38)</f>
        <v>41400.610162037039</v>
      </c>
      <c r="C1460">
        <v>80</v>
      </c>
      <c r="D1460">
        <v>79.962013244999994</v>
      </c>
      <c r="E1460">
        <v>50</v>
      </c>
      <c r="F1460">
        <v>48.914539337000001</v>
      </c>
      <c r="G1460">
        <v>1663.034668</v>
      </c>
      <c r="H1460">
        <v>1535.8775635</v>
      </c>
      <c r="I1460">
        <v>1058.2225341999999</v>
      </c>
      <c r="J1460">
        <v>864.38385010000002</v>
      </c>
      <c r="K1460">
        <v>2400</v>
      </c>
      <c r="L1460">
        <v>0</v>
      </c>
      <c r="M1460">
        <v>0</v>
      </c>
      <c r="N1460">
        <v>2400</v>
      </c>
    </row>
    <row r="1461" spans="1:14" x14ac:dyDescent="0.25">
      <c r="A1461">
        <v>1101.8688119999999</v>
      </c>
      <c r="B1461" s="1">
        <f>DATE(2013,5,6) + TIME(20,51,5)</f>
        <v>41400.868807870371</v>
      </c>
      <c r="C1461">
        <v>80</v>
      </c>
      <c r="D1461">
        <v>79.968261718999997</v>
      </c>
      <c r="E1461">
        <v>50</v>
      </c>
      <c r="F1461">
        <v>48.894149779999999</v>
      </c>
      <c r="G1461">
        <v>1667.4788818</v>
      </c>
      <c r="H1461">
        <v>1540.3626709</v>
      </c>
      <c r="I1461">
        <v>1053.4682617000001</v>
      </c>
      <c r="J1461">
        <v>859.61328125</v>
      </c>
      <c r="K1461">
        <v>2400</v>
      </c>
      <c r="L1461">
        <v>0</v>
      </c>
      <c r="M1461">
        <v>0</v>
      </c>
      <c r="N1461">
        <v>2400</v>
      </c>
    </row>
    <row r="1462" spans="1:14" x14ac:dyDescent="0.25">
      <c r="A1462">
        <v>1102.132672</v>
      </c>
      <c r="B1462" s="1">
        <f>DATE(2013,5,7) + TIME(3,11,2)</f>
        <v>41401.132662037038</v>
      </c>
      <c r="C1462">
        <v>80</v>
      </c>
      <c r="D1462">
        <v>79.972686768000003</v>
      </c>
      <c r="E1462">
        <v>50</v>
      </c>
      <c r="F1462">
        <v>48.873497008999998</v>
      </c>
      <c r="G1462">
        <v>1671.7967529</v>
      </c>
      <c r="H1462">
        <v>1544.7169189000001</v>
      </c>
      <c r="I1462">
        <v>1048.8415527</v>
      </c>
      <c r="J1462">
        <v>854.97009276999995</v>
      </c>
      <c r="K1462">
        <v>2400</v>
      </c>
      <c r="L1462">
        <v>0</v>
      </c>
      <c r="M1462">
        <v>0</v>
      </c>
      <c r="N1462">
        <v>2400</v>
      </c>
    </row>
    <row r="1463" spans="1:14" x14ac:dyDescent="0.25">
      <c r="A1463">
        <v>1102.402832</v>
      </c>
      <c r="B1463" s="1">
        <f>DATE(2013,5,7) + TIME(9,40,4)</f>
        <v>41401.402824074074</v>
      </c>
      <c r="C1463">
        <v>80</v>
      </c>
      <c r="D1463">
        <v>79.975715636999993</v>
      </c>
      <c r="E1463">
        <v>50</v>
      </c>
      <c r="F1463">
        <v>48.852531433000003</v>
      </c>
      <c r="G1463">
        <v>1676.0080565999999</v>
      </c>
      <c r="H1463">
        <v>1548.9605713000001</v>
      </c>
      <c r="I1463">
        <v>1044.3204346</v>
      </c>
      <c r="J1463">
        <v>850.43243408000001</v>
      </c>
      <c r="K1463">
        <v>2400</v>
      </c>
      <c r="L1463">
        <v>0</v>
      </c>
      <c r="M1463">
        <v>0</v>
      </c>
      <c r="N1463">
        <v>2400</v>
      </c>
    </row>
    <row r="1464" spans="1:14" x14ac:dyDescent="0.25">
      <c r="A1464">
        <v>1102.680625</v>
      </c>
      <c r="B1464" s="1">
        <f>DATE(2013,5,7) + TIME(16,20,6)</f>
        <v>41401.680625000001</v>
      </c>
      <c r="C1464">
        <v>80</v>
      </c>
      <c r="D1464">
        <v>79.977676392000006</v>
      </c>
      <c r="E1464">
        <v>50</v>
      </c>
      <c r="F1464">
        <v>48.831172942999999</v>
      </c>
      <c r="G1464">
        <v>1680.1326904</v>
      </c>
      <c r="H1464">
        <v>1553.114624</v>
      </c>
      <c r="I1464">
        <v>1039.8825684000001</v>
      </c>
      <c r="J1464">
        <v>845.97790526999995</v>
      </c>
      <c r="K1464">
        <v>2400</v>
      </c>
      <c r="L1464">
        <v>0</v>
      </c>
      <c r="M1464">
        <v>0</v>
      </c>
      <c r="N1464">
        <v>2400</v>
      </c>
    </row>
    <row r="1465" spans="1:14" x14ac:dyDescent="0.25">
      <c r="A1465">
        <v>1102.9671370000001</v>
      </c>
      <c r="B1465" s="1">
        <f>DATE(2013,5,7) + TIME(23,12,40)</f>
        <v>41401.967129629629</v>
      </c>
      <c r="C1465">
        <v>80</v>
      </c>
      <c r="D1465">
        <v>79.978813170999999</v>
      </c>
      <c r="E1465">
        <v>50</v>
      </c>
      <c r="F1465">
        <v>48.809360503999997</v>
      </c>
      <c r="G1465">
        <v>1684.1837158000001</v>
      </c>
      <c r="H1465">
        <v>1557.1925048999999</v>
      </c>
      <c r="I1465">
        <v>1035.5128173999999</v>
      </c>
      <c r="J1465">
        <v>841.59136963000003</v>
      </c>
      <c r="K1465">
        <v>2400</v>
      </c>
      <c r="L1465">
        <v>0</v>
      </c>
      <c r="M1465">
        <v>0</v>
      </c>
      <c r="N1465">
        <v>2400</v>
      </c>
    </row>
    <row r="1466" spans="1:14" x14ac:dyDescent="0.25">
      <c r="A1466">
        <v>1103.2637119999999</v>
      </c>
      <c r="B1466" s="1">
        <f>DATE(2013,5,8) + TIME(6,19,44)</f>
        <v>41402.263703703706</v>
      </c>
      <c r="C1466">
        <v>80</v>
      </c>
      <c r="D1466">
        <v>79.979316710999996</v>
      </c>
      <c r="E1466">
        <v>50</v>
      </c>
      <c r="F1466">
        <v>48.787010193</v>
      </c>
      <c r="G1466">
        <v>1688.1754149999999</v>
      </c>
      <c r="H1466">
        <v>1561.2089844</v>
      </c>
      <c r="I1466">
        <v>1031.1951904</v>
      </c>
      <c r="J1466">
        <v>837.25665283000001</v>
      </c>
      <c r="K1466">
        <v>2400</v>
      </c>
      <c r="L1466">
        <v>0</v>
      </c>
      <c r="M1466">
        <v>0</v>
      </c>
      <c r="N1466">
        <v>2400</v>
      </c>
    </row>
    <row r="1467" spans="1:14" x14ac:dyDescent="0.25">
      <c r="A1467">
        <v>1103.5718850000001</v>
      </c>
      <c r="B1467" s="1">
        <f>DATE(2013,5,8) + TIME(13,43,30)</f>
        <v>41402.571875000001</v>
      </c>
      <c r="C1467">
        <v>80</v>
      </c>
      <c r="D1467">
        <v>79.979347228999998</v>
      </c>
      <c r="E1467">
        <v>50</v>
      </c>
      <c r="F1467">
        <v>48.764030456999997</v>
      </c>
      <c r="G1467">
        <v>1692.1217041</v>
      </c>
      <c r="H1467">
        <v>1565.1783447</v>
      </c>
      <c r="I1467">
        <v>1026.9140625</v>
      </c>
      <c r="J1467">
        <v>832.95806885000002</v>
      </c>
      <c r="K1467">
        <v>2400</v>
      </c>
      <c r="L1467">
        <v>0</v>
      </c>
      <c r="M1467">
        <v>0</v>
      </c>
      <c r="N1467">
        <v>2400</v>
      </c>
    </row>
    <row r="1468" spans="1:14" x14ac:dyDescent="0.25">
      <c r="A1468">
        <v>1103.893401</v>
      </c>
      <c r="B1468" s="1">
        <f>DATE(2013,5,8) + TIME(21,26,29)</f>
        <v>41402.893391203703</v>
      </c>
      <c r="C1468">
        <v>80</v>
      </c>
      <c r="D1468">
        <v>79.979011536000002</v>
      </c>
      <c r="E1468">
        <v>50</v>
      </c>
      <c r="F1468">
        <v>48.740318297999998</v>
      </c>
      <c r="G1468">
        <v>1696.0356445</v>
      </c>
      <c r="H1468">
        <v>1569.1140137</v>
      </c>
      <c r="I1468">
        <v>1022.6541138</v>
      </c>
      <c r="J1468">
        <v>828.68029784999999</v>
      </c>
      <c r="K1468">
        <v>2400</v>
      </c>
      <c r="L1468">
        <v>0</v>
      </c>
      <c r="M1468">
        <v>0</v>
      </c>
      <c r="N1468">
        <v>2400</v>
      </c>
    </row>
    <row r="1469" spans="1:14" x14ac:dyDescent="0.25">
      <c r="A1469">
        <v>1104.230227</v>
      </c>
      <c r="B1469" s="1">
        <f>DATE(2013,5,9) + TIME(5,31,31)</f>
        <v>41403.230219907404</v>
      </c>
      <c r="C1469">
        <v>80</v>
      </c>
      <c r="D1469">
        <v>79.978393554999997</v>
      </c>
      <c r="E1469">
        <v>50</v>
      </c>
      <c r="F1469">
        <v>48.715755463000001</v>
      </c>
      <c r="G1469">
        <v>1699.9299315999999</v>
      </c>
      <c r="H1469">
        <v>1573.0288086</v>
      </c>
      <c r="I1469">
        <v>1018.4008179</v>
      </c>
      <c r="J1469">
        <v>824.40869140999996</v>
      </c>
      <c r="K1469">
        <v>2400</v>
      </c>
      <c r="L1469">
        <v>0</v>
      </c>
      <c r="M1469">
        <v>0</v>
      </c>
      <c r="N1469">
        <v>2400</v>
      </c>
    </row>
    <row r="1470" spans="1:14" x14ac:dyDescent="0.25">
      <c r="A1470">
        <v>1104.584773</v>
      </c>
      <c r="B1470" s="1">
        <f>DATE(2013,5,9) + TIME(14,2,4)</f>
        <v>41403.584768518522</v>
      </c>
      <c r="C1470">
        <v>80</v>
      </c>
      <c r="D1470">
        <v>79.977577209000003</v>
      </c>
      <c r="E1470">
        <v>50</v>
      </c>
      <c r="F1470">
        <v>48.690208435000002</v>
      </c>
      <c r="G1470">
        <v>1703.8186035000001</v>
      </c>
      <c r="H1470">
        <v>1576.9370117000001</v>
      </c>
      <c r="I1470">
        <v>1014.1380615</v>
      </c>
      <c r="J1470">
        <v>820.12707520000004</v>
      </c>
      <c r="K1470">
        <v>2400</v>
      </c>
      <c r="L1470">
        <v>0</v>
      </c>
      <c r="M1470">
        <v>0</v>
      </c>
      <c r="N1470">
        <v>2400</v>
      </c>
    </row>
    <row r="1471" spans="1:14" x14ac:dyDescent="0.25">
      <c r="A1471">
        <v>1104.956007</v>
      </c>
      <c r="B1471" s="1">
        <f>DATE(2013,5,9) + TIME(22,56,39)</f>
        <v>41403.956006944441</v>
      </c>
      <c r="C1471">
        <v>80</v>
      </c>
      <c r="D1471">
        <v>79.976600646999998</v>
      </c>
      <c r="E1471">
        <v>50</v>
      </c>
      <c r="F1471">
        <v>48.663696289000001</v>
      </c>
      <c r="G1471">
        <v>1707.6741943</v>
      </c>
      <c r="H1471">
        <v>1580.8114014</v>
      </c>
      <c r="I1471">
        <v>1009.8911743</v>
      </c>
      <c r="J1471">
        <v>815.86083984000004</v>
      </c>
      <c r="K1471">
        <v>2400</v>
      </c>
      <c r="L1471">
        <v>0</v>
      </c>
      <c r="M1471">
        <v>0</v>
      </c>
      <c r="N1471">
        <v>2400</v>
      </c>
    </row>
    <row r="1472" spans="1:14" x14ac:dyDescent="0.25">
      <c r="A1472">
        <v>1105.3461789999999</v>
      </c>
      <c r="B1472" s="1">
        <f>DATE(2013,5,10) + TIME(8,18,29)</f>
        <v>41404.346168981479</v>
      </c>
      <c r="C1472">
        <v>80</v>
      </c>
      <c r="D1472">
        <v>79.975524902000004</v>
      </c>
      <c r="E1472">
        <v>50</v>
      </c>
      <c r="F1472">
        <v>48.636100769000002</v>
      </c>
      <c r="G1472">
        <v>1711.5087891000001</v>
      </c>
      <c r="H1472">
        <v>1584.6638184000001</v>
      </c>
      <c r="I1472">
        <v>1005.6483765</v>
      </c>
      <c r="J1472">
        <v>811.59802246000004</v>
      </c>
      <c r="K1472">
        <v>2400</v>
      </c>
      <c r="L1472">
        <v>0</v>
      </c>
      <c r="M1472">
        <v>0</v>
      </c>
      <c r="N1472">
        <v>2400</v>
      </c>
    </row>
    <row r="1473" spans="1:14" x14ac:dyDescent="0.25">
      <c r="A1473">
        <v>1105.7582030000001</v>
      </c>
      <c r="B1473" s="1">
        <f>DATE(2013,5,10) + TIME(18,11,48)</f>
        <v>41404.758194444446</v>
      </c>
      <c r="C1473">
        <v>80</v>
      </c>
      <c r="D1473">
        <v>79.974380492999998</v>
      </c>
      <c r="E1473">
        <v>50</v>
      </c>
      <c r="F1473">
        <v>48.607273102000001</v>
      </c>
      <c r="G1473">
        <v>1715.3358154</v>
      </c>
      <c r="H1473">
        <v>1588.5080565999999</v>
      </c>
      <c r="I1473">
        <v>1001.3945923</v>
      </c>
      <c r="J1473">
        <v>807.32354736000002</v>
      </c>
      <c r="K1473">
        <v>2400</v>
      </c>
      <c r="L1473">
        <v>0</v>
      </c>
      <c r="M1473">
        <v>0</v>
      </c>
      <c r="N1473">
        <v>2400</v>
      </c>
    </row>
    <row r="1474" spans="1:14" x14ac:dyDescent="0.25">
      <c r="A1474">
        <v>1106.1714159999999</v>
      </c>
      <c r="B1474" s="1">
        <f>DATE(2013,5,11) + TIME(4,6,50)</f>
        <v>41405.171412037038</v>
      </c>
      <c r="C1474">
        <v>80</v>
      </c>
      <c r="D1474">
        <v>79.973213196000003</v>
      </c>
      <c r="E1474">
        <v>50</v>
      </c>
      <c r="F1474">
        <v>48.578102112000003</v>
      </c>
      <c r="G1474">
        <v>1718.9503173999999</v>
      </c>
      <c r="H1474">
        <v>1592.1391602000001</v>
      </c>
      <c r="I1474">
        <v>997.33734131000006</v>
      </c>
      <c r="J1474">
        <v>803.24560546999999</v>
      </c>
      <c r="K1474">
        <v>2400</v>
      </c>
      <c r="L1474">
        <v>0</v>
      </c>
      <c r="M1474">
        <v>0</v>
      </c>
      <c r="N1474">
        <v>2400</v>
      </c>
    </row>
    <row r="1475" spans="1:14" x14ac:dyDescent="0.25">
      <c r="A1475">
        <v>1106.5871079999999</v>
      </c>
      <c r="B1475" s="1">
        <f>DATE(2013,5,11) + TIME(14,5,26)</f>
        <v>41405.587106481478</v>
      </c>
      <c r="C1475">
        <v>80</v>
      </c>
      <c r="D1475">
        <v>79.972084045000003</v>
      </c>
      <c r="E1475">
        <v>50</v>
      </c>
      <c r="F1475">
        <v>48.548686981000003</v>
      </c>
      <c r="G1475">
        <v>1722.3896483999999</v>
      </c>
      <c r="H1475">
        <v>1595.5936279</v>
      </c>
      <c r="I1475">
        <v>993.45239258000004</v>
      </c>
      <c r="J1475">
        <v>799.33984375</v>
      </c>
      <c r="K1475">
        <v>2400</v>
      </c>
      <c r="L1475">
        <v>0</v>
      </c>
      <c r="M1475">
        <v>0</v>
      </c>
      <c r="N1475">
        <v>2400</v>
      </c>
    </row>
    <row r="1476" spans="1:14" x14ac:dyDescent="0.25">
      <c r="A1476">
        <v>1107.006999</v>
      </c>
      <c r="B1476" s="1">
        <f>DATE(2013,5,12) + TIME(0,10,4)</f>
        <v>41406.006990740738</v>
      </c>
      <c r="C1476">
        <v>80</v>
      </c>
      <c r="D1476">
        <v>79.970993042000003</v>
      </c>
      <c r="E1476">
        <v>50</v>
      </c>
      <c r="F1476">
        <v>48.519042968999997</v>
      </c>
      <c r="G1476">
        <v>1725.6817627</v>
      </c>
      <c r="H1476">
        <v>1598.8996582</v>
      </c>
      <c r="I1476">
        <v>989.71441649999997</v>
      </c>
      <c r="J1476">
        <v>795.58099364999998</v>
      </c>
      <c r="K1476">
        <v>2400</v>
      </c>
      <c r="L1476">
        <v>0</v>
      </c>
      <c r="M1476">
        <v>0</v>
      </c>
      <c r="N1476">
        <v>2400</v>
      </c>
    </row>
    <row r="1477" spans="1:14" x14ac:dyDescent="0.25">
      <c r="A1477">
        <v>1107.4327539999999</v>
      </c>
      <c r="B1477" s="1">
        <f>DATE(2013,5,12) + TIME(10,23,9)</f>
        <v>41406.432743055557</v>
      </c>
      <c r="C1477">
        <v>80</v>
      </c>
      <c r="D1477">
        <v>79.969947814999998</v>
      </c>
      <c r="E1477">
        <v>50</v>
      </c>
      <c r="F1477">
        <v>48.489139557000001</v>
      </c>
      <c r="G1477">
        <v>1728.8475341999999</v>
      </c>
      <c r="H1477">
        <v>1602.0784911999999</v>
      </c>
      <c r="I1477">
        <v>986.10211182</v>
      </c>
      <c r="J1477">
        <v>791.94775390999996</v>
      </c>
      <c r="K1477">
        <v>2400</v>
      </c>
      <c r="L1477">
        <v>0</v>
      </c>
      <c r="M1477">
        <v>0</v>
      </c>
      <c r="N1477">
        <v>2400</v>
      </c>
    </row>
    <row r="1478" spans="1:14" x14ac:dyDescent="0.25">
      <c r="A1478">
        <v>1107.8660299999999</v>
      </c>
      <c r="B1478" s="1">
        <f>DATE(2013,5,12) + TIME(20,47,5)</f>
        <v>41406.866030092591</v>
      </c>
      <c r="C1478">
        <v>80</v>
      </c>
      <c r="D1478">
        <v>79.968955993999998</v>
      </c>
      <c r="E1478">
        <v>50</v>
      </c>
      <c r="F1478">
        <v>48.458923339999998</v>
      </c>
      <c r="G1478">
        <v>1731.9044189000001</v>
      </c>
      <c r="H1478">
        <v>1605.1474608999999</v>
      </c>
      <c r="I1478">
        <v>982.59735106999995</v>
      </c>
      <c r="J1478">
        <v>788.42181396000001</v>
      </c>
      <c r="K1478">
        <v>2400</v>
      </c>
      <c r="L1478">
        <v>0</v>
      </c>
      <c r="M1478">
        <v>0</v>
      </c>
      <c r="N1478">
        <v>2400</v>
      </c>
    </row>
    <row r="1479" spans="1:14" x14ac:dyDescent="0.25">
      <c r="A1479">
        <v>1108.3085269999999</v>
      </c>
      <c r="B1479" s="1">
        <f>DATE(2013,5,13) + TIME(7,24,16)</f>
        <v>41407.308518518519</v>
      </c>
      <c r="C1479">
        <v>80</v>
      </c>
      <c r="D1479">
        <v>79.968002318999993</v>
      </c>
      <c r="E1479">
        <v>50</v>
      </c>
      <c r="F1479">
        <v>48.428314209</v>
      </c>
      <c r="G1479">
        <v>1734.8669434000001</v>
      </c>
      <c r="H1479">
        <v>1608.1212158000001</v>
      </c>
      <c r="I1479">
        <v>979.18438720999995</v>
      </c>
      <c r="J1479">
        <v>784.98754883000004</v>
      </c>
      <c r="K1479">
        <v>2400</v>
      </c>
      <c r="L1479">
        <v>0</v>
      </c>
      <c r="M1479">
        <v>0</v>
      </c>
      <c r="N1479">
        <v>2400</v>
      </c>
    </row>
    <row r="1480" spans="1:14" x14ac:dyDescent="0.25">
      <c r="A1480">
        <v>1108.76217</v>
      </c>
      <c r="B1480" s="1">
        <f>DATE(2013,5,13) + TIME(18,17,31)</f>
        <v>41407.762164351851</v>
      </c>
      <c r="C1480">
        <v>80</v>
      </c>
      <c r="D1480">
        <v>79.967086792000003</v>
      </c>
      <c r="E1480">
        <v>50</v>
      </c>
      <c r="F1480">
        <v>48.397212981999999</v>
      </c>
      <c r="G1480">
        <v>1737.7486572</v>
      </c>
      <c r="H1480">
        <v>1611.0136719</v>
      </c>
      <c r="I1480">
        <v>975.84826659999999</v>
      </c>
      <c r="J1480">
        <v>781.62988281000003</v>
      </c>
      <c r="K1480">
        <v>2400</v>
      </c>
      <c r="L1480">
        <v>0</v>
      </c>
      <c r="M1480">
        <v>0</v>
      </c>
      <c r="N1480">
        <v>2400</v>
      </c>
    </row>
    <row r="1481" spans="1:14" x14ac:dyDescent="0.25">
      <c r="A1481">
        <v>1109.229</v>
      </c>
      <c r="B1481" s="1">
        <f>DATE(2013,5,14) + TIME(5,29,45)</f>
        <v>41408.228993055556</v>
      </c>
      <c r="C1481">
        <v>80</v>
      </c>
      <c r="D1481">
        <v>79.966201781999999</v>
      </c>
      <c r="E1481">
        <v>50</v>
      </c>
      <c r="F1481">
        <v>48.365516663000001</v>
      </c>
      <c r="G1481">
        <v>1740.5616454999999</v>
      </c>
      <c r="H1481">
        <v>1613.8366699000001</v>
      </c>
      <c r="I1481">
        <v>972.57592772999999</v>
      </c>
      <c r="J1481">
        <v>778.33557128999996</v>
      </c>
      <c r="K1481">
        <v>2400</v>
      </c>
      <c r="L1481">
        <v>0</v>
      </c>
      <c r="M1481">
        <v>0</v>
      </c>
      <c r="N1481">
        <v>2400</v>
      </c>
    </row>
    <row r="1482" spans="1:14" x14ac:dyDescent="0.25">
      <c r="A1482">
        <v>1109.710947</v>
      </c>
      <c r="B1482" s="1">
        <f>DATE(2013,5,14) + TIME(17,3,45)</f>
        <v>41408.7109375</v>
      </c>
      <c r="C1482">
        <v>80</v>
      </c>
      <c r="D1482">
        <v>79.965354919000006</v>
      </c>
      <c r="E1482">
        <v>50</v>
      </c>
      <c r="F1482">
        <v>48.333106995000001</v>
      </c>
      <c r="G1482">
        <v>1743.3146973</v>
      </c>
      <c r="H1482">
        <v>1616.5991211</v>
      </c>
      <c r="I1482">
        <v>969.35711670000001</v>
      </c>
      <c r="J1482">
        <v>775.09442138999998</v>
      </c>
      <c r="K1482">
        <v>2400</v>
      </c>
      <c r="L1482">
        <v>0</v>
      </c>
      <c r="M1482">
        <v>0</v>
      </c>
      <c r="N1482">
        <v>2400</v>
      </c>
    </row>
    <row r="1483" spans="1:14" x14ac:dyDescent="0.25">
      <c r="A1483">
        <v>1110.210394</v>
      </c>
      <c r="B1483" s="1">
        <f>DATE(2013,5,15) + TIME(5,2,58)</f>
        <v>41409.210393518515</v>
      </c>
      <c r="C1483">
        <v>80</v>
      </c>
      <c r="D1483">
        <v>79.964538574000002</v>
      </c>
      <c r="E1483">
        <v>50</v>
      </c>
      <c r="F1483">
        <v>48.299858092999997</v>
      </c>
      <c r="G1483">
        <v>1746.0172118999999</v>
      </c>
      <c r="H1483">
        <v>1619.3106689000001</v>
      </c>
      <c r="I1483">
        <v>966.18103026999995</v>
      </c>
      <c r="J1483">
        <v>771.89550781000003</v>
      </c>
      <c r="K1483">
        <v>2400</v>
      </c>
      <c r="L1483">
        <v>0</v>
      </c>
      <c r="M1483">
        <v>0</v>
      </c>
      <c r="N1483">
        <v>2400</v>
      </c>
    </row>
    <row r="1484" spans="1:14" x14ac:dyDescent="0.25">
      <c r="A1484">
        <v>1110.730057</v>
      </c>
      <c r="B1484" s="1">
        <f>DATE(2013,5,15) + TIME(17,31,16)</f>
        <v>41409.730046296296</v>
      </c>
      <c r="C1484">
        <v>80</v>
      </c>
      <c r="D1484">
        <v>79.963745117000002</v>
      </c>
      <c r="E1484">
        <v>50</v>
      </c>
      <c r="F1484">
        <v>48.265621185000001</v>
      </c>
      <c r="G1484">
        <v>1748.6783447</v>
      </c>
      <c r="H1484">
        <v>1621.9803466999999</v>
      </c>
      <c r="I1484">
        <v>963.03735352000001</v>
      </c>
      <c r="J1484">
        <v>768.72833251999998</v>
      </c>
      <c r="K1484">
        <v>2400</v>
      </c>
      <c r="L1484">
        <v>0</v>
      </c>
      <c r="M1484">
        <v>0</v>
      </c>
      <c r="N1484">
        <v>2400</v>
      </c>
    </row>
    <row r="1485" spans="1:14" x14ac:dyDescent="0.25">
      <c r="A1485">
        <v>1111.2730489999999</v>
      </c>
      <c r="B1485" s="1">
        <f>DATE(2013,5,16) + TIME(6,33,11)</f>
        <v>41410.273043981484</v>
      </c>
      <c r="C1485">
        <v>80</v>
      </c>
      <c r="D1485">
        <v>79.962982178000004</v>
      </c>
      <c r="E1485">
        <v>50</v>
      </c>
      <c r="F1485">
        <v>48.230232239000003</v>
      </c>
      <c r="G1485">
        <v>1751.3065185999999</v>
      </c>
      <c r="H1485">
        <v>1624.6168213000001</v>
      </c>
      <c r="I1485">
        <v>959.91601562000005</v>
      </c>
      <c r="J1485">
        <v>765.58282470999995</v>
      </c>
      <c r="K1485">
        <v>2400</v>
      </c>
      <c r="L1485">
        <v>0</v>
      </c>
      <c r="M1485">
        <v>0</v>
      </c>
      <c r="N1485">
        <v>2400</v>
      </c>
    </row>
    <row r="1486" spans="1:14" x14ac:dyDescent="0.25">
      <c r="A1486">
        <v>1111.8429599999999</v>
      </c>
      <c r="B1486" s="1">
        <f>DATE(2013,5,16) + TIME(20,13,51)</f>
        <v>41410.842951388891</v>
      </c>
      <c r="C1486">
        <v>80</v>
      </c>
      <c r="D1486">
        <v>79.962234496999997</v>
      </c>
      <c r="E1486">
        <v>50</v>
      </c>
      <c r="F1486">
        <v>48.193496703999998</v>
      </c>
      <c r="G1486">
        <v>1753.9097899999999</v>
      </c>
      <c r="H1486">
        <v>1627.2279053</v>
      </c>
      <c r="I1486">
        <v>956.80743408000001</v>
      </c>
      <c r="J1486">
        <v>762.44921875</v>
      </c>
      <c r="K1486">
        <v>2400</v>
      </c>
      <c r="L1486">
        <v>0</v>
      </c>
      <c r="M1486">
        <v>0</v>
      </c>
      <c r="N1486">
        <v>2400</v>
      </c>
    </row>
    <row r="1487" spans="1:14" x14ac:dyDescent="0.25">
      <c r="A1487">
        <v>1112.4442759999999</v>
      </c>
      <c r="B1487" s="1">
        <f>DATE(2013,5,17) + TIME(10,39,45)</f>
        <v>41411.44427083333</v>
      </c>
      <c r="C1487">
        <v>80</v>
      </c>
      <c r="D1487">
        <v>79.961509704999997</v>
      </c>
      <c r="E1487">
        <v>50</v>
      </c>
      <c r="F1487">
        <v>48.155193328999999</v>
      </c>
      <c r="G1487">
        <v>1756.4970702999999</v>
      </c>
      <c r="H1487">
        <v>1629.8227539</v>
      </c>
      <c r="I1487">
        <v>953.70062256000006</v>
      </c>
      <c r="J1487">
        <v>759.31628418000003</v>
      </c>
      <c r="K1487">
        <v>2400</v>
      </c>
      <c r="L1487">
        <v>0</v>
      </c>
      <c r="M1487">
        <v>0</v>
      </c>
      <c r="N1487">
        <v>2400</v>
      </c>
    </row>
    <row r="1488" spans="1:14" x14ac:dyDescent="0.25">
      <c r="A1488">
        <v>1113.0623230000001</v>
      </c>
      <c r="B1488" s="1">
        <f>DATE(2013,5,18) + TIME(1,29,44)</f>
        <v>41412.062314814815</v>
      </c>
      <c r="C1488">
        <v>80</v>
      </c>
      <c r="D1488">
        <v>79.960815429999997</v>
      </c>
      <c r="E1488">
        <v>50</v>
      </c>
      <c r="F1488">
        <v>48.115737914999997</v>
      </c>
      <c r="G1488">
        <v>1758.9919434000001</v>
      </c>
      <c r="H1488">
        <v>1632.3248291</v>
      </c>
      <c r="I1488">
        <v>950.67572021000001</v>
      </c>
      <c r="J1488">
        <v>756.26464843999997</v>
      </c>
      <c r="K1488">
        <v>2400</v>
      </c>
      <c r="L1488">
        <v>0</v>
      </c>
      <c r="M1488">
        <v>0</v>
      </c>
      <c r="N1488">
        <v>2400</v>
      </c>
    </row>
    <row r="1489" spans="1:14" x14ac:dyDescent="0.25">
      <c r="A1489">
        <v>1113.680838</v>
      </c>
      <c r="B1489" s="1">
        <f>DATE(2013,5,18) + TIME(16,20,24)</f>
        <v>41412.680833333332</v>
      </c>
      <c r="C1489">
        <v>80</v>
      </c>
      <c r="D1489">
        <v>79.960151671999995</v>
      </c>
      <c r="E1489">
        <v>50</v>
      </c>
      <c r="F1489">
        <v>48.075839995999999</v>
      </c>
      <c r="G1489">
        <v>1761.3327637</v>
      </c>
      <c r="H1489">
        <v>1634.6724853999999</v>
      </c>
      <c r="I1489">
        <v>947.80474853999999</v>
      </c>
      <c r="J1489">
        <v>753.36676024999997</v>
      </c>
      <c r="K1489">
        <v>2400</v>
      </c>
      <c r="L1489">
        <v>0</v>
      </c>
      <c r="M1489">
        <v>0</v>
      </c>
      <c r="N1489">
        <v>2400</v>
      </c>
    </row>
    <row r="1490" spans="1:14" x14ac:dyDescent="0.25">
      <c r="A1490">
        <v>1114.300653</v>
      </c>
      <c r="B1490" s="1">
        <f>DATE(2013,5,19) + TIME(7,12,56)</f>
        <v>41413.30064814815</v>
      </c>
      <c r="C1490">
        <v>80</v>
      </c>
      <c r="D1490">
        <v>79.959541321000003</v>
      </c>
      <c r="E1490">
        <v>50</v>
      </c>
      <c r="F1490">
        <v>48.035766602000002</v>
      </c>
      <c r="G1490">
        <v>1763.5399170000001</v>
      </c>
      <c r="H1490">
        <v>1636.8859863</v>
      </c>
      <c r="I1490">
        <v>945.07495116999996</v>
      </c>
      <c r="J1490">
        <v>750.60980225000003</v>
      </c>
      <c r="K1490">
        <v>2400</v>
      </c>
      <c r="L1490">
        <v>0</v>
      </c>
      <c r="M1490">
        <v>0</v>
      </c>
      <c r="N1490">
        <v>2400</v>
      </c>
    </row>
    <row r="1491" spans="1:14" x14ac:dyDescent="0.25">
      <c r="A1491">
        <v>1114.9250810000001</v>
      </c>
      <c r="B1491" s="1">
        <f>DATE(2013,5,19) + TIME(22,12,6)</f>
        <v>41413.925069444442</v>
      </c>
      <c r="C1491">
        <v>80</v>
      </c>
      <c r="D1491">
        <v>79.958976746000005</v>
      </c>
      <c r="E1491">
        <v>50</v>
      </c>
      <c r="F1491">
        <v>47.995555877999998</v>
      </c>
      <c r="G1491">
        <v>1765.6364745999999</v>
      </c>
      <c r="H1491">
        <v>1638.9881591999999</v>
      </c>
      <c r="I1491">
        <v>942.46478271000001</v>
      </c>
      <c r="J1491">
        <v>747.97216796999999</v>
      </c>
      <c r="K1491">
        <v>2400</v>
      </c>
      <c r="L1491">
        <v>0</v>
      </c>
      <c r="M1491">
        <v>0</v>
      </c>
      <c r="N1491">
        <v>2400</v>
      </c>
    </row>
    <row r="1492" spans="1:14" x14ac:dyDescent="0.25">
      <c r="A1492">
        <v>1115.5575859999999</v>
      </c>
      <c r="B1492" s="1">
        <f>DATE(2013,5,20) + TIME(13,22,55)</f>
        <v>41414.557581018518</v>
      </c>
      <c r="C1492">
        <v>80</v>
      </c>
      <c r="D1492">
        <v>79.958457946999999</v>
      </c>
      <c r="E1492">
        <v>50</v>
      </c>
      <c r="F1492">
        <v>47.955120086999997</v>
      </c>
      <c r="G1492">
        <v>1767.6400146000001</v>
      </c>
      <c r="H1492">
        <v>1640.9968262</v>
      </c>
      <c r="I1492">
        <v>939.95526123000002</v>
      </c>
      <c r="J1492">
        <v>745.43499756000006</v>
      </c>
      <c r="K1492">
        <v>2400</v>
      </c>
      <c r="L1492">
        <v>0</v>
      </c>
      <c r="M1492">
        <v>0</v>
      </c>
      <c r="N1492">
        <v>2400</v>
      </c>
    </row>
    <row r="1493" spans="1:14" x14ac:dyDescent="0.25">
      <c r="A1493">
        <v>1116.2009800000001</v>
      </c>
      <c r="B1493" s="1">
        <f>DATE(2013,5,21) + TIME(4,49,24)</f>
        <v>41415.200972222221</v>
      </c>
      <c r="C1493">
        <v>80</v>
      </c>
      <c r="D1493">
        <v>79.957969665999997</v>
      </c>
      <c r="E1493">
        <v>50</v>
      </c>
      <c r="F1493">
        <v>47.914344788000001</v>
      </c>
      <c r="G1493">
        <v>1769.5625</v>
      </c>
      <c r="H1493">
        <v>1642.9241943</v>
      </c>
      <c r="I1493">
        <v>937.53277588000003</v>
      </c>
      <c r="J1493">
        <v>742.98449706999997</v>
      </c>
      <c r="K1493">
        <v>2400</v>
      </c>
      <c r="L1493">
        <v>0</v>
      </c>
      <c r="M1493">
        <v>0</v>
      </c>
      <c r="N1493">
        <v>2400</v>
      </c>
    </row>
    <row r="1494" spans="1:14" x14ac:dyDescent="0.25">
      <c r="A1494">
        <v>1116.8585909999999</v>
      </c>
      <c r="B1494" s="1">
        <f>DATE(2013,5,21) + TIME(20,36,22)</f>
        <v>41415.858587962961</v>
      </c>
      <c r="C1494">
        <v>80</v>
      </c>
      <c r="D1494">
        <v>79.957511901999993</v>
      </c>
      <c r="E1494">
        <v>50</v>
      </c>
      <c r="F1494">
        <v>47.873069762999997</v>
      </c>
      <c r="G1494">
        <v>1771.4154053</v>
      </c>
      <c r="H1494">
        <v>1644.7816161999999</v>
      </c>
      <c r="I1494">
        <v>935.18420409999999</v>
      </c>
      <c r="J1494">
        <v>740.60742187999995</v>
      </c>
      <c r="K1494">
        <v>2400</v>
      </c>
      <c r="L1494">
        <v>0</v>
      </c>
      <c r="M1494">
        <v>0</v>
      </c>
      <c r="N1494">
        <v>2400</v>
      </c>
    </row>
    <row r="1495" spans="1:14" x14ac:dyDescent="0.25">
      <c r="A1495">
        <v>1117.533999</v>
      </c>
      <c r="B1495" s="1">
        <f>DATE(2013,5,22) + TIME(12,48,57)</f>
        <v>41416.533993055556</v>
      </c>
      <c r="C1495">
        <v>80</v>
      </c>
      <c r="D1495">
        <v>79.957084656000006</v>
      </c>
      <c r="E1495">
        <v>50</v>
      </c>
      <c r="F1495">
        <v>47.831108092999997</v>
      </c>
      <c r="G1495">
        <v>1773.2086182</v>
      </c>
      <c r="H1495">
        <v>1646.5789795000001</v>
      </c>
      <c r="I1495">
        <v>932.89794921999999</v>
      </c>
      <c r="J1495">
        <v>738.29205321999996</v>
      </c>
      <c r="K1495">
        <v>2400</v>
      </c>
      <c r="L1495">
        <v>0</v>
      </c>
      <c r="M1495">
        <v>0</v>
      </c>
      <c r="N1495">
        <v>2400</v>
      </c>
    </row>
    <row r="1496" spans="1:14" x14ac:dyDescent="0.25">
      <c r="A1496">
        <v>1118.23116</v>
      </c>
      <c r="B1496" s="1">
        <f>DATE(2013,5,23) + TIME(5,32,52)</f>
        <v>41417.231157407405</v>
      </c>
      <c r="C1496">
        <v>80</v>
      </c>
      <c r="D1496">
        <v>79.956672667999996</v>
      </c>
      <c r="E1496">
        <v>50</v>
      </c>
      <c r="F1496">
        <v>47.788253783999998</v>
      </c>
      <c r="G1496">
        <v>1774.9504394999999</v>
      </c>
      <c r="H1496">
        <v>1648.3248291</v>
      </c>
      <c r="I1496">
        <v>930.66363524999997</v>
      </c>
      <c r="J1496">
        <v>736.02783203000001</v>
      </c>
      <c r="K1496">
        <v>2400</v>
      </c>
      <c r="L1496">
        <v>0</v>
      </c>
      <c r="M1496">
        <v>0</v>
      </c>
      <c r="N1496">
        <v>2400</v>
      </c>
    </row>
    <row r="1497" spans="1:14" x14ac:dyDescent="0.25">
      <c r="A1497">
        <v>1118.9544189999999</v>
      </c>
      <c r="B1497" s="1">
        <f>DATE(2013,5,23) + TIME(22,54,21)</f>
        <v>41417.954409722224</v>
      </c>
      <c r="C1497">
        <v>80</v>
      </c>
      <c r="D1497">
        <v>79.956275939999998</v>
      </c>
      <c r="E1497">
        <v>50</v>
      </c>
      <c r="F1497">
        <v>47.744277953999998</v>
      </c>
      <c r="G1497">
        <v>1776.6483154</v>
      </c>
      <c r="H1497">
        <v>1650.0264893000001</v>
      </c>
      <c r="I1497">
        <v>928.47204590000001</v>
      </c>
      <c r="J1497">
        <v>733.80535888999998</v>
      </c>
      <c r="K1497">
        <v>2400</v>
      </c>
      <c r="L1497">
        <v>0</v>
      </c>
      <c r="M1497">
        <v>0</v>
      </c>
      <c r="N1497">
        <v>2400</v>
      </c>
    </row>
    <row r="1498" spans="1:14" x14ac:dyDescent="0.25">
      <c r="A1498">
        <v>1119.7056239999999</v>
      </c>
      <c r="B1498" s="1">
        <f>DATE(2013,5,24) + TIME(16,56,5)</f>
        <v>41418.705613425926</v>
      </c>
      <c r="C1498">
        <v>80</v>
      </c>
      <c r="D1498">
        <v>79.955902100000003</v>
      </c>
      <c r="E1498">
        <v>50</v>
      </c>
      <c r="F1498">
        <v>47.699012756000002</v>
      </c>
      <c r="G1498">
        <v>1778.3015137</v>
      </c>
      <c r="H1498">
        <v>1651.6831055</v>
      </c>
      <c r="I1498">
        <v>926.32281493999994</v>
      </c>
      <c r="J1498">
        <v>731.62408446999996</v>
      </c>
      <c r="K1498">
        <v>2400</v>
      </c>
      <c r="L1498">
        <v>0</v>
      </c>
      <c r="M1498">
        <v>0</v>
      </c>
      <c r="N1498">
        <v>2400</v>
      </c>
    </row>
    <row r="1499" spans="1:14" x14ac:dyDescent="0.25">
      <c r="A1499">
        <v>1120.4840839999999</v>
      </c>
      <c r="B1499" s="1">
        <f>DATE(2013,5,25) + TIME(11,37,4)</f>
        <v>41419.484074074076</v>
      </c>
      <c r="C1499">
        <v>80</v>
      </c>
      <c r="D1499">
        <v>79.955543517999999</v>
      </c>
      <c r="E1499">
        <v>50</v>
      </c>
      <c r="F1499">
        <v>47.652404785000002</v>
      </c>
      <c r="G1499">
        <v>1779.9029541</v>
      </c>
      <c r="H1499">
        <v>1653.2878418</v>
      </c>
      <c r="I1499">
        <v>924.22259521000001</v>
      </c>
      <c r="J1499">
        <v>729.49066161999997</v>
      </c>
      <c r="K1499">
        <v>2400</v>
      </c>
      <c r="L1499">
        <v>0</v>
      </c>
      <c r="M1499">
        <v>0</v>
      </c>
      <c r="N1499">
        <v>2400</v>
      </c>
    </row>
    <row r="1500" spans="1:14" x14ac:dyDescent="0.25">
      <c r="A1500">
        <v>1120.880774</v>
      </c>
      <c r="B1500" s="1">
        <f>DATE(2013,5,25) + TIME(21,8,18)</f>
        <v>41419.88076388889</v>
      </c>
      <c r="C1500">
        <v>80</v>
      </c>
      <c r="D1500">
        <v>79.955162048000005</v>
      </c>
      <c r="E1500">
        <v>50</v>
      </c>
      <c r="F1500">
        <v>47.620368958</v>
      </c>
      <c r="G1500">
        <v>1780.5944824000001</v>
      </c>
      <c r="H1500">
        <v>1653.9824219</v>
      </c>
      <c r="I1500">
        <v>923.15704345999995</v>
      </c>
      <c r="J1500">
        <v>728.40472411999997</v>
      </c>
      <c r="K1500">
        <v>2400</v>
      </c>
      <c r="L1500">
        <v>0</v>
      </c>
      <c r="M1500">
        <v>0</v>
      </c>
      <c r="N1500">
        <v>2400</v>
      </c>
    </row>
    <row r="1501" spans="1:14" x14ac:dyDescent="0.25">
      <c r="A1501">
        <v>1121.2774649999999</v>
      </c>
      <c r="B1501" s="1">
        <f>DATE(2013,5,26) + TIME(6,39,32)</f>
        <v>41420.277453703704</v>
      </c>
      <c r="C1501">
        <v>80</v>
      </c>
      <c r="D1501">
        <v>79.954933166999993</v>
      </c>
      <c r="E1501">
        <v>50</v>
      </c>
      <c r="F1501">
        <v>47.590999603</v>
      </c>
      <c r="G1501">
        <v>1781.2971190999999</v>
      </c>
      <c r="H1501">
        <v>1654.6865233999999</v>
      </c>
      <c r="I1501">
        <v>922.13732909999999</v>
      </c>
      <c r="J1501">
        <v>727.36273193</v>
      </c>
      <c r="K1501">
        <v>2400</v>
      </c>
      <c r="L1501">
        <v>0</v>
      </c>
      <c r="M1501">
        <v>0</v>
      </c>
      <c r="N1501">
        <v>2400</v>
      </c>
    </row>
    <row r="1502" spans="1:14" x14ac:dyDescent="0.25">
      <c r="A1502">
        <v>1121.674156</v>
      </c>
      <c r="B1502" s="1">
        <f>DATE(2013,5,26) + TIME(16,10,47)</f>
        <v>41420.674155092594</v>
      </c>
      <c r="C1502">
        <v>80</v>
      </c>
      <c r="D1502">
        <v>79.954780579000001</v>
      </c>
      <c r="E1502">
        <v>50</v>
      </c>
      <c r="F1502">
        <v>47.563388824</v>
      </c>
      <c r="G1502">
        <v>1781.9982910000001</v>
      </c>
      <c r="H1502">
        <v>1655.3891602000001</v>
      </c>
      <c r="I1502">
        <v>921.14984131000006</v>
      </c>
      <c r="J1502">
        <v>726.35437012</v>
      </c>
      <c r="K1502">
        <v>2400</v>
      </c>
      <c r="L1502">
        <v>0</v>
      </c>
      <c r="M1502">
        <v>0</v>
      </c>
      <c r="N1502">
        <v>2400</v>
      </c>
    </row>
    <row r="1503" spans="1:14" x14ac:dyDescent="0.25">
      <c r="A1503">
        <v>1122.467537</v>
      </c>
      <c r="B1503" s="1">
        <f>DATE(2013,5,27) + TIME(11,13,15)</f>
        <v>41421.467534722222</v>
      </c>
      <c r="C1503">
        <v>80</v>
      </c>
      <c r="D1503">
        <v>79.954742432000003</v>
      </c>
      <c r="E1503">
        <v>50</v>
      </c>
      <c r="F1503">
        <v>47.524089813000003</v>
      </c>
      <c r="G1503">
        <v>1783.4647216999999</v>
      </c>
      <c r="H1503">
        <v>1656.8570557</v>
      </c>
      <c r="I1503">
        <v>919.32702637</v>
      </c>
      <c r="J1503">
        <v>724.49987793000003</v>
      </c>
      <c r="K1503">
        <v>2400</v>
      </c>
      <c r="L1503">
        <v>0</v>
      </c>
      <c r="M1503">
        <v>0</v>
      </c>
      <c r="N1503">
        <v>2400</v>
      </c>
    </row>
    <row r="1504" spans="1:14" x14ac:dyDescent="0.25">
      <c r="A1504">
        <v>1123.2626330000001</v>
      </c>
      <c r="B1504" s="1">
        <f>DATE(2013,5,28) + TIME(6,18,11)</f>
        <v>41422.262627314813</v>
      </c>
      <c r="C1504">
        <v>80</v>
      </c>
      <c r="D1504">
        <v>79.954498290999993</v>
      </c>
      <c r="E1504">
        <v>50</v>
      </c>
      <c r="F1504">
        <v>47.480285645000002</v>
      </c>
      <c r="G1504">
        <v>1784.7805175999999</v>
      </c>
      <c r="H1504">
        <v>1658.175293</v>
      </c>
      <c r="I1504">
        <v>917.58544921999999</v>
      </c>
      <c r="J1504">
        <v>722.72637939000003</v>
      </c>
      <c r="K1504">
        <v>2400</v>
      </c>
      <c r="L1504">
        <v>0</v>
      </c>
      <c r="M1504">
        <v>0</v>
      </c>
      <c r="N1504">
        <v>2400</v>
      </c>
    </row>
    <row r="1505" spans="1:14" x14ac:dyDescent="0.25">
      <c r="A1505">
        <v>1124.0675679999999</v>
      </c>
      <c r="B1505" s="1">
        <f>DATE(2013,5,29) + TIME(1,37,17)</f>
        <v>41423.067557870374</v>
      </c>
      <c r="C1505">
        <v>80</v>
      </c>
      <c r="D1505">
        <v>79.954223632999998</v>
      </c>
      <c r="E1505">
        <v>50</v>
      </c>
      <c r="F1505">
        <v>47.434120178000001</v>
      </c>
      <c r="G1505">
        <v>1786.0031738</v>
      </c>
      <c r="H1505">
        <v>1659.4002685999999</v>
      </c>
      <c r="I1505">
        <v>915.91918944999998</v>
      </c>
      <c r="J1505">
        <v>721.02563477000001</v>
      </c>
      <c r="K1505">
        <v>2400</v>
      </c>
      <c r="L1505">
        <v>0</v>
      </c>
      <c r="M1505">
        <v>0</v>
      </c>
      <c r="N1505">
        <v>2400</v>
      </c>
    </row>
    <row r="1506" spans="1:14" x14ac:dyDescent="0.25">
      <c r="A1506">
        <v>1124.885702</v>
      </c>
      <c r="B1506" s="1">
        <f>DATE(2013,5,29) + TIME(21,15,24)</f>
        <v>41423.885694444441</v>
      </c>
      <c r="C1506">
        <v>80</v>
      </c>
      <c r="D1506">
        <v>79.953956603999998</v>
      </c>
      <c r="E1506">
        <v>50</v>
      </c>
      <c r="F1506">
        <v>47.386501312</v>
      </c>
      <c r="G1506">
        <v>1787.1552733999999</v>
      </c>
      <c r="H1506">
        <v>1660.5544434000001</v>
      </c>
      <c r="I1506">
        <v>914.32055663999995</v>
      </c>
      <c r="J1506">
        <v>719.39056396000001</v>
      </c>
      <c r="K1506">
        <v>2400</v>
      </c>
      <c r="L1506">
        <v>0</v>
      </c>
      <c r="M1506">
        <v>0</v>
      </c>
      <c r="N1506">
        <v>2400</v>
      </c>
    </row>
    <row r="1507" spans="1:14" x14ac:dyDescent="0.25">
      <c r="A1507">
        <v>1125.718108</v>
      </c>
      <c r="B1507" s="1">
        <f>DATE(2013,5,30) + TIME(17,14,4)</f>
        <v>41424.718101851853</v>
      </c>
      <c r="C1507">
        <v>80</v>
      </c>
      <c r="D1507">
        <v>79.953712463000002</v>
      </c>
      <c r="E1507">
        <v>50</v>
      </c>
      <c r="F1507">
        <v>47.337848663000003</v>
      </c>
      <c r="G1507">
        <v>1788.2441406</v>
      </c>
      <c r="H1507">
        <v>1661.6452637</v>
      </c>
      <c r="I1507">
        <v>912.78643798999997</v>
      </c>
      <c r="J1507">
        <v>717.81854248000002</v>
      </c>
      <c r="K1507">
        <v>2400</v>
      </c>
      <c r="L1507">
        <v>0</v>
      </c>
      <c r="M1507">
        <v>0</v>
      </c>
      <c r="N1507">
        <v>2400</v>
      </c>
    </row>
    <row r="1508" spans="1:14" x14ac:dyDescent="0.25">
      <c r="A1508">
        <v>1126.568587</v>
      </c>
      <c r="B1508" s="1">
        <f>DATE(2013,5,31) + TIME(13,38,45)</f>
        <v>41425.568576388891</v>
      </c>
      <c r="C1508">
        <v>80</v>
      </c>
      <c r="D1508">
        <v>79.953491210999999</v>
      </c>
      <c r="E1508">
        <v>50</v>
      </c>
      <c r="F1508">
        <v>47.288253783999998</v>
      </c>
      <c r="G1508">
        <v>1789.2777100000001</v>
      </c>
      <c r="H1508">
        <v>1662.6806641000001</v>
      </c>
      <c r="I1508">
        <v>911.30969238</v>
      </c>
      <c r="J1508">
        <v>716.30236816000001</v>
      </c>
      <c r="K1508">
        <v>2400</v>
      </c>
      <c r="L1508">
        <v>0</v>
      </c>
      <c r="M1508">
        <v>0</v>
      </c>
      <c r="N1508">
        <v>2400</v>
      </c>
    </row>
    <row r="1509" spans="1:14" x14ac:dyDescent="0.25">
      <c r="A1509">
        <v>1127</v>
      </c>
      <c r="B1509" s="1">
        <f>DATE(2013,6,1) + TIME(0,0,0)</f>
        <v>41426</v>
      </c>
      <c r="C1509">
        <v>80</v>
      </c>
      <c r="D1509">
        <v>79.953216553000004</v>
      </c>
      <c r="E1509">
        <v>50</v>
      </c>
      <c r="F1509">
        <v>47.253952026</v>
      </c>
      <c r="G1509">
        <v>1789.7019043</v>
      </c>
      <c r="H1509">
        <v>1663.1063231999999</v>
      </c>
      <c r="I1509">
        <v>910.55041503999996</v>
      </c>
      <c r="J1509">
        <v>715.51788329999999</v>
      </c>
      <c r="K1509">
        <v>2400</v>
      </c>
      <c r="L1509">
        <v>0</v>
      </c>
      <c r="M1509">
        <v>0</v>
      </c>
      <c r="N1509">
        <v>2400</v>
      </c>
    </row>
    <row r="1510" spans="1:14" x14ac:dyDescent="0.25">
      <c r="A1510">
        <v>1127.873008</v>
      </c>
      <c r="B1510" s="1">
        <f>DATE(2013,6,1) + TIME(20,57,7)</f>
        <v>41426.872997685183</v>
      </c>
      <c r="C1510">
        <v>80</v>
      </c>
      <c r="D1510">
        <v>79.953163146999998</v>
      </c>
      <c r="E1510">
        <v>50</v>
      </c>
      <c r="F1510">
        <v>47.208011626999998</v>
      </c>
      <c r="G1510">
        <v>1790.6903076000001</v>
      </c>
      <c r="H1510">
        <v>1664.0957031</v>
      </c>
      <c r="I1510">
        <v>909.18798828000001</v>
      </c>
      <c r="J1510">
        <v>714.11444091999999</v>
      </c>
      <c r="K1510">
        <v>2400</v>
      </c>
      <c r="L1510">
        <v>0</v>
      </c>
      <c r="M1510">
        <v>0</v>
      </c>
      <c r="N1510">
        <v>2400</v>
      </c>
    </row>
    <row r="1511" spans="1:14" x14ac:dyDescent="0.25">
      <c r="A1511">
        <v>1128.7895209999999</v>
      </c>
      <c r="B1511" s="1">
        <f>DATE(2013,6,2) + TIME(18,56,54)</f>
        <v>41427.789513888885</v>
      </c>
      <c r="C1511">
        <v>80</v>
      </c>
      <c r="D1511">
        <v>79.953025818</v>
      </c>
      <c r="E1511">
        <v>50</v>
      </c>
      <c r="F1511">
        <v>47.158050537000001</v>
      </c>
      <c r="G1511">
        <v>1791.6337891000001</v>
      </c>
      <c r="H1511">
        <v>1665.0406493999999</v>
      </c>
      <c r="I1511">
        <v>907.83013916000004</v>
      </c>
      <c r="J1511">
        <v>712.71502685999997</v>
      </c>
      <c r="K1511">
        <v>2400</v>
      </c>
      <c r="L1511">
        <v>0</v>
      </c>
      <c r="M1511">
        <v>0</v>
      </c>
      <c r="N1511">
        <v>2400</v>
      </c>
    </row>
    <row r="1512" spans="1:14" x14ac:dyDescent="0.25">
      <c r="A1512">
        <v>1129.741497</v>
      </c>
      <c r="B1512" s="1">
        <f>DATE(2013,6,3) + TIME(17,47,45)</f>
        <v>41428.741493055553</v>
      </c>
      <c r="C1512">
        <v>80</v>
      </c>
      <c r="D1512">
        <v>79.952850342000005</v>
      </c>
      <c r="E1512">
        <v>50</v>
      </c>
      <c r="F1512">
        <v>47.105125426999997</v>
      </c>
      <c r="G1512">
        <v>1792.5235596</v>
      </c>
      <c r="H1512">
        <v>1665.9318848</v>
      </c>
      <c r="I1512">
        <v>906.50616454999999</v>
      </c>
      <c r="J1512">
        <v>711.34588623000002</v>
      </c>
      <c r="K1512">
        <v>2400</v>
      </c>
      <c r="L1512">
        <v>0</v>
      </c>
      <c r="M1512">
        <v>0</v>
      </c>
      <c r="N1512">
        <v>2400</v>
      </c>
    </row>
    <row r="1513" spans="1:14" x14ac:dyDescent="0.25">
      <c r="A1513">
        <v>1130.2181599999999</v>
      </c>
      <c r="B1513" s="1">
        <f>DATE(2013,6,4) + TIME(5,14,9)</f>
        <v>41429.218159722222</v>
      </c>
      <c r="C1513">
        <v>80</v>
      </c>
      <c r="D1513">
        <v>79.952590942</v>
      </c>
      <c r="E1513">
        <v>50</v>
      </c>
      <c r="F1513">
        <v>47.067390441999997</v>
      </c>
      <c r="G1513">
        <v>1792.8620605000001</v>
      </c>
      <c r="H1513">
        <v>1666.2716064000001</v>
      </c>
      <c r="I1513">
        <v>905.82312012</v>
      </c>
      <c r="J1513">
        <v>710.63244628999996</v>
      </c>
      <c r="K1513">
        <v>2400</v>
      </c>
      <c r="L1513">
        <v>0</v>
      </c>
      <c r="M1513">
        <v>0</v>
      </c>
      <c r="N1513">
        <v>2400</v>
      </c>
    </row>
    <row r="1514" spans="1:14" x14ac:dyDescent="0.25">
      <c r="A1514">
        <v>1130.6948219999999</v>
      </c>
      <c r="B1514" s="1">
        <f>DATE(2013,6,4) + TIME(16,40,32)</f>
        <v>41429.694814814815</v>
      </c>
      <c r="C1514">
        <v>80</v>
      </c>
      <c r="D1514">
        <v>79.952453613000003</v>
      </c>
      <c r="E1514">
        <v>50</v>
      </c>
      <c r="F1514">
        <v>47.033447266000003</v>
      </c>
      <c r="G1514">
        <v>1793.2103271000001</v>
      </c>
      <c r="H1514">
        <v>1666.6204834</v>
      </c>
      <c r="I1514">
        <v>905.18304443</v>
      </c>
      <c r="J1514">
        <v>709.96112060999997</v>
      </c>
      <c r="K1514">
        <v>2400</v>
      </c>
      <c r="L1514">
        <v>0</v>
      </c>
      <c r="M1514">
        <v>0</v>
      </c>
      <c r="N1514">
        <v>2400</v>
      </c>
    </row>
    <row r="1515" spans="1:14" x14ac:dyDescent="0.25">
      <c r="A1515">
        <v>1131.1714850000001</v>
      </c>
      <c r="B1515" s="1">
        <f>DATE(2013,6,5) + TIME(4,6,56)</f>
        <v>41430.171481481484</v>
      </c>
      <c r="C1515">
        <v>80</v>
      </c>
      <c r="D1515">
        <v>79.952384949000006</v>
      </c>
      <c r="E1515">
        <v>50</v>
      </c>
      <c r="F1515">
        <v>47.001842498999999</v>
      </c>
      <c r="G1515">
        <v>1793.5629882999999</v>
      </c>
      <c r="H1515">
        <v>1666.9736327999999</v>
      </c>
      <c r="I1515">
        <v>904.56732178000004</v>
      </c>
      <c r="J1515">
        <v>709.31604003999996</v>
      </c>
      <c r="K1515">
        <v>2400</v>
      </c>
      <c r="L1515">
        <v>0</v>
      </c>
      <c r="M1515">
        <v>0</v>
      </c>
      <c r="N1515">
        <v>2400</v>
      </c>
    </row>
    <row r="1516" spans="1:14" x14ac:dyDescent="0.25">
      <c r="A1516">
        <v>1132.12481</v>
      </c>
      <c r="B1516" s="1">
        <f>DATE(2013,6,6) + TIME(2,59,43)</f>
        <v>41431.124803240738</v>
      </c>
      <c r="C1516">
        <v>80</v>
      </c>
      <c r="D1516">
        <v>79.952453613000003</v>
      </c>
      <c r="E1516">
        <v>50</v>
      </c>
      <c r="F1516">
        <v>46.958309174</v>
      </c>
      <c r="G1516">
        <v>1794.3503418</v>
      </c>
      <c r="H1516">
        <v>1667.7617187999999</v>
      </c>
      <c r="I1516">
        <v>903.47161864999998</v>
      </c>
      <c r="J1516">
        <v>708.17791748000002</v>
      </c>
      <c r="K1516">
        <v>2400</v>
      </c>
      <c r="L1516">
        <v>0</v>
      </c>
      <c r="M1516">
        <v>0</v>
      </c>
      <c r="N1516">
        <v>2400</v>
      </c>
    </row>
    <row r="1517" spans="1:14" x14ac:dyDescent="0.25">
      <c r="A1517">
        <v>1133.080103</v>
      </c>
      <c r="B1517" s="1">
        <f>DATE(2013,6,7) + TIME(1,55,20)</f>
        <v>41432.080092592594</v>
      </c>
      <c r="C1517">
        <v>80</v>
      </c>
      <c r="D1517">
        <v>79.952354431000003</v>
      </c>
      <c r="E1517">
        <v>50</v>
      </c>
      <c r="F1517">
        <v>46.908191680999998</v>
      </c>
      <c r="G1517">
        <v>1795.0279541</v>
      </c>
      <c r="H1517">
        <v>1668.4404297000001</v>
      </c>
      <c r="I1517">
        <v>902.41339111000002</v>
      </c>
      <c r="J1517">
        <v>707.07336425999995</v>
      </c>
      <c r="K1517">
        <v>2400</v>
      </c>
      <c r="L1517">
        <v>0</v>
      </c>
      <c r="M1517">
        <v>0</v>
      </c>
      <c r="N1517">
        <v>2400</v>
      </c>
    </row>
    <row r="1518" spans="1:14" x14ac:dyDescent="0.25">
      <c r="A1518">
        <v>1134.0466160000001</v>
      </c>
      <c r="B1518" s="1">
        <f>DATE(2013,6,8) + TIME(1,7,7)</f>
        <v>41433.0466087963</v>
      </c>
      <c r="C1518">
        <v>80</v>
      </c>
      <c r="D1518">
        <v>79.952217102000006</v>
      </c>
      <c r="E1518">
        <v>50</v>
      </c>
      <c r="F1518">
        <v>46.854919434000003</v>
      </c>
      <c r="G1518">
        <v>1795.6340332</v>
      </c>
      <c r="H1518">
        <v>1669.0474853999999</v>
      </c>
      <c r="I1518">
        <v>901.40277100000003</v>
      </c>
      <c r="J1518">
        <v>706.01165771000001</v>
      </c>
      <c r="K1518">
        <v>2400</v>
      </c>
      <c r="L1518">
        <v>0</v>
      </c>
      <c r="M1518">
        <v>0</v>
      </c>
      <c r="N1518">
        <v>2400</v>
      </c>
    </row>
    <row r="1519" spans="1:14" x14ac:dyDescent="0.25">
      <c r="A1519">
        <v>1135.0293899999999</v>
      </c>
      <c r="B1519" s="1">
        <f>DATE(2013,6,9) + TIME(0,42,19)</f>
        <v>41434.029386574075</v>
      </c>
      <c r="C1519">
        <v>80</v>
      </c>
      <c r="D1519">
        <v>79.952087402000004</v>
      </c>
      <c r="E1519">
        <v>50</v>
      </c>
      <c r="F1519">
        <v>46.799808501999998</v>
      </c>
      <c r="G1519">
        <v>1796.1875</v>
      </c>
      <c r="H1519">
        <v>1669.6016846</v>
      </c>
      <c r="I1519">
        <v>900.43548583999996</v>
      </c>
      <c r="J1519">
        <v>704.98968506000006</v>
      </c>
      <c r="K1519">
        <v>2400</v>
      </c>
      <c r="L1519">
        <v>0</v>
      </c>
      <c r="M1519">
        <v>0</v>
      </c>
      <c r="N1519">
        <v>2400</v>
      </c>
    </row>
    <row r="1520" spans="1:14" x14ac:dyDescent="0.25">
      <c r="A1520">
        <v>1136.0329449999999</v>
      </c>
      <c r="B1520" s="1">
        <f>DATE(2013,6,10) + TIME(0,47,26)</f>
        <v>41435.032939814817</v>
      </c>
      <c r="C1520">
        <v>80</v>
      </c>
      <c r="D1520">
        <v>79.951980590999995</v>
      </c>
      <c r="E1520">
        <v>50</v>
      </c>
      <c r="F1520">
        <v>46.743301391999999</v>
      </c>
      <c r="G1520">
        <v>1796.6961670000001</v>
      </c>
      <c r="H1520">
        <v>1670.1112060999999</v>
      </c>
      <c r="I1520">
        <v>899.50714111000002</v>
      </c>
      <c r="J1520">
        <v>704.00366211000005</v>
      </c>
      <c r="K1520">
        <v>2400</v>
      </c>
      <c r="L1520">
        <v>0</v>
      </c>
      <c r="M1520">
        <v>0</v>
      </c>
      <c r="N1520">
        <v>2400</v>
      </c>
    </row>
    <row r="1521" spans="1:14" x14ac:dyDescent="0.25">
      <c r="A1521">
        <v>1137.062672</v>
      </c>
      <c r="B1521" s="1">
        <f>DATE(2013,6,11) + TIME(1,30,14)</f>
        <v>41436.062662037039</v>
      </c>
      <c r="C1521">
        <v>80</v>
      </c>
      <c r="D1521">
        <v>79.951873778999996</v>
      </c>
      <c r="E1521">
        <v>50</v>
      </c>
      <c r="F1521">
        <v>46.685424804999997</v>
      </c>
      <c r="G1521">
        <v>1797.1647949000001</v>
      </c>
      <c r="H1521">
        <v>1670.5806885</v>
      </c>
      <c r="I1521">
        <v>898.61322021000001</v>
      </c>
      <c r="J1521">
        <v>703.04870604999996</v>
      </c>
      <c r="K1521">
        <v>2400</v>
      </c>
      <c r="L1521">
        <v>0</v>
      </c>
      <c r="M1521">
        <v>0</v>
      </c>
      <c r="N1521">
        <v>2400</v>
      </c>
    </row>
    <row r="1522" spans="1:14" x14ac:dyDescent="0.25">
      <c r="A1522">
        <v>1138.124583</v>
      </c>
      <c r="B1522" s="1">
        <f>DATE(2013,6,12) + TIME(2,59,24)</f>
        <v>41437.124583333331</v>
      </c>
      <c r="C1522">
        <v>80</v>
      </c>
      <c r="D1522">
        <v>79.951789856000005</v>
      </c>
      <c r="E1522">
        <v>50</v>
      </c>
      <c r="F1522">
        <v>46.626003265000001</v>
      </c>
      <c r="G1522">
        <v>1797.5965576000001</v>
      </c>
      <c r="H1522">
        <v>1671.0130615</v>
      </c>
      <c r="I1522">
        <v>897.74926758000004</v>
      </c>
      <c r="J1522">
        <v>702.12011718999997</v>
      </c>
      <c r="K1522">
        <v>2400</v>
      </c>
      <c r="L1522">
        <v>0</v>
      </c>
      <c r="M1522">
        <v>0</v>
      </c>
      <c r="N1522">
        <v>2400</v>
      </c>
    </row>
    <row r="1523" spans="1:14" x14ac:dyDescent="0.25">
      <c r="A1523">
        <v>1139.225488</v>
      </c>
      <c r="B1523" s="1">
        <f>DATE(2013,6,13) + TIME(5,24,42)</f>
        <v>41438.225486111114</v>
      </c>
      <c r="C1523">
        <v>80</v>
      </c>
      <c r="D1523">
        <v>79.951713561999995</v>
      </c>
      <c r="E1523">
        <v>50</v>
      </c>
      <c r="F1523">
        <v>46.564746857000003</v>
      </c>
      <c r="G1523">
        <v>1797.9931641000001</v>
      </c>
      <c r="H1523">
        <v>1671.4102783000001</v>
      </c>
      <c r="I1523">
        <v>896.91094970999995</v>
      </c>
      <c r="J1523">
        <v>701.21307373000002</v>
      </c>
      <c r="K1523">
        <v>2400</v>
      </c>
      <c r="L1523">
        <v>0</v>
      </c>
      <c r="M1523">
        <v>0</v>
      </c>
      <c r="N1523">
        <v>2400</v>
      </c>
    </row>
    <row r="1524" spans="1:14" x14ac:dyDescent="0.25">
      <c r="A1524">
        <v>1139.7889319999999</v>
      </c>
      <c r="B1524" s="1">
        <f>DATE(2013,6,13) + TIME(18,56,3)</f>
        <v>41438.788923611108</v>
      </c>
      <c r="C1524">
        <v>80</v>
      </c>
      <c r="D1524">
        <v>79.951530457000004</v>
      </c>
      <c r="E1524">
        <v>50</v>
      </c>
      <c r="F1524">
        <v>46.519897460999999</v>
      </c>
      <c r="G1524">
        <v>1798.1057129000001</v>
      </c>
      <c r="H1524">
        <v>1671.5234375</v>
      </c>
      <c r="I1524">
        <v>896.43597411999997</v>
      </c>
      <c r="J1524">
        <v>700.68804932</v>
      </c>
      <c r="K1524">
        <v>2400</v>
      </c>
      <c r="L1524">
        <v>0</v>
      </c>
      <c r="M1524">
        <v>0</v>
      </c>
      <c r="N1524">
        <v>2400</v>
      </c>
    </row>
    <row r="1525" spans="1:14" x14ac:dyDescent="0.25">
      <c r="A1525">
        <v>1140.3523749999999</v>
      </c>
      <c r="B1525" s="1">
        <f>DATE(2013,6,14) + TIME(8,27,25)</f>
        <v>41439.352372685185</v>
      </c>
      <c r="C1525">
        <v>80</v>
      </c>
      <c r="D1525">
        <v>79.951454162999994</v>
      </c>
      <c r="E1525">
        <v>50</v>
      </c>
      <c r="F1525">
        <v>46.480293273999997</v>
      </c>
      <c r="G1525">
        <v>1798.2281493999999</v>
      </c>
      <c r="H1525">
        <v>1671.6461182</v>
      </c>
      <c r="I1525">
        <v>896.00872803000004</v>
      </c>
      <c r="J1525">
        <v>700.21276854999996</v>
      </c>
      <c r="K1525">
        <v>2400</v>
      </c>
      <c r="L1525">
        <v>0</v>
      </c>
      <c r="M1525">
        <v>0</v>
      </c>
      <c r="N1525">
        <v>2400</v>
      </c>
    </row>
    <row r="1526" spans="1:14" x14ac:dyDescent="0.25">
      <c r="A1526">
        <v>1140.9158190000001</v>
      </c>
      <c r="B1526" s="1">
        <f>DATE(2013,6,14) + TIME(21,58,46)</f>
        <v>41439.915810185186</v>
      </c>
      <c r="C1526">
        <v>80</v>
      </c>
      <c r="D1526">
        <v>79.951431274000001</v>
      </c>
      <c r="E1526">
        <v>50</v>
      </c>
      <c r="F1526">
        <v>46.443702698000003</v>
      </c>
      <c r="G1526">
        <v>1798.3583983999999</v>
      </c>
      <c r="H1526">
        <v>1671.7766113</v>
      </c>
      <c r="I1526">
        <v>895.60205078000001</v>
      </c>
      <c r="J1526">
        <v>699.76116943</v>
      </c>
      <c r="K1526">
        <v>2400</v>
      </c>
      <c r="L1526">
        <v>0</v>
      </c>
      <c r="M1526">
        <v>0</v>
      </c>
      <c r="N1526">
        <v>2400</v>
      </c>
    </row>
    <row r="1527" spans="1:14" x14ac:dyDescent="0.25">
      <c r="A1527">
        <v>1141.4792629999999</v>
      </c>
      <c r="B1527" s="1">
        <f>DATE(2013,6,15) + TIME(11,30,8)</f>
        <v>41440.479259259257</v>
      </c>
      <c r="C1527">
        <v>80</v>
      </c>
      <c r="D1527">
        <v>79.951423645000006</v>
      </c>
      <c r="E1527">
        <v>50</v>
      </c>
      <c r="F1527">
        <v>46.408855438000003</v>
      </c>
      <c r="G1527">
        <v>1798.487793</v>
      </c>
      <c r="H1527">
        <v>1671.9063721</v>
      </c>
      <c r="I1527">
        <v>895.21179199000005</v>
      </c>
      <c r="J1527">
        <v>699.32745361000002</v>
      </c>
      <c r="K1527">
        <v>2400</v>
      </c>
      <c r="L1527">
        <v>0</v>
      </c>
      <c r="M1527">
        <v>0</v>
      </c>
      <c r="N1527">
        <v>2400</v>
      </c>
    </row>
    <row r="1528" spans="1:14" x14ac:dyDescent="0.25">
      <c r="A1528">
        <v>1142.042706</v>
      </c>
      <c r="B1528" s="1">
        <f>DATE(2013,6,16) + TIME(1,1,29)</f>
        <v>41441.042696759258</v>
      </c>
      <c r="C1528">
        <v>80</v>
      </c>
      <c r="D1528">
        <v>79.951423645000006</v>
      </c>
      <c r="E1528">
        <v>50</v>
      </c>
      <c r="F1528">
        <v>46.375015259000001</v>
      </c>
      <c r="G1528">
        <v>1798.6121826000001</v>
      </c>
      <c r="H1528">
        <v>1672.0310059000001</v>
      </c>
      <c r="I1528">
        <v>894.83581543000003</v>
      </c>
      <c r="J1528">
        <v>698.90856933999999</v>
      </c>
      <c r="K1528">
        <v>2400</v>
      </c>
      <c r="L1528">
        <v>0</v>
      </c>
      <c r="M1528">
        <v>0</v>
      </c>
      <c r="N1528">
        <v>2400</v>
      </c>
    </row>
    <row r="1529" spans="1:14" x14ac:dyDescent="0.25">
      <c r="A1529">
        <v>1143.169594</v>
      </c>
      <c r="B1529" s="1">
        <f>DATE(2013,6,17) + TIME(4,4,12)</f>
        <v>41442.169583333336</v>
      </c>
      <c r="C1529">
        <v>80</v>
      </c>
      <c r="D1529">
        <v>79.951545714999995</v>
      </c>
      <c r="E1529">
        <v>50</v>
      </c>
      <c r="F1529">
        <v>46.328273772999999</v>
      </c>
      <c r="G1529">
        <v>1798.9371338000001</v>
      </c>
      <c r="H1529">
        <v>1672.3563231999999</v>
      </c>
      <c r="I1529">
        <v>894.21472168000003</v>
      </c>
      <c r="J1529">
        <v>698.22613524999997</v>
      </c>
      <c r="K1529">
        <v>2400</v>
      </c>
      <c r="L1529">
        <v>0</v>
      </c>
      <c r="M1529">
        <v>0</v>
      </c>
      <c r="N1529">
        <v>2400</v>
      </c>
    </row>
    <row r="1530" spans="1:14" x14ac:dyDescent="0.25">
      <c r="A1530">
        <v>1144.3005760000001</v>
      </c>
      <c r="B1530" s="1">
        <f>DATE(2013,6,18) + TIME(7,12,49)</f>
        <v>41443.300567129627</v>
      </c>
      <c r="C1530">
        <v>80</v>
      </c>
      <c r="D1530">
        <v>79.951515197999996</v>
      </c>
      <c r="E1530">
        <v>50</v>
      </c>
      <c r="F1530">
        <v>46.270793914999999</v>
      </c>
      <c r="G1530">
        <v>1799.1744385</v>
      </c>
      <c r="H1530">
        <v>1672.5941161999999</v>
      </c>
      <c r="I1530">
        <v>893.57849121000004</v>
      </c>
      <c r="J1530">
        <v>697.51513671999999</v>
      </c>
      <c r="K1530">
        <v>2400</v>
      </c>
      <c r="L1530">
        <v>0</v>
      </c>
      <c r="M1530">
        <v>0</v>
      </c>
      <c r="N1530">
        <v>2400</v>
      </c>
    </row>
    <row r="1531" spans="1:14" x14ac:dyDescent="0.25">
      <c r="A1531">
        <v>1145.449828</v>
      </c>
      <c r="B1531" s="1">
        <f>DATE(2013,6,19) + TIME(10,47,45)</f>
        <v>41444.449826388889</v>
      </c>
      <c r="C1531">
        <v>80</v>
      </c>
      <c r="D1531">
        <v>79.951454162999994</v>
      </c>
      <c r="E1531">
        <v>50</v>
      </c>
      <c r="F1531">
        <v>46.208454132</v>
      </c>
      <c r="G1531">
        <v>1799.3549805</v>
      </c>
      <c r="H1531">
        <v>1672.7751464999999</v>
      </c>
      <c r="I1531">
        <v>892.95892333999996</v>
      </c>
      <c r="J1531">
        <v>696.81109618999994</v>
      </c>
      <c r="K1531">
        <v>2400</v>
      </c>
      <c r="L1531">
        <v>0</v>
      </c>
      <c r="M1531">
        <v>0</v>
      </c>
      <c r="N1531">
        <v>2400</v>
      </c>
    </row>
    <row r="1532" spans="1:14" x14ac:dyDescent="0.25">
      <c r="A1532">
        <v>1146.622607</v>
      </c>
      <c r="B1532" s="1">
        <f>DATE(2013,6,20) + TIME(14,56,33)</f>
        <v>41445.622604166667</v>
      </c>
      <c r="C1532">
        <v>80</v>
      </c>
      <c r="D1532">
        <v>79.951400757000002</v>
      </c>
      <c r="E1532">
        <v>50</v>
      </c>
      <c r="F1532">
        <v>46.143333435000002</v>
      </c>
      <c r="G1532">
        <v>1799.4946289</v>
      </c>
      <c r="H1532">
        <v>1672.9150391000001</v>
      </c>
      <c r="I1532">
        <v>892.35742187999995</v>
      </c>
      <c r="J1532">
        <v>696.11810303000004</v>
      </c>
      <c r="K1532">
        <v>2400</v>
      </c>
      <c r="L1532">
        <v>0</v>
      </c>
      <c r="M1532">
        <v>0</v>
      </c>
      <c r="N1532">
        <v>2400</v>
      </c>
    </row>
    <row r="1533" spans="1:14" x14ac:dyDescent="0.25">
      <c r="A1533">
        <v>1147.825165</v>
      </c>
      <c r="B1533" s="1">
        <f>DATE(2013,6,21) + TIME(19,48,14)</f>
        <v>41446.825162037036</v>
      </c>
      <c r="C1533">
        <v>80</v>
      </c>
      <c r="D1533">
        <v>79.951362610000004</v>
      </c>
      <c r="E1533">
        <v>50</v>
      </c>
      <c r="F1533">
        <v>46.076076508</v>
      </c>
      <c r="G1533">
        <v>1799.5997314000001</v>
      </c>
      <c r="H1533">
        <v>1673.0205077999999</v>
      </c>
      <c r="I1533">
        <v>891.77221680000002</v>
      </c>
      <c r="J1533">
        <v>695.43518066000001</v>
      </c>
      <c r="K1533">
        <v>2400</v>
      </c>
      <c r="L1533">
        <v>0</v>
      </c>
      <c r="M1533">
        <v>0</v>
      </c>
      <c r="N1533">
        <v>2400</v>
      </c>
    </row>
    <row r="1534" spans="1:14" x14ac:dyDescent="0.25">
      <c r="A1534">
        <v>1149.0582300000001</v>
      </c>
      <c r="B1534" s="1">
        <f>DATE(2013,6,23) + TIME(1,23,51)</f>
        <v>41448.058229166665</v>
      </c>
      <c r="C1534">
        <v>80</v>
      </c>
      <c r="D1534">
        <v>79.951332092000001</v>
      </c>
      <c r="E1534">
        <v>50</v>
      </c>
      <c r="F1534">
        <v>46.006847381999997</v>
      </c>
      <c r="G1534">
        <v>1799.671875</v>
      </c>
      <c r="H1534">
        <v>1673.0930175999999</v>
      </c>
      <c r="I1534">
        <v>891.20239258000004</v>
      </c>
      <c r="J1534">
        <v>694.76110840000001</v>
      </c>
      <c r="K1534">
        <v>2400</v>
      </c>
      <c r="L1534">
        <v>0</v>
      </c>
      <c r="M1534">
        <v>0</v>
      </c>
      <c r="N1534">
        <v>2400</v>
      </c>
    </row>
    <row r="1535" spans="1:14" x14ac:dyDescent="0.25">
      <c r="A1535">
        <v>1150.321735</v>
      </c>
      <c r="B1535" s="1">
        <f>DATE(2013,6,24) + TIME(7,43,17)</f>
        <v>41449.32172453704</v>
      </c>
      <c r="C1535">
        <v>80</v>
      </c>
      <c r="D1535">
        <v>79.951309203999998</v>
      </c>
      <c r="E1535">
        <v>50</v>
      </c>
      <c r="F1535">
        <v>45.935680388999998</v>
      </c>
      <c r="G1535">
        <v>1799.7119141000001</v>
      </c>
      <c r="H1535">
        <v>1673.1334228999999</v>
      </c>
      <c r="I1535">
        <v>890.64678954999999</v>
      </c>
      <c r="J1535">
        <v>694.09466553000004</v>
      </c>
      <c r="K1535">
        <v>2400</v>
      </c>
      <c r="L1535">
        <v>0</v>
      </c>
      <c r="M1535">
        <v>0</v>
      </c>
      <c r="N1535">
        <v>2400</v>
      </c>
    </row>
    <row r="1536" spans="1:14" x14ac:dyDescent="0.25">
      <c r="A1536">
        <v>1151.6228369999999</v>
      </c>
      <c r="B1536" s="1">
        <f>DATE(2013,6,25) + TIME(14,56,53)</f>
        <v>41450.622835648152</v>
      </c>
      <c r="C1536">
        <v>80</v>
      </c>
      <c r="D1536">
        <v>79.951301575000002</v>
      </c>
      <c r="E1536">
        <v>50</v>
      </c>
      <c r="F1536">
        <v>45.862434387</v>
      </c>
      <c r="G1536">
        <v>1799.7215576000001</v>
      </c>
      <c r="H1536">
        <v>1673.1433105000001</v>
      </c>
      <c r="I1536">
        <v>890.10266113</v>
      </c>
      <c r="J1536">
        <v>693.43237305000002</v>
      </c>
      <c r="K1536">
        <v>2400</v>
      </c>
      <c r="L1536">
        <v>0</v>
      </c>
      <c r="M1536">
        <v>0</v>
      </c>
      <c r="N1536">
        <v>2400</v>
      </c>
    </row>
    <row r="1537" spans="1:14" x14ac:dyDescent="0.25">
      <c r="A1537">
        <v>1152.938623</v>
      </c>
      <c r="B1537" s="1">
        <f>DATE(2013,6,26) + TIME(22,31,36)</f>
        <v>41451.938611111109</v>
      </c>
      <c r="C1537">
        <v>80</v>
      </c>
      <c r="D1537">
        <v>79.951293945000003</v>
      </c>
      <c r="E1537">
        <v>50</v>
      </c>
      <c r="F1537">
        <v>45.787395476999997</v>
      </c>
      <c r="G1537">
        <v>1799.6973877</v>
      </c>
      <c r="H1537">
        <v>1673.1193848</v>
      </c>
      <c r="I1537">
        <v>889.57275390999996</v>
      </c>
      <c r="J1537">
        <v>692.77709961000005</v>
      </c>
      <c r="K1537">
        <v>2400</v>
      </c>
      <c r="L1537">
        <v>0</v>
      </c>
      <c r="M1537">
        <v>0</v>
      </c>
      <c r="N1537">
        <v>2400</v>
      </c>
    </row>
    <row r="1538" spans="1:14" x14ac:dyDescent="0.25">
      <c r="A1538">
        <v>1154.257803</v>
      </c>
      <c r="B1538" s="1">
        <f>DATE(2013,6,28) + TIME(6,11,14)</f>
        <v>41453.257800925923</v>
      </c>
      <c r="C1538">
        <v>80</v>
      </c>
      <c r="D1538">
        <v>79.951286315999994</v>
      </c>
      <c r="E1538">
        <v>50</v>
      </c>
      <c r="F1538">
        <v>45.711242675999998</v>
      </c>
      <c r="G1538">
        <v>1799.6417236</v>
      </c>
      <c r="H1538">
        <v>1673.0640868999999</v>
      </c>
      <c r="I1538">
        <v>889.05957031000003</v>
      </c>
      <c r="J1538">
        <v>692.13208008000004</v>
      </c>
      <c r="K1538">
        <v>2400</v>
      </c>
      <c r="L1538">
        <v>0</v>
      </c>
      <c r="M1538">
        <v>0</v>
      </c>
      <c r="N1538">
        <v>2400</v>
      </c>
    </row>
    <row r="1539" spans="1:14" x14ac:dyDescent="0.25">
      <c r="A1539">
        <v>1155.5828019999999</v>
      </c>
      <c r="B1539" s="1">
        <f>DATE(2013,6,29) + TIME(13,59,14)</f>
        <v>41454.582800925928</v>
      </c>
      <c r="C1539">
        <v>80</v>
      </c>
      <c r="D1539">
        <v>79.951286315999994</v>
      </c>
      <c r="E1539">
        <v>50</v>
      </c>
      <c r="F1539">
        <v>45.634338378999999</v>
      </c>
      <c r="G1539">
        <v>1799.5588379000001</v>
      </c>
      <c r="H1539">
        <v>1672.9813231999999</v>
      </c>
      <c r="I1539">
        <v>888.56207274999997</v>
      </c>
      <c r="J1539">
        <v>691.49676513999998</v>
      </c>
      <c r="K1539">
        <v>2400</v>
      </c>
      <c r="L1539">
        <v>0</v>
      </c>
      <c r="M1539">
        <v>0</v>
      </c>
      <c r="N1539">
        <v>2400</v>
      </c>
    </row>
    <row r="1540" spans="1:14" x14ac:dyDescent="0.25">
      <c r="A1540">
        <v>1156.916843</v>
      </c>
      <c r="B1540" s="1">
        <f>DATE(2013,6,30) + TIME(22,0,15)</f>
        <v>41455.91684027778</v>
      </c>
      <c r="C1540">
        <v>80</v>
      </c>
      <c r="D1540">
        <v>79.951293945000003</v>
      </c>
      <c r="E1540">
        <v>50</v>
      </c>
      <c r="F1540">
        <v>45.556690216</v>
      </c>
      <c r="G1540">
        <v>1799.4514160000001</v>
      </c>
      <c r="H1540">
        <v>1672.8741454999999</v>
      </c>
      <c r="I1540">
        <v>888.07769774999997</v>
      </c>
      <c r="J1540">
        <v>690.86834716999999</v>
      </c>
      <c r="K1540">
        <v>2400</v>
      </c>
      <c r="L1540">
        <v>0</v>
      </c>
      <c r="M1540">
        <v>0</v>
      </c>
      <c r="N1540">
        <v>2400</v>
      </c>
    </row>
    <row r="1541" spans="1:14" x14ac:dyDescent="0.25">
      <c r="A1541">
        <v>1157</v>
      </c>
      <c r="B1541" s="1">
        <f>DATE(2013,7,1) + TIME(0,0,0)</f>
        <v>41456</v>
      </c>
      <c r="C1541">
        <v>80</v>
      </c>
      <c r="D1541">
        <v>79.951271057</v>
      </c>
      <c r="E1541">
        <v>50</v>
      </c>
      <c r="F1541">
        <v>45.544597625999998</v>
      </c>
      <c r="G1541">
        <v>1799.4364014</v>
      </c>
      <c r="H1541">
        <v>1672.8592529</v>
      </c>
      <c r="I1541">
        <v>887.95306396000001</v>
      </c>
      <c r="J1541">
        <v>690.72143555000002</v>
      </c>
      <c r="K1541">
        <v>2400</v>
      </c>
      <c r="L1541">
        <v>0</v>
      </c>
      <c r="M1541">
        <v>0</v>
      </c>
      <c r="N1541">
        <v>2400</v>
      </c>
    </row>
    <row r="1542" spans="1:14" x14ac:dyDescent="0.25">
      <c r="A1542">
        <v>1158.3492940000001</v>
      </c>
      <c r="B1542" s="1">
        <f>DATE(2013,7,2) + TIME(8,22,58)</f>
        <v>41457.349282407406</v>
      </c>
      <c r="C1542">
        <v>80</v>
      </c>
      <c r="D1542">
        <v>79.951293945000003</v>
      </c>
      <c r="E1542">
        <v>50</v>
      </c>
      <c r="F1542">
        <v>45.470573424999998</v>
      </c>
      <c r="G1542">
        <v>1799.3012695</v>
      </c>
      <c r="H1542">
        <v>1672.7242432</v>
      </c>
      <c r="I1542">
        <v>887.56298828000001</v>
      </c>
      <c r="J1542">
        <v>690.18792725000003</v>
      </c>
      <c r="K1542">
        <v>2400</v>
      </c>
      <c r="L1542">
        <v>0</v>
      </c>
      <c r="M1542">
        <v>0</v>
      </c>
      <c r="N1542">
        <v>2400</v>
      </c>
    </row>
    <row r="1543" spans="1:14" x14ac:dyDescent="0.25">
      <c r="A1543">
        <v>1159.722006</v>
      </c>
      <c r="B1543" s="1">
        <f>DATE(2013,7,3) + TIME(17,19,41)</f>
        <v>41458.722002314818</v>
      </c>
      <c r="C1543">
        <v>80</v>
      </c>
      <c r="D1543">
        <v>79.951324463000006</v>
      </c>
      <c r="E1543">
        <v>50</v>
      </c>
      <c r="F1543">
        <v>45.392364502</v>
      </c>
      <c r="G1543">
        <v>1799.1540527</v>
      </c>
      <c r="H1543">
        <v>1672.5771483999999</v>
      </c>
      <c r="I1543">
        <v>887.10229491999996</v>
      </c>
      <c r="J1543">
        <v>689.57208251999998</v>
      </c>
      <c r="K1543">
        <v>2400</v>
      </c>
      <c r="L1543">
        <v>0</v>
      </c>
      <c r="M1543">
        <v>0</v>
      </c>
      <c r="N1543">
        <v>2400</v>
      </c>
    </row>
    <row r="1544" spans="1:14" x14ac:dyDescent="0.25">
      <c r="A1544">
        <v>1161.124691</v>
      </c>
      <c r="B1544" s="1">
        <f>DATE(2013,7,5) + TIME(2,59,33)</f>
        <v>41460.1246875</v>
      </c>
      <c r="C1544">
        <v>80</v>
      </c>
      <c r="D1544">
        <v>79.951354980000005</v>
      </c>
      <c r="E1544">
        <v>50</v>
      </c>
      <c r="F1544">
        <v>45.311393738</v>
      </c>
      <c r="G1544">
        <v>1798.9821777</v>
      </c>
      <c r="H1544">
        <v>1672.4055175999999</v>
      </c>
      <c r="I1544">
        <v>886.63879395000004</v>
      </c>
      <c r="J1544">
        <v>688.94262694999998</v>
      </c>
      <c r="K1544">
        <v>2400</v>
      </c>
      <c r="L1544">
        <v>0</v>
      </c>
      <c r="M1544">
        <v>0</v>
      </c>
      <c r="N1544">
        <v>2400</v>
      </c>
    </row>
    <row r="1545" spans="1:14" x14ac:dyDescent="0.25">
      <c r="A1545">
        <v>1162.563893</v>
      </c>
      <c r="B1545" s="1">
        <f>DATE(2013,7,6) + TIME(13,32,0)</f>
        <v>41461.563888888886</v>
      </c>
      <c r="C1545">
        <v>80</v>
      </c>
      <c r="D1545">
        <v>79.951377868999998</v>
      </c>
      <c r="E1545">
        <v>50</v>
      </c>
      <c r="F1545">
        <v>45.227916718000003</v>
      </c>
      <c r="G1545">
        <v>1798.7867432</v>
      </c>
      <c r="H1545">
        <v>1672.2102050999999</v>
      </c>
      <c r="I1545">
        <v>886.17291260000002</v>
      </c>
      <c r="J1545">
        <v>688.30010986000002</v>
      </c>
      <c r="K1545">
        <v>2400</v>
      </c>
      <c r="L1545">
        <v>0</v>
      </c>
      <c r="M1545">
        <v>0</v>
      </c>
      <c r="N1545">
        <v>2400</v>
      </c>
    </row>
    <row r="1546" spans="1:14" x14ac:dyDescent="0.25">
      <c r="A1546">
        <v>1164.0480910000001</v>
      </c>
      <c r="B1546" s="1">
        <f>DATE(2013,7,8) + TIME(1,9,15)</f>
        <v>41463.048090277778</v>
      </c>
      <c r="C1546">
        <v>80</v>
      </c>
      <c r="D1546">
        <v>79.951408385999997</v>
      </c>
      <c r="E1546">
        <v>50</v>
      </c>
      <c r="F1546">
        <v>45.141719817999999</v>
      </c>
      <c r="G1546">
        <v>1798.5678711</v>
      </c>
      <c r="H1546">
        <v>1671.9915771000001</v>
      </c>
      <c r="I1546">
        <v>885.70196533000001</v>
      </c>
      <c r="J1546">
        <v>687.64093018000005</v>
      </c>
      <c r="K1546">
        <v>2400</v>
      </c>
      <c r="L1546">
        <v>0</v>
      </c>
      <c r="M1546">
        <v>0</v>
      </c>
      <c r="N1546">
        <v>2400</v>
      </c>
    </row>
    <row r="1547" spans="1:14" x14ac:dyDescent="0.25">
      <c r="A1547">
        <v>1164.7957369999999</v>
      </c>
      <c r="B1547" s="1">
        <f>DATE(2013,7,8) + TIME(19,5,51)</f>
        <v>41463.795729166668</v>
      </c>
      <c r="C1547">
        <v>80</v>
      </c>
      <c r="D1547">
        <v>79.951316833000007</v>
      </c>
      <c r="E1547">
        <v>50</v>
      </c>
      <c r="F1547">
        <v>45.075695037999999</v>
      </c>
      <c r="G1547">
        <v>1798.3862305</v>
      </c>
      <c r="H1547">
        <v>1671.8099365</v>
      </c>
      <c r="I1547">
        <v>885.31835937999995</v>
      </c>
      <c r="J1547">
        <v>687.10766602000001</v>
      </c>
      <c r="K1547">
        <v>2400</v>
      </c>
      <c r="L1547">
        <v>0</v>
      </c>
      <c r="M1547">
        <v>0</v>
      </c>
      <c r="N1547">
        <v>2400</v>
      </c>
    </row>
    <row r="1548" spans="1:14" x14ac:dyDescent="0.25">
      <c r="A1548">
        <v>1165.5433820000001</v>
      </c>
      <c r="B1548" s="1">
        <f>DATE(2013,7,9) + TIME(13,2,28)</f>
        <v>41464.543379629627</v>
      </c>
      <c r="C1548">
        <v>80</v>
      </c>
      <c r="D1548">
        <v>79.951301575000002</v>
      </c>
      <c r="E1548">
        <v>50</v>
      </c>
      <c r="F1548">
        <v>45.019798279</v>
      </c>
      <c r="G1548">
        <v>1798.2147216999999</v>
      </c>
      <c r="H1548">
        <v>1671.6384277</v>
      </c>
      <c r="I1548">
        <v>885.03424071999996</v>
      </c>
      <c r="J1548">
        <v>686.69451904000005</v>
      </c>
      <c r="K1548">
        <v>2400</v>
      </c>
      <c r="L1548">
        <v>0</v>
      </c>
      <c r="M1548">
        <v>0</v>
      </c>
      <c r="N1548">
        <v>2400</v>
      </c>
    </row>
    <row r="1549" spans="1:14" x14ac:dyDescent="0.25">
      <c r="A1549">
        <v>1166.291027</v>
      </c>
      <c r="B1549" s="1">
        <f>DATE(2013,7,10) + TIME(6,59,4)</f>
        <v>41465.291018518517</v>
      </c>
      <c r="C1549">
        <v>80</v>
      </c>
      <c r="D1549">
        <v>79.951324463000006</v>
      </c>
      <c r="E1549">
        <v>50</v>
      </c>
      <c r="F1549">
        <v>44.968982697000001</v>
      </c>
      <c r="G1549">
        <v>1798.0566406</v>
      </c>
      <c r="H1549">
        <v>1671.4804687999999</v>
      </c>
      <c r="I1549">
        <v>884.77172852000001</v>
      </c>
      <c r="J1549">
        <v>686.31286621000004</v>
      </c>
      <c r="K1549">
        <v>2400</v>
      </c>
      <c r="L1549">
        <v>0</v>
      </c>
      <c r="M1549">
        <v>0</v>
      </c>
      <c r="N1549">
        <v>2400</v>
      </c>
    </row>
    <row r="1550" spans="1:14" x14ac:dyDescent="0.25">
      <c r="A1550">
        <v>1167.7863179999999</v>
      </c>
      <c r="B1550" s="1">
        <f>DATE(2013,7,11) + TIME(18,52,17)</f>
        <v>41466.786307870374</v>
      </c>
      <c r="C1550">
        <v>80</v>
      </c>
      <c r="D1550">
        <v>79.951507567999997</v>
      </c>
      <c r="E1550">
        <v>50</v>
      </c>
      <c r="F1550">
        <v>44.904247284</v>
      </c>
      <c r="G1550">
        <v>1797.8557129000001</v>
      </c>
      <c r="H1550">
        <v>1671.2797852000001</v>
      </c>
      <c r="I1550">
        <v>884.45660399999997</v>
      </c>
      <c r="J1550">
        <v>685.84448241999996</v>
      </c>
      <c r="K1550">
        <v>2400</v>
      </c>
      <c r="L1550">
        <v>0</v>
      </c>
      <c r="M1550">
        <v>0</v>
      </c>
      <c r="N1550">
        <v>2400</v>
      </c>
    </row>
    <row r="1551" spans="1:14" x14ac:dyDescent="0.25">
      <c r="A1551">
        <v>1169.2823390000001</v>
      </c>
      <c r="B1551" s="1">
        <f>DATE(2013,7,13) + TIME(6,46,34)</f>
        <v>41468.282337962963</v>
      </c>
      <c r="C1551">
        <v>80</v>
      </c>
      <c r="D1551">
        <v>79.951568604000002</v>
      </c>
      <c r="E1551">
        <v>50</v>
      </c>
      <c r="F1551">
        <v>44.822135924999998</v>
      </c>
      <c r="G1551">
        <v>1797.609375</v>
      </c>
      <c r="H1551">
        <v>1671.0335693</v>
      </c>
      <c r="I1551">
        <v>884.01367187999995</v>
      </c>
      <c r="J1551">
        <v>685.20178223000005</v>
      </c>
      <c r="K1551">
        <v>2400</v>
      </c>
      <c r="L1551">
        <v>0</v>
      </c>
      <c r="M1551">
        <v>0</v>
      </c>
      <c r="N1551">
        <v>2400</v>
      </c>
    </row>
    <row r="1552" spans="1:14" x14ac:dyDescent="0.25">
      <c r="A1552">
        <v>1170.7953680000001</v>
      </c>
      <c r="B1552" s="1">
        <f>DATE(2013,7,14) + TIME(19,5,19)</f>
        <v>41469.795358796298</v>
      </c>
      <c r="C1552">
        <v>80</v>
      </c>
      <c r="D1552">
        <v>79.951591492000006</v>
      </c>
      <c r="E1552">
        <v>50</v>
      </c>
      <c r="F1552">
        <v>44.733383179</v>
      </c>
      <c r="G1552">
        <v>1797.3294678</v>
      </c>
      <c r="H1552">
        <v>1670.7537841999999</v>
      </c>
      <c r="I1552">
        <v>883.54852295000001</v>
      </c>
      <c r="J1552">
        <v>684.51428223000005</v>
      </c>
      <c r="K1552">
        <v>2400</v>
      </c>
      <c r="L1552">
        <v>0</v>
      </c>
      <c r="M1552">
        <v>0</v>
      </c>
      <c r="N1552">
        <v>2400</v>
      </c>
    </row>
    <row r="1553" spans="1:14" x14ac:dyDescent="0.25">
      <c r="A1553">
        <v>1172.332476</v>
      </c>
      <c r="B1553" s="1">
        <f>DATE(2013,7,16) + TIME(7,58,45)</f>
        <v>41471.332465277781</v>
      </c>
      <c r="C1553">
        <v>80</v>
      </c>
      <c r="D1553">
        <v>79.951622009000005</v>
      </c>
      <c r="E1553">
        <v>50</v>
      </c>
      <c r="F1553">
        <v>44.641216278000002</v>
      </c>
      <c r="G1553">
        <v>1797.0266113</v>
      </c>
      <c r="H1553">
        <v>1670.4510498</v>
      </c>
      <c r="I1553">
        <v>883.07098388999998</v>
      </c>
      <c r="J1553">
        <v>683.79931640999996</v>
      </c>
      <c r="K1553">
        <v>2400</v>
      </c>
      <c r="L1553">
        <v>0</v>
      </c>
      <c r="M1553">
        <v>0</v>
      </c>
      <c r="N1553">
        <v>2400</v>
      </c>
    </row>
    <row r="1554" spans="1:14" x14ac:dyDescent="0.25">
      <c r="A1554">
        <v>1173.901754</v>
      </c>
      <c r="B1554" s="1">
        <f>DATE(2013,7,17) + TIME(21,38,31)</f>
        <v>41472.901747685188</v>
      </c>
      <c r="C1554">
        <v>80</v>
      </c>
      <c r="D1554">
        <v>79.951660156000003</v>
      </c>
      <c r="E1554">
        <v>50</v>
      </c>
      <c r="F1554">
        <v>44.546440124999997</v>
      </c>
      <c r="G1554">
        <v>1796.7045897999999</v>
      </c>
      <c r="H1554">
        <v>1670.1291504000001</v>
      </c>
      <c r="I1554">
        <v>882.58178711000005</v>
      </c>
      <c r="J1554">
        <v>683.05920409999999</v>
      </c>
      <c r="K1554">
        <v>2400</v>
      </c>
      <c r="L1554">
        <v>0</v>
      </c>
      <c r="M1554">
        <v>0</v>
      </c>
      <c r="N1554">
        <v>2400</v>
      </c>
    </row>
    <row r="1555" spans="1:14" x14ac:dyDescent="0.25">
      <c r="A1555">
        <v>1175.5117009999999</v>
      </c>
      <c r="B1555" s="1">
        <f>DATE(2013,7,19) + TIME(12,16,50)</f>
        <v>41474.511689814812</v>
      </c>
      <c r="C1555">
        <v>80</v>
      </c>
      <c r="D1555">
        <v>79.951705933</v>
      </c>
      <c r="E1555">
        <v>50</v>
      </c>
      <c r="F1555">
        <v>44.448993682999998</v>
      </c>
      <c r="G1555">
        <v>1796.3641356999999</v>
      </c>
      <c r="H1555">
        <v>1669.7886963000001</v>
      </c>
      <c r="I1555">
        <v>882.07885741999996</v>
      </c>
      <c r="J1555">
        <v>682.29132079999999</v>
      </c>
      <c r="K1555">
        <v>2400</v>
      </c>
      <c r="L1555">
        <v>0</v>
      </c>
      <c r="M1555">
        <v>0</v>
      </c>
      <c r="N1555">
        <v>2400</v>
      </c>
    </row>
    <row r="1556" spans="1:14" x14ac:dyDescent="0.25">
      <c r="A1556">
        <v>1177.161206</v>
      </c>
      <c r="B1556" s="1">
        <f>DATE(2013,7,21) + TIME(3,52,8)</f>
        <v>41476.161203703705</v>
      </c>
      <c r="C1556">
        <v>80</v>
      </c>
      <c r="D1556">
        <v>79.951759338000002</v>
      </c>
      <c r="E1556">
        <v>50</v>
      </c>
      <c r="F1556">
        <v>44.348670959000003</v>
      </c>
      <c r="G1556">
        <v>1796.0054932</v>
      </c>
      <c r="H1556">
        <v>1669.4301757999999</v>
      </c>
      <c r="I1556">
        <v>881.55963135000002</v>
      </c>
      <c r="J1556">
        <v>681.49188231999995</v>
      </c>
      <c r="K1556">
        <v>2400</v>
      </c>
      <c r="L1556">
        <v>0</v>
      </c>
      <c r="M1556">
        <v>0</v>
      </c>
      <c r="N1556">
        <v>2400</v>
      </c>
    </row>
    <row r="1557" spans="1:14" x14ac:dyDescent="0.25">
      <c r="A1557">
        <v>1178.844971</v>
      </c>
      <c r="B1557" s="1">
        <f>DATE(2013,7,22) + TIME(20,16,45)</f>
        <v>41477.844965277778</v>
      </c>
      <c r="C1557">
        <v>80</v>
      </c>
      <c r="D1557">
        <v>79.951812743999994</v>
      </c>
      <c r="E1557">
        <v>50</v>
      </c>
      <c r="F1557">
        <v>44.245521545000003</v>
      </c>
      <c r="G1557">
        <v>1795.6297606999999</v>
      </c>
      <c r="H1557">
        <v>1669.0545654</v>
      </c>
      <c r="I1557">
        <v>881.02319336000005</v>
      </c>
      <c r="J1557">
        <v>680.65960693</v>
      </c>
      <c r="K1557">
        <v>2400</v>
      </c>
      <c r="L1557">
        <v>0</v>
      </c>
      <c r="M1557">
        <v>0</v>
      </c>
      <c r="N1557">
        <v>2400</v>
      </c>
    </row>
    <row r="1558" spans="1:14" x14ac:dyDescent="0.25">
      <c r="A1558">
        <v>1180.5348980000001</v>
      </c>
      <c r="B1558" s="1">
        <f>DATE(2013,7,24) + TIME(12,50,15)</f>
        <v>41479.534895833334</v>
      </c>
      <c r="C1558">
        <v>80</v>
      </c>
      <c r="D1558">
        <v>79.951858521000005</v>
      </c>
      <c r="E1558">
        <v>50</v>
      </c>
      <c r="F1558">
        <v>44.140220642000003</v>
      </c>
      <c r="G1558">
        <v>1795.2410889</v>
      </c>
      <c r="H1558">
        <v>1668.6660156</v>
      </c>
      <c r="I1558">
        <v>880.47082520000004</v>
      </c>
      <c r="J1558">
        <v>679.79724121000004</v>
      </c>
      <c r="K1558">
        <v>2400</v>
      </c>
      <c r="L1558">
        <v>0</v>
      </c>
      <c r="M1558">
        <v>0</v>
      </c>
      <c r="N1558">
        <v>2400</v>
      </c>
    </row>
    <row r="1559" spans="1:14" x14ac:dyDescent="0.25">
      <c r="A1559">
        <v>1182.2293299999999</v>
      </c>
      <c r="B1559" s="1">
        <f>DATE(2013,7,26) + TIME(5,30,14)</f>
        <v>41481.229328703703</v>
      </c>
      <c r="C1559">
        <v>80</v>
      </c>
      <c r="D1559">
        <v>79.951911925999994</v>
      </c>
      <c r="E1559">
        <v>50</v>
      </c>
      <c r="F1559">
        <v>44.033691406000003</v>
      </c>
      <c r="G1559">
        <v>1794.8422852000001</v>
      </c>
      <c r="H1559">
        <v>1668.2673339999999</v>
      </c>
      <c r="I1559">
        <v>879.90869140999996</v>
      </c>
      <c r="J1559">
        <v>678.91320800999995</v>
      </c>
      <c r="K1559">
        <v>2400</v>
      </c>
      <c r="L1559">
        <v>0</v>
      </c>
      <c r="M1559">
        <v>0</v>
      </c>
      <c r="N1559">
        <v>2400</v>
      </c>
    </row>
    <row r="1560" spans="1:14" x14ac:dyDescent="0.25">
      <c r="A1560">
        <v>1183.9363760000001</v>
      </c>
      <c r="B1560" s="1">
        <f>DATE(2013,7,27) + TIME(22,28,22)</f>
        <v>41482.936365740738</v>
      </c>
      <c r="C1560">
        <v>80</v>
      </c>
      <c r="D1560">
        <v>79.951972960999996</v>
      </c>
      <c r="E1560">
        <v>50</v>
      </c>
      <c r="F1560">
        <v>43.926128386999999</v>
      </c>
      <c r="G1560">
        <v>1794.4342041</v>
      </c>
      <c r="H1560">
        <v>1667.8592529</v>
      </c>
      <c r="I1560">
        <v>879.33746338000003</v>
      </c>
      <c r="J1560">
        <v>678.00885010000002</v>
      </c>
      <c r="K1560">
        <v>2400</v>
      </c>
      <c r="L1560">
        <v>0</v>
      </c>
      <c r="M1560">
        <v>0</v>
      </c>
      <c r="N1560">
        <v>2400</v>
      </c>
    </row>
    <row r="1561" spans="1:14" x14ac:dyDescent="0.25">
      <c r="A1561">
        <v>1185.6643280000001</v>
      </c>
      <c r="B1561" s="1">
        <f>DATE(2013,7,29) + TIME(15,56,37)</f>
        <v>41484.664317129631</v>
      </c>
      <c r="C1561">
        <v>80</v>
      </c>
      <c r="D1561">
        <v>79.952026367000002</v>
      </c>
      <c r="E1561">
        <v>50</v>
      </c>
      <c r="F1561">
        <v>43.817268372000001</v>
      </c>
      <c r="G1561">
        <v>1794.0163574000001</v>
      </c>
      <c r="H1561">
        <v>1667.4415283000001</v>
      </c>
      <c r="I1561">
        <v>878.75488281000003</v>
      </c>
      <c r="J1561">
        <v>677.08087158000001</v>
      </c>
      <c r="K1561">
        <v>2400</v>
      </c>
      <c r="L1561">
        <v>0</v>
      </c>
      <c r="M1561">
        <v>0</v>
      </c>
      <c r="N1561">
        <v>2400</v>
      </c>
    </row>
    <row r="1562" spans="1:14" x14ac:dyDescent="0.25">
      <c r="A1562">
        <v>1187.421812</v>
      </c>
      <c r="B1562" s="1">
        <f>DATE(2013,7,31) + TIME(10,7,24)</f>
        <v>41486.421805555554</v>
      </c>
      <c r="C1562">
        <v>80</v>
      </c>
      <c r="D1562">
        <v>79.952087402000004</v>
      </c>
      <c r="E1562">
        <v>50</v>
      </c>
      <c r="F1562">
        <v>43.706684113000001</v>
      </c>
      <c r="G1562">
        <v>1793.5877685999999</v>
      </c>
      <c r="H1562">
        <v>1667.0130615</v>
      </c>
      <c r="I1562">
        <v>878.15808104999996</v>
      </c>
      <c r="J1562">
        <v>676.12487793000003</v>
      </c>
      <c r="K1562">
        <v>2400</v>
      </c>
      <c r="L1562">
        <v>0</v>
      </c>
      <c r="M1562">
        <v>0</v>
      </c>
      <c r="N1562">
        <v>2400</v>
      </c>
    </row>
    <row r="1563" spans="1:14" x14ac:dyDescent="0.25">
      <c r="A1563">
        <v>1188</v>
      </c>
      <c r="B1563" s="1">
        <f>DATE(2013,8,1) + TIME(0,0,0)</f>
        <v>41487</v>
      </c>
      <c r="C1563">
        <v>80</v>
      </c>
      <c r="D1563">
        <v>79.952018738000007</v>
      </c>
      <c r="E1563">
        <v>50</v>
      </c>
      <c r="F1563">
        <v>43.637493134000003</v>
      </c>
      <c r="G1563">
        <v>1793.3945312000001</v>
      </c>
      <c r="H1563">
        <v>1666.8197021000001</v>
      </c>
      <c r="I1563">
        <v>877.66259765999996</v>
      </c>
      <c r="J1563">
        <v>675.39196776999995</v>
      </c>
      <c r="K1563">
        <v>2400</v>
      </c>
      <c r="L1563">
        <v>0</v>
      </c>
      <c r="M1563">
        <v>0</v>
      </c>
      <c r="N1563">
        <v>2400</v>
      </c>
    </row>
    <row r="1564" spans="1:14" x14ac:dyDescent="0.25">
      <c r="A1564">
        <v>1189.7813570000001</v>
      </c>
      <c r="B1564" s="1">
        <f>DATE(2013,8,2) + TIME(18,45,9)</f>
        <v>41488.781354166669</v>
      </c>
      <c r="C1564">
        <v>80</v>
      </c>
      <c r="D1564">
        <v>79.952156067000004</v>
      </c>
      <c r="E1564">
        <v>50</v>
      </c>
      <c r="F1564">
        <v>43.547172545999999</v>
      </c>
      <c r="G1564">
        <v>1792.9696045000001</v>
      </c>
      <c r="H1564">
        <v>1666.3950195</v>
      </c>
      <c r="I1564">
        <v>877.30139159999999</v>
      </c>
      <c r="J1564">
        <v>674.73455810999997</v>
      </c>
      <c r="K1564">
        <v>2400</v>
      </c>
      <c r="L1564">
        <v>0</v>
      </c>
      <c r="M1564">
        <v>0</v>
      </c>
      <c r="N1564">
        <v>2400</v>
      </c>
    </row>
    <row r="1565" spans="1:14" x14ac:dyDescent="0.25">
      <c r="A1565">
        <v>1191.6011490000001</v>
      </c>
      <c r="B1565" s="1">
        <f>DATE(2013,8,4) + TIME(14,25,39)</f>
        <v>41490.601145833331</v>
      </c>
      <c r="C1565">
        <v>80</v>
      </c>
      <c r="D1565">
        <v>79.952255249000004</v>
      </c>
      <c r="E1565">
        <v>50</v>
      </c>
      <c r="F1565">
        <v>43.439380645999996</v>
      </c>
      <c r="G1565">
        <v>1792.5343018000001</v>
      </c>
      <c r="H1565">
        <v>1665.9597168</v>
      </c>
      <c r="I1565">
        <v>876.69787598000005</v>
      </c>
      <c r="J1565">
        <v>673.76147461000005</v>
      </c>
      <c r="K1565">
        <v>2400</v>
      </c>
      <c r="L1565">
        <v>0</v>
      </c>
      <c r="M1565">
        <v>0</v>
      </c>
      <c r="N1565">
        <v>2400</v>
      </c>
    </row>
    <row r="1566" spans="1:14" x14ac:dyDescent="0.25">
      <c r="A1566">
        <v>1193.4592640000001</v>
      </c>
      <c r="B1566" s="1">
        <f>DATE(2013,8,6) + TIME(11,1,20)</f>
        <v>41492.45925925926</v>
      </c>
      <c r="C1566">
        <v>80</v>
      </c>
      <c r="D1566">
        <v>79.952316284000005</v>
      </c>
      <c r="E1566">
        <v>50</v>
      </c>
      <c r="F1566">
        <v>43.324352263999998</v>
      </c>
      <c r="G1566">
        <v>1792.0783690999999</v>
      </c>
      <c r="H1566">
        <v>1665.5039062000001</v>
      </c>
      <c r="I1566">
        <v>876.05151366999996</v>
      </c>
      <c r="J1566">
        <v>672.71166991999996</v>
      </c>
      <c r="K1566">
        <v>2400</v>
      </c>
      <c r="L1566">
        <v>0</v>
      </c>
      <c r="M1566">
        <v>0</v>
      </c>
      <c r="N1566">
        <v>2400</v>
      </c>
    </row>
    <row r="1567" spans="1:14" x14ac:dyDescent="0.25">
      <c r="A1567">
        <v>1195.334523</v>
      </c>
      <c r="B1567" s="1">
        <f>DATE(2013,8,8) + TIME(8,1,42)</f>
        <v>41494.334513888891</v>
      </c>
      <c r="C1567">
        <v>80</v>
      </c>
      <c r="D1567">
        <v>79.952377318999993</v>
      </c>
      <c r="E1567">
        <v>50</v>
      </c>
      <c r="F1567">
        <v>43.205757140999999</v>
      </c>
      <c r="G1567">
        <v>1791.609375</v>
      </c>
      <c r="H1567">
        <v>1665.0350341999999</v>
      </c>
      <c r="I1567">
        <v>875.37945557</v>
      </c>
      <c r="J1567">
        <v>671.61437988</v>
      </c>
      <c r="K1567">
        <v>2400</v>
      </c>
      <c r="L1567">
        <v>0</v>
      </c>
      <c r="M1567">
        <v>0</v>
      </c>
      <c r="N1567">
        <v>2400</v>
      </c>
    </row>
    <row r="1568" spans="1:14" x14ac:dyDescent="0.25">
      <c r="A1568">
        <v>1197.2258420000001</v>
      </c>
      <c r="B1568" s="1">
        <f>DATE(2013,8,10) + TIME(5,25,12)</f>
        <v>41496.22583333333</v>
      </c>
      <c r="C1568">
        <v>80</v>
      </c>
      <c r="D1568">
        <v>79.952445983999993</v>
      </c>
      <c r="E1568">
        <v>50</v>
      </c>
      <c r="F1568">
        <v>43.085384369000003</v>
      </c>
      <c r="G1568">
        <v>1791.1311035000001</v>
      </c>
      <c r="H1568">
        <v>1664.5567627</v>
      </c>
      <c r="I1568">
        <v>874.69122314000003</v>
      </c>
      <c r="J1568">
        <v>670.48504638999998</v>
      </c>
      <c r="K1568">
        <v>2400</v>
      </c>
      <c r="L1568">
        <v>0</v>
      </c>
      <c r="M1568">
        <v>0</v>
      </c>
      <c r="N1568">
        <v>2400</v>
      </c>
    </row>
    <row r="1569" spans="1:14" x14ac:dyDescent="0.25">
      <c r="A1569">
        <v>1199.1340379999999</v>
      </c>
      <c r="B1569" s="1">
        <f>DATE(2013,8,12) + TIME(3,13,0)</f>
        <v>41498.134027777778</v>
      </c>
      <c r="C1569">
        <v>80</v>
      </c>
      <c r="D1569">
        <v>79.952514648000005</v>
      </c>
      <c r="E1569">
        <v>50</v>
      </c>
      <c r="F1569">
        <v>42.963836669999999</v>
      </c>
      <c r="G1569">
        <v>1790.6453856999999</v>
      </c>
      <c r="H1569">
        <v>1664.0711670000001</v>
      </c>
      <c r="I1569">
        <v>873.98919678000004</v>
      </c>
      <c r="J1569">
        <v>669.32800293000003</v>
      </c>
      <c r="K1569">
        <v>2400</v>
      </c>
      <c r="L1569">
        <v>0</v>
      </c>
      <c r="M1569">
        <v>0</v>
      </c>
      <c r="N1569">
        <v>2400</v>
      </c>
    </row>
    <row r="1570" spans="1:14" x14ac:dyDescent="0.25">
      <c r="A1570">
        <v>1201.065337</v>
      </c>
      <c r="B1570" s="1">
        <f>DATE(2013,8,14) + TIME(1,34,5)</f>
        <v>41500.065335648149</v>
      </c>
      <c r="C1570">
        <v>80</v>
      </c>
      <c r="D1570">
        <v>79.952583313000005</v>
      </c>
      <c r="E1570">
        <v>50</v>
      </c>
      <c r="F1570">
        <v>42.841197968000003</v>
      </c>
      <c r="G1570">
        <v>1790.1520995999999</v>
      </c>
      <c r="H1570">
        <v>1663.5780029</v>
      </c>
      <c r="I1570">
        <v>873.27398682</v>
      </c>
      <c r="J1570">
        <v>668.14410399999997</v>
      </c>
      <c r="K1570">
        <v>2400</v>
      </c>
      <c r="L1570">
        <v>0</v>
      </c>
      <c r="M1570">
        <v>0</v>
      </c>
      <c r="N1570">
        <v>2400</v>
      </c>
    </row>
    <row r="1571" spans="1:14" x14ac:dyDescent="0.25">
      <c r="A1571">
        <v>1203.0100179999999</v>
      </c>
      <c r="B1571" s="1">
        <f>DATE(2013,8,16) + TIME(0,14,25)</f>
        <v>41502.010011574072</v>
      </c>
      <c r="C1571">
        <v>80</v>
      </c>
      <c r="D1571">
        <v>79.952651978000006</v>
      </c>
      <c r="E1571">
        <v>50</v>
      </c>
      <c r="F1571">
        <v>42.717582702999998</v>
      </c>
      <c r="G1571">
        <v>1789.6533202999999</v>
      </c>
      <c r="H1571">
        <v>1663.0792236</v>
      </c>
      <c r="I1571">
        <v>872.54473876999998</v>
      </c>
      <c r="J1571">
        <v>666.93273925999995</v>
      </c>
      <c r="K1571">
        <v>2400</v>
      </c>
      <c r="L1571">
        <v>0</v>
      </c>
      <c r="M1571">
        <v>0</v>
      </c>
      <c r="N1571">
        <v>2400</v>
      </c>
    </row>
    <row r="1572" spans="1:14" x14ac:dyDescent="0.25">
      <c r="A1572">
        <v>1204.975704</v>
      </c>
      <c r="B1572" s="1">
        <f>DATE(2013,8,17) + TIME(23,25,0)</f>
        <v>41503.975694444445</v>
      </c>
      <c r="C1572">
        <v>80</v>
      </c>
      <c r="D1572">
        <v>79.952720642000003</v>
      </c>
      <c r="E1572">
        <v>50</v>
      </c>
      <c r="F1572">
        <v>42.593257903999998</v>
      </c>
      <c r="G1572">
        <v>1789.1484375</v>
      </c>
      <c r="H1572">
        <v>1662.5743408000001</v>
      </c>
      <c r="I1572">
        <v>871.8046875</v>
      </c>
      <c r="J1572">
        <v>665.69812012</v>
      </c>
      <c r="K1572">
        <v>2400</v>
      </c>
      <c r="L1572">
        <v>0</v>
      </c>
      <c r="M1572">
        <v>0</v>
      </c>
      <c r="N1572">
        <v>2400</v>
      </c>
    </row>
    <row r="1573" spans="1:14" x14ac:dyDescent="0.25">
      <c r="A1573">
        <v>1206.9714590000001</v>
      </c>
      <c r="B1573" s="1">
        <f>DATE(2013,8,19) + TIME(23,18,54)</f>
        <v>41505.971458333333</v>
      </c>
      <c r="C1573">
        <v>80</v>
      </c>
      <c r="D1573">
        <v>79.952796935999999</v>
      </c>
      <c r="E1573">
        <v>50</v>
      </c>
      <c r="F1573">
        <v>42.468017578000001</v>
      </c>
      <c r="G1573">
        <v>1788.6362305</v>
      </c>
      <c r="H1573">
        <v>1662.0622559000001</v>
      </c>
      <c r="I1573">
        <v>871.05242920000001</v>
      </c>
      <c r="J1573">
        <v>664.43798828000001</v>
      </c>
      <c r="K1573">
        <v>2400</v>
      </c>
      <c r="L1573">
        <v>0</v>
      </c>
      <c r="M1573">
        <v>0</v>
      </c>
      <c r="N1573">
        <v>2400</v>
      </c>
    </row>
    <row r="1574" spans="1:14" x14ac:dyDescent="0.25">
      <c r="A1574">
        <v>1209.0070490000001</v>
      </c>
      <c r="B1574" s="1">
        <f>DATE(2013,8,22) + TIME(0,10,9)</f>
        <v>41508.007048611114</v>
      </c>
      <c r="C1574">
        <v>80</v>
      </c>
      <c r="D1574">
        <v>79.952873229999994</v>
      </c>
      <c r="E1574">
        <v>50</v>
      </c>
      <c r="F1574">
        <v>42.34148407</v>
      </c>
      <c r="G1574">
        <v>1788.1148682</v>
      </c>
      <c r="H1574">
        <v>1661.5408935999999</v>
      </c>
      <c r="I1574">
        <v>870.28558350000003</v>
      </c>
      <c r="J1574">
        <v>663.14831543000003</v>
      </c>
      <c r="K1574">
        <v>2400</v>
      </c>
      <c r="L1574">
        <v>0</v>
      </c>
      <c r="M1574">
        <v>0</v>
      </c>
      <c r="N1574">
        <v>2400</v>
      </c>
    </row>
    <row r="1575" spans="1:14" x14ac:dyDescent="0.25">
      <c r="A1575">
        <v>1211.05781</v>
      </c>
      <c r="B1575" s="1">
        <f>DATE(2013,8,24) + TIME(1,23,14)</f>
        <v>41510.057800925926</v>
      </c>
      <c r="C1575">
        <v>80</v>
      </c>
      <c r="D1575">
        <v>79.952941894999995</v>
      </c>
      <c r="E1575">
        <v>50</v>
      </c>
      <c r="F1575">
        <v>42.213821410999998</v>
      </c>
      <c r="G1575">
        <v>1787.5881348</v>
      </c>
      <c r="H1575">
        <v>1661.0142822</v>
      </c>
      <c r="I1575">
        <v>869.50238036999997</v>
      </c>
      <c r="J1575">
        <v>661.82763671999999</v>
      </c>
      <c r="K1575">
        <v>2400</v>
      </c>
      <c r="L1575">
        <v>0</v>
      </c>
      <c r="M1575">
        <v>0</v>
      </c>
      <c r="N1575">
        <v>2400</v>
      </c>
    </row>
    <row r="1576" spans="1:14" x14ac:dyDescent="0.25">
      <c r="A1576">
        <v>1213.1267350000001</v>
      </c>
      <c r="B1576" s="1">
        <f>DATE(2013,8,26) + TIME(3,2,29)</f>
        <v>41512.12672453704</v>
      </c>
      <c r="C1576">
        <v>80</v>
      </c>
      <c r="D1576">
        <v>79.953018188000001</v>
      </c>
      <c r="E1576">
        <v>50</v>
      </c>
      <c r="F1576">
        <v>42.085842133</v>
      </c>
      <c r="G1576">
        <v>1787.0563964999999</v>
      </c>
      <c r="H1576">
        <v>1660.4826660000001</v>
      </c>
      <c r="I1576">
        <v>868.71130371000004</v>
      </c>
      <c r="J1576">
        <v>660.48803711000005</v>
      </c>
      <c r="K1576">
        <v>2400</v>
      </c>
      <c r="L1576">
        <v>0</v>
      </c>
      <c r="M1576">
        <v>0</v>
      </c>
      <c r="N1576">
        <v>2400</v>
      </c>
    </row>
    <row r="1577" spans="1:14" x14ac:dyDescent="0.25">
      <c r="A1577">
        <v>1215.2221400000001</v>
      </c>
      <c r="B1577" s="1">
        <f>DATE(2013,8,28) + TIME(5,19,52)</f>
        <v>41514.222129629627</v>
      </c>
      <c r="C1577">
        <v>80</v>
      </c>
      <c r="D1577">
        <v>79.953094481999997</v>
      </c>
      <c r="E1577">
        <v>50</v>
      </c>
      <c r="F1577">
        <v>41.957736969000003</v>
      </c>
      <c r="G1577">
        <v>1786.5187988</v>
      </c>
      <c r="H1577">
        <v>1659.9451904</v>
      </c>
      <c r="I1577">
        <v>867.91345215000001</v>
      </c>
      <c r="J1577">
        <v>659.13128661999997</v>
      </c>
      <c r="K1577">
        <v>2400</v>
      </c>
      <c r="L1577">
        <v>0</v>
      </c>
      <c r="M1577">
        <v>0</v>
      </c>
      <c r="N1577">
        <v>2400</v>
      </c>
    </row>
    <row r="1578" spans="1:14" x14ac:dyDescent="0.25">
      <c r="A1578">
        <v>1217.3475989999999</v>
      </c>
      <c r="B1578" s="1">
        <f>DATE(2013,8,30) + TIME(8,20,32)</f>
        <v>41516.347592592596</v>
      </c>
      <c r="C1578">
        <v>80</v>
      </c>
      <c r="D1578">
        <v>79.953170775999993</v>
      </c>
      <c r="E1578">
        <v>50</v>
      </c>
      <c r="F1578">
        <v>41.829444885000001</v>
      </c>
      <c r="G1578">
        <v>1785.9748535000001</v>
      </c>
      <c r="H1578">
        <v>1659.4011230000001</v>
      </c>
      <c r="I1578">
        <v>867.10778808999999</v>
      </c>
      <c r="J1578">
        <v>657.75592041000004</v>
      </c>
      <c r="K1578">
        <v>2400</v>
      </c>
      <c r="L1578">
        <v>0</v>
      </c>
      <c r="M1578">
        <v>0</v>
      </c>
      <c r="N1578">
        <v>2400</v>
      </c>
    </row>
    <row r="1579" spans="1:14" x14ac:dyDescent="0.25">
      <c r="A1579">
        <v>1219</v>
      </c>
      <c r="B1579" s="1">
        <f>DATE(2013,9,1) + TIME(0,0,0)</f>
        <v>41518</v>
      </c>
      <c r="C1579">
        <v>80</v>
      </c>
      <c r="D1579">
        <v>79.953193665000001</v>
      </c>
      <c r="E1579">
        <v>50</v>
      </c>
      <c r="F1579">
        <v>41.710491179999998</v>
      </c>
      <c r="G1579">
        <v>1785.5184326000001</v>
      </c>
      <c r="H1579">
        <v>1658.9447021000001</v>
      </c>
      <c r="I1579">
        <v>866.31054687999995</v>
      </c>
      <c r="J1579">
        <v>656.41815185999997</v>
      </c>
      <c r="K1579">
        <v>2400</v>
      </c>
      <c r="L1579">
        <v>0</v>
      </c>
      <c r="M1579">
        <v>0</v>
      </c>
      <c r="N1579">
        <v>2400</v>
      </c>
    </row>
    <row r="1580" spans="1:14" x14ac:dyDescent="0.25">
      <c r="A1580">
        <v>1221.1361010000001</v>
      </c>
      <c r="B1580" s="1">
        <f>DATE(2013,9,3) + TIME(3,15,59)</f>
        <v>41520.136099537034</v>
      </c>
      <c r="C1580">
        <v>80</v>
      </c>
      <c r="D1580">
        <v>79.953308105000005</v>
      </c>
      <c r="E1580">
        <v>50</v>
      </c>
      <c r="F1580">
        <v>41.597839354999998</v>
      </c>
      <c r="G1580">
        <v>1784.9822998</v>
      </c>
      <c r="H1580">
        <v>1658.4088135</v>
      </c>
      <c r="I1580">
        <v>865.64947510000002</v>
      </c>
      <c r="J1580">
        <v>655.24365234000004</v>
      </c>
      <c r="K1580">
        <v>2400</v>
      </c>
      <c r="L1580">
        <v>0</v>
      </c>
      <c r="M1580">
        <v>0</v>
      </c>
      <c r="N1580">
        <v>2400</v>
      </c>
    </row>
    <row r="1581" spans="1:14" x14ac:dyDescent="0.25">
      <c r="A1581">
        <v>1223.31565</v>
      </c>
      <c r="B1581" s="1">
        <f>DATE(2013,9,5) + TIME(7,34,32)</f>
        <v>41522.315648148149</v>
      </c>
      <c r="C1581">
        <v>80</v>
      </c>
      <c r="D1581">
        <v>79.953392029</v>
      </c>
      <c r="E1581">
        <v>50</v>
      </c>
      <c r="F1581">
        <v>41.475799561000002</v>
      </c>
      <c r="G1581">
        <v>1784.4364014</v>
      </c>
      <c r="H1581">
        <v>1657.8629149999999</v>
      </c>
      <c r="I1581">
        <v>864.85809326000003</v>
      </c>
      <c r="J1581">
        <v>653.88299560999997</v>
      </c>
      <c r="K1581">
        <v>2400</v>
      </c>
      <c r="L1581">
        <v>0</v>
      </c>
      <c r="M1581">
        <v>0</v>
      </c>
      <c r="N1581">
        <v>2400</v>
      </c>
    </row>
    <row r="1582" spans="1:14" x14ac:dyDescent="0.25">
      <c r="A1582">
        <v>1225.5331639999999</v>
      </c>
      <c r="B1582" s="1">
        <f>DATE(2013,9,7) + TIME(12,47,45)</f>
        <v>41524.533159722225</v>
      </c>
      <c r="C1582">
        <v>80</v>
      </c>
      <c r="D1582">
        <v>79.953468322999996</v>
      </c>
      <c r="E1582">
        <v>50</v>
      </c>
      <c r="F1582">
        <v>41.351299286</v>
      </c>
      <c r="G1582">
        <v>1783.8786620999999</v>
      </c>
      <c r="H1582">
        <v>1657.3052978999999</v>
      </c>
      <c r="I1582">
        <v>864.04827881000006</v>
      </c>
      <c r="J1582">
        <v>652.48266602000001</v>
      </c>
      <c r="K1582">
        <v>2400</v>
      </c>
      <c r="L1582">
        <v>0</v>
      </c>
      <c r="M1582">
        <v>0</v>
      </c>
      <c r="N1582">
        <v>2400</v>
      </c>
    </row>
    <row r="1583" spans="1:14" x14ac:dyDescent="0.25">
      <c r="A1583">
        <v>1227.7719709999999</v>
      </c>
      <c r="B1583" s="1">
        <f>DATE(2013,9,9) + TIME(18,31,38)</f>
        <v>41526.771967592591</v>
      </c>
      <c r="C1583">
        <v>80</v>
      </c>
      <c r="D1583">
        <v>79.953544617000006</v>
      </c>
      <c r="E1583">
        <v>50</v>
      </c>
      <c r="F1583">
        <v>41.227016448999997</v>
      </c>
      <c r="G1583">
        <v>1783.3142089999999</v>
      </c>
      <c r="H1583">
        <v>1656.7408447</v>
      </c>
      <c r="I1583">
        <v>863.23388671999999</v>
      </c>
      <c r="J1583">
        <v>651.06817626999998</v>
      </c>
      <c r="K1583">
        <v>2400</v>
      </c>
      <c r="L1583">
        <v>0</v>
      </c>
      <c r="M1583">
        <v>0</v>
      </c>
      <c r="N1583">
        <v>2400</v>
      </c>
    </row>
    <row r="1584" spans="1:14" x14ac:dyDescent="0.25">
      <c r="A1584">
        <v>1230.029374</v>
      </c>
      <c r="B1584" s="1">
        <f>DATE(2013,9,12) + TIME(0,42,17)</f>
        <v>41529.029363425929</v>
      </c>
      <c r="C1584">
        <v>80</v>
      </c>
      <c r="D1584">
        <v>79.953620911000002</v>
      </c>
      <c r="E1584">
        <v>50</v>
      </c>
      <c r="F1584">
        <v>41.104488373000002</v>
      </c>
      <c r="G1584">
        <v>1782.7448730000001</v>
      </c>
      <c r="H1584">
        <v>1656.1716309000001</v>
      </c>
      <c r="I1584">
        <v>862.42462158000001</v>
      </c>
      <c r="J1584">
        <v>649.65655518000005</v>
      </c>
      <c r="K1584">
        <v>2400</v>
      </c>
      <c r="L1584">
        <v>0</v>
      </c>
      <c r="M1584">
        <v>0</v>
      </c>
      <c r="N1584">
        <v>2400</v>
      </c>
    </row>
    <row r="1585" spans="1:14" x14ac:dyDescent="0.25">
      <c r="A1585">
        <v>1232.3137979999999</v>
      </c>
      <c r="B1585" s="1">
        <f>DATE(2013,9,14) + TIME(7,31,52)</f>
        <v>41531.313796296294</v>
      </c>
      <c r="C1585">
        <v>80</v>
      </c>
      <c r="D1585">
        <v>79.953704834000007</v>
      </c>
      <c r="E1585">
        <v>50</v>
      </c>
      <c r="F1585">
        <v>40.984439850000001</v>
      </c>
      <c r="G1585">
        <v>1782.1702881000001</v>
      </c>
      <c r="H1585">
        <v>1655.5970459</v>
      </c>
      <c r="I1585">
        <v>861.62493896000001</v>
      </c>
      <c r="J1585">
        <v>648.25555420000001</v>
      </c>
      <c r="K1585">
        <v>2400</v>
      </c>
      <c r="L1585">
        <v>0</v>
      </c>
      <c r="M1585">
        <v>0</v>
      </c>
      <c r="N1585">
        <v>2400</v>
      </c>
    </row>
    <row r="1586" spans="1:14" x14ac:dyDescent="0.25">
      <c r="A1586">
        <v>1234.6283619999999</v>
      </c>
      <c r="B1586" s="1">
        <f>DATE(2013,9,16) + TIME(15,4,50)</f>
        <v>41533.62835648148</v>
      </c>
      <c r="C1586">
        <v>80</v>
      </c>
      <c r="D1586">
        <v>79.953781128000003</v>
      </c>
      <c r="E1586">
        <v>50</v>
      </c>
      <c r="F1586">
        <v>40.867218018000003</v>
      </c>
      <c r="G1586">
        <v>1781.5900879000001</v>
      </c>
      <c r="H1586">
        <v>1655.0169678</v>
      </c>
      <c r="I1586">
        <v>860.83544921999999</v>
      </c>
      <c r="J1586">
        <v>646.86700439000003</v>
      </c>
      <c r="K1586">
        <v>2400</v>
      </c>
      <c r="L1586">
        <v>0</v>
      </c>
      <c r="M1586">
        <v>0</v>
      </c>
      <c r="N1586">
        <v>2400</v>
      </c>
    </row>
    <row r="1587" spans="1:14" x14ac:dyDescent="0.25">
      <c r="A1587">
        <v>1236.963201</v>
      </c>
      <c r="B1587" s="1">
        <f>DATE(2013,9,18) + TIME(23,7,0)</f>
        <v>41535.963194444441</v>
      </c>
      <c r="C1587">
        <v>80</v>
      </c>
      <c r="D1587">
        <v>79.953865050999994</v>
      </c>
      <c r="E1587">
        <v>50</v>
      </c>
      <c r="F1587">
        <v>40.753406525000003</v>
      </c>
      <c r="G1587">
        <v>1781.0063477000001</v>
      </c>
      <c r="H1587">
        <v>1654.4331055</v>
      </c>
      <c r="I1587">
        <v>860.05816649999997</v>
      </c>
      <c r="J1587">
        <v>645.49554443</v>
      </c>
      <c r="K1587">
        <v>2400</v>
      </c>
      <c r="L1587">
        <v>0</v>
      </c>
      <c r="M1587">
        <v>0</v>
      </c>
      <c r="N1587">
        <v>2400</v>
      </c>
    </row>
    <row r="1588" spans="1:14" x14ac:dyDescent="0.25">
      <c r="A1588">
        <v>1239.319133</v>
      </c>
      <c r="B1588" s="1">
        <f>DATE(2013,9,21) + TIME(7,39,33)</f>
        <v>41538.319131944445</v>
      </c>
      <c r="C1588">
        <v>80</v>
      </c>
      <c r="D1588">
        <v>79.953941345000004</v>
      </c>
      <c r="E1588">
        <v>50</v>
      </c>
      <c r="F1588">
        <v>40.643913269000002</v>
      </c>
      <c r="G1588">
        <v>1780.4189452999999</v>
      </c>
      <c r="H1588">
        <v>1653.8459473</v>
      </c>
      <c r="I1588">
        <v>859.29913329999999</v>
      </c>
      <c r="J1588">
        <v>644.15155029000005</v>
      </c>
      <c r="K1588">
        <v>2400</v>
      </c>
      <c r="L1588">
        <v>0</v>
      </c>
      <c r="M1588">
        <v>0</v>
      </c>
      <c r="N1588">
        <v>2400</v>
      </c>
    </row>
    <row r="1589" spans="1:14" x14ac:dyDescent="0.25">
      <c r="A1589">
        <v>1241.7020480000001</v>
      </c>
      <c r="B1589" s="1">
        <f>DATE(2013,9,23) + TIME(16,50,56)</f>
        <v>41540.702037037037</v>
      </c>
      <c r="C1589">
        <v>80</v>
      </c>
      <c r="D1589">
        <v>79.954025268999999</v>
      </c>
      <c r="E1589">
        <v>50</v>
      </c>
      <c r="F1589">
        <v>40.539398192999997</v>
      </c>
      <c r="G1589">
        <v>1779.8273925999999</v>
      </c>
      <c r="H1589">
        <v>1653.2543945</v>
      </c>
      <c r="I1589">
        <v>858.56158446999996</v>
      </c>
      <c r="J1589">
        <v>642.84100341999999</v>
      </c>
      <c r="K1589">
        <v>2400</v>
      </c>
      <c r="L1589">
        <v>0</v>
      </c>
      <c r="M1589">
        <v>0</v>
      </c>
      <c r="N1589">
        <v>2400</v>
      </c>
    </row>
    <row r="1590" spans="1:14" x14ac:dyDescent="0.25">
      <c r="A1590">
        <v>1244.123499</v>
      </c>
      <c r="B1590" s="1">
        <f>DATE(2013,9,26) + TIME(2,57,50)</f>
        <v>41543.123495370368</v>
      </c>
      <c r="C1590">
        <v>80</v>
      </c>
      <c r="D1590">
        <v>79.954109192000004</v>
      </c>
      <c r="E1590">
        <v>50</v>
      </c>
      <c r="F1590">
        <v>40.440368651999997</v>
      </c>
      <c r="G1590">
        <v>1779.2294922000001</v>
      </c>
      <c r="H1590">
        <v>1652.6566161999999</v>
      </c>
      <c r="I1590">
        <v>857.84716796999999</v>
      </c>
      <c r="J1590">
        <v>641.56744385000002</v>
      </c>
      <c r="K1590">
        <v>2400</v>
      </c>
      <c r="L1590">
        <v>0</v>
      </c>
      <c r="M1590">
        <v>0</v>
      </c>
      <c r="N1590">
        <v>2400</v>
      </c>
    </row>
    <row r="1591" spans="1:14" x14ac:dyDescent="0.25">
      <c r="A1591">
        <v>1246.5705969999999</v>
      </c>
      <c r="B1591" s="1">
        <f>DATE(2013,9,28) + TIME(13,41,39)</f>
        <v>41545.570590277777</v>
      </c>
      <c r="C1591">
        <v>80</v>
      </c>
      <c r="D1591">
        <v>79.954193114999995</v>
      </c>
      <c r="E1591">
        <v>50</v>
      </c>
      <c r="F1591">
        <v>40.347526549999998</v>
      </c>
      <c r="G1591">
        <v>1778.6275635</v>
      </c>
      <c r="H1591">
        <v>1652.0545654</v>
      </c>
      <c r="I1591">
        <v>857.15612793000003</v>
      </c>
      <c r="J1591">
        <v>640.33380126999998</v>
      </c>
      <c r="K1591">
        <v>2400</v>
      </c>
      <c r="L1591">
        <v>0</v>
      </c>
      <c r="M1591">
        <v>0</v>
      </c>
      <c r="N1591">
        <v>2400</v>
      </c>
    </row>
    <row r="1592" spans="1:14" x14ac:dyDescent="0.25">
      <c r="A1592">
        <v>1249</v>
      </c>
      <c r="B1592" s="1">
        <f>DATE(2013,10,1) + TIME(0,0,0)</f>
        <v>41548</v>
      </c>
      <c r="C1592">
        <v>80</v>
      </c>
      <c r="D1592">
        <v>79.954269409000005</v>
      </c>
      <c r="E1592">
        <v>50</v>
      </c>
      <c r="F1592">
        <v>40.262382506999998</v>
      </c>
      <c r="G1592">
        <v>1778.0292969</v>
      </c>
      <c r="H1592">
        <v>1651.4564209</v>
      </c>
      <c r="I1592">
        <v>856.49542236000002</v>
      </c>
      <c r="J1592">
        <v>639.15417479999996</v>
      </c>
      <c r="K1592">
        <v>2400</v>
      </c>
      <c r="L1592">
        <v>0</v>
      </c>
      <c r="M1592">
        <v>0</v>
      </c>
      <c r="N1592">
        <v>2400</v>
      </c>
    </row>
    <row r="1593" spans="1:14" x14ac:dyDescent="0.25">
      <c r="A1593">
        <v>1251.4681800000001</v>
      </c>
      <c r="B1593" s="1">
        <f>DATE(2013,10,3) + TIME(11,14,10)</f>
        <v>41550.468171296299</v>
      </c>
      <c r="C1593">
        <v>80</v>
      </c>
      <c r="D1593">
        <v>79.954353333</v>
      </c>
      <c r="E1593">
        <v>50</v>
      </c>
      <c r="F1593">
        <v>40.186164855999998</v>
      </c>
      <c r="G1593">
        <v>1777.4259033000001</v>
      </c>
      <c r="H1593">
        <v>1650.8531493999999</v>
      </c>
      <c r="I1593">
        <v>855.87860106999995</v>
      </c>
      <c r="J1593">
        <v>638.04888916000004</v>
      </c>
      <c r="K1593">
        <v>2400</v>
      </c>
      <c r="L1593">
        <v>0</v>
      </c>
      <c r="M1593">
        <v>0</v>
      </c>
      <c r="N1593">
        <v>2400</v>
      </c>
    </row>
    <row r="1594" spans="1:14" x14ac:dyDescent="0.25">
      <c r="A1594">
        <v>1253.980262</v>
      </c>
      <c r="B1594" s="1">
        <f>DATE(2013,10,5) + TIME(23,31,34)</f>
        <v>41552.980254629627</v>
      </c>
      <c r="C1594">
        <v>80</v>
      </c>
      <c r="D1594">
        <v>79.954437256000006</v>
      </c>
      <c r="E1594">
        <v>50</v>
      </c>
      <c r="F1594">
        <v>40.118911742999998</v>
      </c>
      <c r="G1594">
        <v>1776.8161620999999</v>
      </c>
      <c r="H1594">
        <v>1650.2434082</v>
      </c>
      <c r="I1594">
        <v>855.29553223000005</v>
      </c>
      <c r="J1594">
        <v>637.00531006000006</v>
      </c>
      <c r="K1594">
        <v>2400</v>
      </c>
      <c r="L1594">
        <v>0</v>
      </c>
      <c r="M1594">
        <v>0</v>
      </c>
      <c r="N1594">
        <v>2400</v>
      </c>
    </row>
    <row r="1595" spans="1:14" x14ac:dyDescent="0.25">
      <c r="A1595">
        <v>1256.5147420000001</v>
      </c>
      <c r="B1595" s="1">
        <f>DATE(2013,10,8) + TIME(12,21,13)</f>
        <v>41555.514733796299</v>
      </c>
      <c r="C1595">
        <v>80</v>
      </c>
      <c r="D1595">
        <v>79.954521178999997</v>
      </c>
      <c r="E1595">
        <v>50</v>
      </c>
      <c r="F1595">
        <v>40.061580657999997</v>
      </c>
      <c r="G1595">
        <v>1776.2036132999999</v>
      </c>
      <c r="H1595">
        <v>1649.6308594</v>
      </c>
      <c r="I1595">
        <v>854.74725341999999</v>
      </c>
      <c r="J1595">
        <v>636.02770996000004</v>
      </c>
      <c r="K1595">
        <v>2400</v>
      </c>
      <c r="L1595">
        <v>0</v>
      </c>
      <c r="M1595">
        <v>0</v>
      </c>
      <c r="N1595">
        <v>2400</v>
      </c>
    </row>
    <row r="1596" spans="1:14" x14ac:dyDescent="0.25">
      <c r="A1596">
        <v>1259.0794289999999</v>
      </c>
      <c r="B1596" s="1">
        <f>DATE(2013,10,11) + TIME(1,54,22)</f>
        <v>41558.079421296294</v>
      </c>
      <c r="C1596">
        <v>80</v>
      </c>
      <c r="D1596">
        <v>79.954612732000001</v>
      </c>
      <c r="E1596">
        <v>50</v>
      </c>
      <c r="F1596">
        <v>40.015453338999997</v>
      </c>
      <c r="G1596">
        <v>1775.5867920000001</v>
      </c>
      <c r="H1596">
        <v>1649.0141602000001</v>
      </c>
      <c r="I1596">
        <v>854.24102783000001</v>
      </c>
      <c r="J1596">
        <v>635.12927246000004</v>
      </c>
      <c r="K1596">
        <v>2400</v>
      </c>
      <c r="L1596">
        <v>0</v>
      </c>
      <c r="M1596">
        <v>0</v>
      </c>
      <c r="N1596">
        <v>2400</v>
      </c>
    </row>
    <row r="1597" spans="1:14" x14ac:dyDescent="0.25">
      <c r="A1597">
        <v>1261.66975</v>
      </c>
      <c r="B1597" s="1">
        <f>DATE(2013,10,13) + TIME(16,4,26)</f>
        <v>41560.669745370367</v>
      </c>
      <c r="C1597">
        <v>80</v>
      </c>
      <c r="D1597">
        <v>79.954696655000006</v>
      </c>
      <c r="E1597">
        <v>50</v>
      </c>
      <c r="F1597">
        <v>39.981582641999999</v>
      </c>
      <c r="G1597">
        <v>1774.9670410000001</v>
      </c>
      <c r="H1597">
        <v>1648.3944091999999</v>
      </c>
      <c r="I1597">
        <v>853.77777100000003</v>
      </c>
      <c r="J1597">
        <v>634.31408691000001</v>
      </c>
      <c r="K1597">
        <v>2400</v>
      </c>
      <c r="L1597">
        <v>0</v>
      </c>
      <c r="M1597">
        <v>0</v>
      </c>
      <c r="N1597">
        <v>2400</v>
      </c>
    </row>
    <row r="1598" spans="1:14" x14ac:dyDescent="0.25">
      <c r="A1598">
        <v>1264.3072340000001</v>
      </c>
      <c r="B1598" s="1">
        <f>DATE(2013,10,16) + TIME(7,22,25)</f>
        <v>41563.307233796295</v>
      </c>
      <c r="C1598">
        <v>80</v>
      </c>
      <c r="D1598">
        <v>79.954780579000001</v>
      </c>
      <c r="E1598">
        <v>50</v>
      </c>
      <c r="F1598">
        <v>39.960964203000003</v>
      </c>
      <c r="G1598">
        <v>1774.3406981999999</v>
      </c>
      <c r="H1598">
        <v>1647.7681885</v>
      </c>
      <c r="I1598">
        <v>853.36016845999995</v>
      </c>
      <c r="J1598">
        <v>633.58813477000001</v>
      </c>
      <c r="K1598">
        <v>2400</v>
      </c>
      <c r="L1598">
        <v>0</v>
      </c>
      <c r="M1598">
        <v>0</v>
      </c>
      <c r="N1598">
        <v>2400</v>
      </c>
    </row>
    <row r="1599" spans="1:14" x14ac:dyDescent="0.25">
      <c r="A1599">
        <v>1266.9708149999999</v>
      </c>
      <c r="B1599" s="1">
        <f>DATE(2013,10,18) + TIME(23,17,58)</f>
        <v>41565.970810185187</v>
      </c>
      <c r="C1599">
        <v>80</v>
      </c>
      <c r="D1599">
        <v>79.954864502000007</v>
      </c>
      <c r="E1599">
        <v>50</v>
      </c>
      <c r="F1599">
        <v>39.954608917000002</v>
      </c>
      <c r="G1599">
        <v>1773.7113036999999</v>
      </c>
      <c r="H1599">
        <v>1647.1389160000001</v>
      </c>
      <c r="I1599">
        <v>852.98596191000001</v>
      </c>
      <c r="J1599">
        <v>632.95104979999996</v>
      </c>
      <c r="K1599">
        <v>2400</v>
      </c>
      <c r="L1599">
        <v>0</v>
      </c>
      <c r="M1599">
        <v>0</v>
      </c>
      <c r="N1599">
        <v>2400</v>
      </c>
    </row>
    <row r="1600" spans="1:14" x14ac:dyDescent="0.25">
      <c r="A1600">
        <v>1269.6593009999999</v>
      </c>
      <c r="B1600" s="1">
        <f>DATE(2013,10,21) + TIME(15,49,23)</f>
        <v>41568.65929398148</v>
      </c>
      <c r="C1600">
        <v>80</v>
      </c>
      <c r="D1600">
        <v>79.954956054999997</v>
      </c>
      <c r="E1600">
        <v>50</v>
      </c>
      <c r="F1600">
        <v>39.963523864999999</v>
      </c>
      <c r="G1600">
        <v>1773.0797118999999</v>
      </c>
      <c r="H1600">
        <v>1646.5072021000001</v>
      </c>
      <c r="I1600">
        <v>852.65899658000001</v>
      </c>
      <c r="J1600">
        <v>632.41070557</v>
      </c>
      <c r="K1600">
        <v>2400</v>
      </c>
      <c r="L1600">
        <v>0</v>
      </c>
      <c r="M1600">
        <v>0</v>
      </c>
      <c r="N1600">
        <v>2400</v>
      </c>
    </row>
    <row r="1601" spans="1:14" x14ac:dyDescent="0.25">
      <c r="A1601">
        <v>1272.380568</v>
      </c>
      <c r="B1601" s="1">
        <f>DATE(2013,10,24) + TIME(9,8,1)</f>
        <v>41571.380567129629</v>
      </c>
      <c r="C1601">
        <v>80</v>
      </c>
      <c r="D1601">
        <v>79.955039978000002</v>
      </c>
      <c r="E1601">
        <v>50</v>
      </c>
      <c r="F1601">
        <v>39.988468169999997</v>
      </c>
      <c r="G1601">
        <v>1772.4447021000001</v>
      </c>
      <c r="H1601">
        <v>1645.8723144999999</v>
      </c>
      <c r="I1601">
        <v>852.37939453000001</v>
      </c>
      <c r="J1601">
        <v>631.96893310999997</v>
      </c>
      <c r="K1601">
        <v>2400</v>
      </c>
      <c r="L1601">
        <v>0</v>
      </c>
      <c r="M1601">
        <v>0</v>
      </c>
      <c r="N1601">
        <v>2400</v>
      </c>
    </row>
    <row r="1602" spans="1:14" x14ac:dyDescent="0.25">
      <c r="A1602">
        <v>1275.1170360000001</v>
      </c>
      <c r="B1602" s="1">
        <f>DATE(2013,10,27) + TIME(2,48,31)</f>
        <v>41574.117025462961</v>
      </c>
      <c r="C1602">
        <v>80</v>
      </c>
      <c r="D1602">
        <v>79.955123900999993</v>
      </c>
      <c r="E1602">
        <v>50</v>
      </c>
      <c r="F1602">
        <v>40.030044556</v>
      </c>
      <c r="G1602">
        <v>1771.8099365</v>
      </c>
      <c r="H1602">
        <v>1645.2375488</v>
      </c>
      <c r="I1602">
        <v>852.14526366999996</v>
      </c>
      <c r="J1602">
        <v>631.62426758000004</v>
      </c>
      <c r="K1602">
        <v>2400</v>
      </c>
      <c r="L1602">
        <v>0</v>
      </c>
      <c r="M1602">
        <v>0</v>
      </c>
      <c r="N1602">
        <v>2400</v>
      </c>
    </row>
    <row r="1603" spans="1:14" x14ac:dyDescent="0.25">
      <c r="A1603">
        <v>1277.8765330000001</v>
      </c>
      <c r="B1603" s="1">
        <f>DATE(2013,10,29) + TIME(21,2,12)</f>
        <v>41576.876527777778</v>
      </c>
      <c r="C1603">
        <v>80</v>
      </c>
      <c r="D1603">
        <v>79.955215453999998</v>
      </c>
      <c r="E1603">
        <v>50</v>
      </c>
      <c r="F1603">
        <v>40.088462829999997</v>
      </c>
      <c r="G1603">
        <v>1771.1744385</v>
      </c>
      <c r="H1603">
        <v>1644.6021728999999</v>
      </c>
      <c r="I1603">
        <v>851.95654296999999</v>
      </c>
      <c r="J1603">
        <v>631.37713623000002</v>
      </c>
      <c r="K1603">
        <v>2400</v>
      </c>
      <c r="L1603">
        <v>0</v>
      </c>
      <c r="M1603">
        <v>0</v>
      </c>
      <c r="N1603">
        <v>2400</v>
      </c>
    </row>
    <row r="1604" spans="1:14" x14ac:dyDescent="0.25">
      <c r="A1604">
        <v>1280</v>
      </c>
      <c r="B1604" s="1">
        <f>DATE(2013,11,1) + TIME(0,0,0)</f>
        <v>41579</v>
      </c>
      <c r="C1604">
        <v>80</v>
      </c>
      <c r="D1604">
        <v>79.955253600999995</v>
      </c>
      <c r="E1604">
        <v>50</v>
      </c>
      <c r="F1604">
        <v>40.159473419000001</v>
      </c>
      <c r="G1604">
        <v>1770.6585693</v>
      </c>
      <c r="H1604">
        <v>1644.0863036999999</v>
      </c>
      <c r="I1604">
        <v>851.80041503999996</v>
      </c>
      <c r="J1604">
        <v>631.20928954999999</v>
      </c>
      <c r="K1604">
        <v>2400</v>
      </c>
      <c r="L1604">
        <v>0</v>
      </c>
      <c r="M1604">
        <v>0</v>
      </c>
      <c r="N1604">
        <v>2400</v>
      </c>
    </row>
    <row r="1605" spans="1:14" x14ac:dyDescent="0.25">
      <c r="A1605">
        <v>1280.0000010000001</v>
      </c>
      <c r="B1605" s="1">
        <f>DATE(2013,11,1) + TIME(0,0,0)</f>
        <v>41579</v>
      </c>
      <c r="C1605">
        <v>80</v>
      </c>
      <c r="D1605">
        <v>79.955223083000007</v>
      </c>
      <c r="E1605">
        <v>50</v>
      </c>
      <c r="F1605">
        <v>40.159496306999998</v>
      </c>
      <c r="G1605">
        <v>1644.0762939000001</v>
      </c>
      <c r="H1605">
        <v>1517.5047606999999</v>
      </c>
      <c r="I1605">
        <v>1072.6723632999999</v>
      </c>
      <c r="J1605">
        <v>851.80993651999995</v>
      </c>
      <c r="K1605">
        <v>0</v>
      </c>
      <c r="L1605">
        <v>2400</v>
      </c>
      <c r="M1605">
        <v>2400</v>
      </c>
      <c r="N1605">
        <v>0</v>
      </c>
    </row>
    <row r="1606" spans="1:14" x14ac:dyDescent="0.25">
      <c r="A1606">
        <v>1280.000004</v>
      </c>
      <c r="B1606" s="1">
        <f>DATE(2013,11,1) + TIME(0,0,0)</f>
        <v>41579</v>
      </c>
      <c r="C1606">
        <v>80</v>
      </c>
      <c r="D1606">
        <v>79.955131531000006</v>
      </c>
      <c r="E1606">
        <v>50</v>
      </c>
      <c r="F1606">
        <v>40.159572601000001</v>
      </c>
      <c r="G1606">
        <v>1644.0462646000001</v>
      </c>
      <c r="H1606">
        <v>1517.4746094</v>
      </c>
      <c r="I1606">
        <v>1072.7016602000001</v>
      </c>
      <c r="J1606">
        <v>851.83850098000005</v>
      </c>
      <c r="K1606">
        <v>0</v>
      </c>
      <c r="L1606">
        <v>2400</v>
      </c>
      <c r="M1606">
        <v>2400</v>
      </c>
      <c r="N1606">
        <v>0</v>
      </c>
    </row>
    <row r="1607" spans="1:14" x14ac:dyDescent="0.25">
      <c r="A1607">
        <v>1280.0000130000001</v>
      </c>
      <c r="B1607" s="1">
        <f>DATE(2013,11,1) + TIME(0,0,1)</f>
        <v>41579.000011574077</v>
      </c>
      <c r="C1607">
        <v>80</v>
      </c>
      <c r="D1607">
        <v>79.954856872999997</v>
      </c>
      <c r="E1607">
        <v>50</v>
      </c>
      <c r="F1607">
        <v>40.159793854</v>
      </c>
      <c r="G1607">
        <v>1643.9561768000001</v>
      </c>
      <c r="H1607">
        <v>1517.3840332</v>
      </c>
      <c r="I1607">
        <v>1072.7893065999999</v>
      </c>
      <c r="J1607">
        <v>851.92419433999999</v>
      </c>
      <c r="K1607">
        <v>0</v>
      </c>
      <c r="L1607">
        <v>2400</v>
      </c>
      <c r="M1607">
        <v>2400</v>
      </c>
      <c r="N1607">
        <v>0</v>
      </c>
    </row>
    <row r="1608" spans="1:14" x14ac:dyDescent="0.25">
      <c r="A1608">
        <v>1280.0000399999999</v>
      </c>
      <c r="B1608" s="1">
        <f>DATE(2013,11,1) + TIME(0,0,3)</f>
        <v>41579.000034722223</v>
      </c>
      <c r="C1608">
        <v>80</v>
      </c>
      <c r="D1608">
        <v>79.954025268999999</v>
      </c>
      <c r="E1608">
        <v>50</v>
      </c>
      <c r="F1608">
        <v>40.160465240000001</v>
      </c>
      <c r="G1608">
        <v>1643.6865233999999</v>
      </c>
      <c r="H1608">
        <v>1517.1130370999999</v>
      </c>
      <c r="I1608">
        <v>1073.052124</v>
      </c>
      <c r="J1608">
        <v>852.18121338000003</v>
      </c>
      <c r="K1608">
        <v>0</v>
      </c>
      <c r="L1608">
        <v>2400</v>
      </c>
      <c r="M1608">
        <v>2400</v>
      </c>
      <c r="N1608">
        <v>0</v>
      </c>
    </row>
    <row r="1609" spans="1:14" x14ac:dyDescent="0.25">
      <c r="A1609">
        <v>1280.000121</v>
      </c>
      <c r="B1609" s="1">
        <f>DATE(2013,11,1) + TIME(0,0,10)</f>
        <v>41579.000115740739</v>
      </c>
      <c r="C1609">
        <v>80</v>
      </c>
      <c r="D1609">
        <v>79.951560974000003</v>
      </c>
      <c r="E1609">
        <v>50</v>
      </c>
      <c r="F1609">
        <v>40.162479400999999</v>
      </c>
      <c r="G1609">
        <v>1642.8822021000001</v>
      </c>
      <c r="H1609">
        <v>1516.3046875</v>
      </c>
      <c r="I1609">
        <v>1073.8377685999999</v>
      </c>
      <c r="J1609">
        <v>852.95166015999996</v>
      </c>
      <c r="K1609">
        <v>0</v>
      </c>
      <c r="L1609">
        <v>2400</v>
      </c>
      <c r="M1609">
        <v>2400</v>
      </c>
      <c r="N1609">
        <v>0</v>
      </c>
    </row>
    <row r="1610" spans="1:14" x14ac:dyDescent="0.25">
      <c r="A1610">
        <v>1280.000364</v>
      </c>
      <c r="B1610" s="1">
        <f>DATE(2013,11,1) + TIME(0,0,31)</f>
        <v>41579.000358796293</v>
      </c>
      <c r="C1610">
        <v>80</v>
      </c>
      <c r="D1610">
        <v>79.944274902000004</v>
      </c>
      <c r="E1610">
        <v>50</v>
      </c>
      <c r="F1610">
        <v>40.168525696000003</v>
      </c>
      <c r="G1610">
        <v>1640.5109863</v>
      </c>
      <c r="H1610">
        <v>1513.9216309000001</v>
      </c>
      <c r="I1610">
        <v>1076.1715088000001</v>
      </c>
      <c r="J1610">
        <v>855.25500488</v>
      </c>
      <c r="K1610">
        <v>0</v>
      </c>
      <c r="L1610">
        <v>2400</v>
      </c>
      <c r="M1610">
        <v>2400</v>
      </c>
      <c r="N1610">
        <v>0</v>
      </c>
    </row>
    <row r="1611" spans="1:14" x14ac:dyDescent="0.25">
      <c r="A1611">
        <v>1280.0010930000001</v>
      </c>
      <c r="B1611" s="1">
        <f>DATE(2013,11,1) + TIME(0,1,34)</f>
        <v>41579.001087962963</v>
      </c>
      <c r="C1611">
        <v>80</v>
      </c>
      <c r="D1611">
        <v>79.923507689999994</v>
      </c>
      <c r="E1611">
        <v>50</v>
      </c>
      <c r="F1611">
        <v>40.186595916999998</v>
      </c>
      <c r="G1611">
        <v>1633.7476807</v>
      </c>
      <c r="H1611">
        <v>1507.1256103999999</v>
      </c>
      <c r="I1611">
        <v>1082.9711914</v>
      </c>
      <c r="J1611">
        <v>862.05609131000006</v>
      </c>
      <c r="K1611">
        <v>0</v>
      </c>
      <c r="L1611">
        <v>2400</v>
      </c>
      <c r="M1611">
        <v>2400</v>
      </c>
      <c r="N1611">
        <v>0</v>
      </c>
    </row>
    <row r="1612" spans="1:14" x14ac:dyDescent="0.25">
      <c r="A1612">
        <v>1280.0032799999999</v>
      </c>
      <c r="B1612" s="1">
        <f>DATE(2013,11,1) + TIME(0,4,43)</f>
        <v>41579.003275462965</v>
      </c>
      <c r="C1612">
        <v>80</v>
      </c>
      <c r="D1612">
        <v>79.869232178000004</v>
      </c>
      <c r="E1612">
        <v>50</v>
      </c>
      <c r="F1612">
        <v>40.239383697999997</v>
      </c>
      <c r="G1612">
        <v>1616.0784911999999</v>
      </c>
      <c r="H1612">
        <v>1489.3739014</v>
      </c>
      <c r="I1612">
        <v>1101.7546387</v>
      </c>
      <c r="J1612">
        <v>881.17529296999999</v>
      </c>
      <c r="K1612">
        <v>0</v>
      </c>
      <c r="L1612">
        <v>2400</v>
      </c>
      <c r="M1612">
        <v>2400</v>
      </c>
      <c r="N1612">
        <v>0</v>
      </c>
    </row>
    <row r="1613" spans="1:14" x14ac:dyDescent="0.25">
      <c r="A1613">
        <v>1280.0098410000001</v>
      </c>
      <c r="B1613" s="1">
        <f>DATE(2013,11,1) + TIME(0,14,10)</f>
        <v>41579.009837962964</v>
      </c>
      <c r="C1613">
        <v>80</v>
      </c>
      <c r="D1613">
        <v>79.752288817999997</v>
      </c>
      <c r="E1613">
        <v>50</v>
      </c>
      <c r="F1613">
        <v>40.383640288999999</v>
      </c>
      <c r="G1613">
        <v>1578.0437012</v>
      </c>
      <c r="H1613">
        <v>1451.1669922000001</v>
      </c>
      <c r="I1613">
        <v>1147.2607422000001</v>
      </c>
      <c r="J1613">
        <v>927.94506836000005</v>
      </c>
      <c r="K1613">
        <v>0</v>
      </c>
      <c r="L1613">
        <v>2400</v>
      </c>
      <c r="M1613">
        <v>2400</v>
      </c>
      <c r="N1613">
        <v>0</v>
      </c>
    </row>
    <row r="1614" spans="1:14" x14ac:dyDescent="0.25">
      <c r="A1614">
        <v>1280.029524</v>
      </c>
      <c r="B1614" s="1">
        <f>DATE(2013,11,1) + TIME(0,42,30)</f>
        <v>41579.029513888891</v>
      </c>
      <c r="C1614">
        <v>80</v>
      </c>
      <c r="D1614">
        <v>79.568412781000006</v>
      </c>
      <c r="E1614">
        <v>50</v>
      </c>
      <c r="F1614">
        <v>40.734500885000003</v>
      </c>
      <c r="G1614">
        <v>1517.8383789</v>
      </c>
      <c r="H1614">
        <v>1390.6993408000001</v>
      </c>
      <c r="I1614">
        <v>1232.4956055</v>
      </c>
      <c r="J1614">
        <v>1015.1310425</v>
      </c>
      <c r="K1614">
        <v>0</v>
      </c>
      <c r="L1614">
        <v>2400</v>
      </c>
      <c r="M1614">
        <v>2400</v>
      </c>
      <c r="N1614">
        <v>0</v>
      </c>
    </row>
    <row r="1615" spans="1:14" x14ac:dyDescent="0.25">
      <c r="A1615">
        <v>1280.077843</v>
      </c>
      <c r="B1615" s="1">
        <f>DATE(2013,11,1) + TIME(1,52,5)</f>
        <v>41579.077835648146</v>
      </c>
      <c r="C1615">
        <v>80</v>
      </c>
      <c r="D1615">
        <v>79.384727478000002</v>
      </c>
      <c r="E1615">
        <v>50</v>
      </c>
      <c r="F1615">
        <v>41.402633667000003</v>
      </c>
      <c r="G1615">
        <v>1454.3918457</v>
      </c>
      <c r="H1615">
        <v>1326.9936522999999</v>
      </c>
      <c r="I1615">
        <v>1334.3161620999999</v>
      </c>
      <c r="J1615">
        <v>1118.9361572</v>
      </c>
      <c r="K1615">
        <v>0</v>
      </c>
      <c r="L1615">
        <v>2400</v>
      </c>
      <c r="M1615">
        <v>2400</v>
      </c>
      <c r="N1615">
        <v>0</v>
      </c>
    </row>
    <row r="1616" spans="1:14" x14ac:dyDescent="0.25">
      <c r="A1616">
        <v>1280.1354960000001</v>
      </c>
      <c r="B1616" s="1">
        <f>DATE(2013,11,1) + TIME(3,15,6)</f>
        <v>41579.13548611111</v>
      </c>
      <c r="C1616">
        <v>80</v>
      </c>
      <c r="D1616">
        <v>79.276985167999996</v>
      </c>
      <c r="E1616">
        <v>50</v>
      </c>
      <c r="F1616">
        <v>42.067359924000002</v>
      </c>
      <c r="G1616">
        <v>1414.4136963000001</v>
      </c>
      <c r="H1616">
        <v>1286.8653564000001</v>
      </c>
      <c r="I1616">
        <v>1400.7336425999999</v>
      </c>
      <c r="J1616">
        <v>1187.0411377</v>
      </c>
      <c r="K1616">
        <v>0</v>
      </c>
      <c r="L1616">
        <v>2400</v>
      </c>
      <c r="M1616">
        <v>2400</v>
      </c>
      <c r="N1616">
        <v>0</v>
      </c>
    </row>
    <row r="1617" spans="1:14" x14ac:dyDescent="0.25">
      <c r="A1617">
        <v>1280.201515</v>
      </c>
      <c r="B1617" s="1">
        <f>DATE(2013,11,1) + TIME(4,50,10)</f>
        <v>41579.201504629629</v>
      </c>
      <c r="C1617">
        <v>80</v>
      </c>
      <c r="D1617">
        <v>79.206047057999996</v>
      </c>
      <c r="E1617">
        <v>50</v>
      </c>
      <c r="F1617">
        <v>42.729557036999999</v>
      </c>
      <c r="G1617">
        <v>1385.8782959</v>
      </c>
      <c r="H1617">
        <v>1258.2385254000001</v>
      </c>
      <c r="I1617">
        <v>1447.8856201000001</v>
      </c>
      <c r="J1617">
        <v>1235.9233397999999</v>
      </c>
      <c r="K1617">
        <v>0</v>
      </c>
      <c r="L1617">
        <v>2400</v>
      </c>
      <c r="M1617">
        <v>2400</v>
      </c>
      <c r="N1617">
        <v>0</v>
      </c>
    </row>
    <row r="1618" spans="1:14" x14ac:dyDescent="0.25">
      <c r="A1618">
        <v>1280.2748979999999</v>
      </c>
      <c r="B1618" s="1">
        <f>DATE(2013,11,1) + TIME(6,35,51)</f>
        <v>41579.274895833332</v>
      </c>
      <c r="C1618">
        <v>80</v>
      </c>
      <c r="D1618">
        <v>79.155174255000006</v>
      </c>
      <c r="E1618">
        <v>50</v>
      </c>
      <c r="F1618">
        <v>43.380573273000003</v>
      </c>
      <c r="G1618">
        <v>1363.8029785000001</v>
      </c>
      <c r="H1618">
        <v>1236.1035156</v>
      </c>
      <c r="I1618">
        <v>1483.8427733999999</v>
      </c>
      <c r="J1618">
        <v>1273.6297606999999</v>
      </c>
      <c r="K1618">
        <v>0</v>
      </c>
      <c r="L1618">
        <v>2400</v>
      </c>
      <c r="M1618">
        <v>2400</v>
      </c>
      <c r="N1618">
        <v>0</v>
      </c>
    </row>
    <row r="1619" spans="1:14" x14ac:dyDescent="0.25">
      <c r="A1619">
        <v>1280.355515</v>
      </c>
      <c r="B1619" s="1">
        <f>DATE(2013,11,1) + TIME(8,31,56)</f>
        <v>41579.355509259258</v>
      </c>
      <c r="C1619">
        <v>80</v>
      </c>
      <c r="D1619">
        <v>79.116050720000004</v>
      </c>
      <c r="E1619">
        <v>50</v>
      </c>
      <c r="F1619">
        <v>44.015861510999997</v>
      </c>
      <c r="G1619">
        <v>1345.7016602000001</v>
      </c>
      <c r="H1619">
        <v>1217.9611815999999</v>
      </c>
      <c r="I1619">
        <v>1512.9262695</v>
      </c>
      <c r="J1619">
        <v>1304.4396973</v>
      </c>
      <c r="K1619">
        <v>0</v>
      </c>
      <c r="L1619">
        <v>2400</v>
      </c>
      <c r="M1619">
        <v>2400</v>
      </c>
      <c r="N1619">
        <v>0</v>
      </c>
    </row>
    <row r="1620" spans="1:14" x14ac:dyDescent="0.25">
      <c r="A1620">
        <v>1280.443863</v>
      </c>
      <c r="B1620" s="1">
        <f>DATE(2013,11,1) + TIME(10,39,9)</f>
        <v>41579.443854166668</v>
      </c>
      <c r="C1620">
        <v>80</v>
      </c>
      <c r="D1620">
        <v>79.084091186999999</v>
      </c>
      <c r="E1620">
        <v>50</v>
      </c>
      <c r="F1620">
        <v>44.633113860999998</v>
      </c>
      <c r="G1620">
        <v>1330.2010498</v>
      </c>
      <c r="H1620">
        <v>1202.4316406</v>
      </c>
      <c r="I1620">
        <v>1537.5487060999999</v>
      </c>
      <c r="J1620">
        <v>1330.7431641000001</v>
      </c>
      <c r="K1620">
        <v>0</v>
      </c>
      <c r="L1620">
        <v>2400</v>
      </c>
      <c r="M1620">
        <v>2400</v>
      </c>
      <c r="N1620">
        <v>0</v>
      </c>
    </row>
    <row r="1621" spans="1:14" x14ac:dyDescent="0.25">
      <c r="A1621">
        <v>1280.5409090000001</v>
      </c>
      <c r="B1621" s="1">
        <f>DATE(2013,11,1) + TIME(12,58,54)</f>
        <v>41579.540902777779</v>
      </c>
      <c r="C1621">
        <v>80</v>
      </c>
      <c r="D1621">
        <v>79.056503296000002</v>
      </c>
      <c r="E1621">
        <v>50</v>
      </c>
      <c r="F1621">
        <v>45.230854033999996</v>
      </c>
      <c r="G1621">
        <v>1316.4722899999999</v>
      </c>
      <c r="H1621">
        <v>1188.6816406</v>
      </c>
      <c r="I1621">
        <v>1559.1599120999999</v>
      </c>
      <c r="J1621">
        <v>1353.979126</v>
      </c>
      <c r="K1621">
        <v>0</v>
      </c>
      <c r="L1621">
        <v>2400</v>
      </c>
      <c r="M1621">
        <v>2400</v>
      </c>
      <c r="N1621">
        <v>0</v>
      </c>
    </row>
    <row r="1622" spans="1:14" x14ac:dyDescent="0.25">
      <c r="A1622">
        <v>1280.6480899999999</v>
      </c>
      <c r="B1622" s="1">
        <f>DATE(2013,11,1) + TIME(15,33,14)</f>
        <v>41579.648078703707</v>
      </c>
      <c r="C1622">
        <v>80</v>
      </c>
      <c r="D1622">
        <v>79.031394958000007</v>
      </c>
      <c r="E1622">
        <v>50</v>
      </c>
      <c r="F1622">
        <v>45.807868958</v>
      </c>
      <c r="G1622">
        <v>1303.9710693</v>
      </c>
      <c r="H1622">
        <v>1176.1641846</v>
      </c>
      <c r="I1622">
        <v>1578.7036132999999</v>
      </c>
      <c r="J1622">
        <v>1375.0855713000001</v>
      </c>
      <c r="K1622">
        <v>0</v>
      </c>
      <c r="L1622">
        <v>2400</v>
      </c>
      <c r="M1622">
        <v>2400</v>
      </c>
      <c r="N1622">
        <v>0</v>
      </c>
    </row>
    <row r="1623" spans="1:14" x14ac:dyDescent="0.25">
      <c r="A1623">
        <v>1280.767411</v>
      </c>
      <c r="B1623" s="1">
        <f>DATE(2013,11,1) + TIME(18,25,4)</f>
        <v>41579.767407407409</v>
      </c>
      <c r="C1623">
        <v>80</v>
      </c>
      <c r="D1623">
        <v>79.007377625000004</v>
      </c>
      <c r="E1623">
        <v>50</v>
      </c>
      <c r="F1623">
        <v>46.362880707000002</v>
      </c>
      <c r="G1623">
        <v>1292.3103027</v>
      </c>
      <c r="H1623">
        <v>1164.4907227000001</v>
      </c>
      <c r="I1623">
        <v>1596.8444824000001</v>
      </c>
      <c r="J1623">
        <v>1394.7246094</v>
      </c>
      <c r="K1623">
        <v>0</v>
      </c>
      <c r="L1623">
        <v>2400</v>
      </c>
      <c r="M1623">
        <v>2400</v>
      </c>
      <c r="N1623">
        <v>0</v>
      </c>
    </row>
    <row r="1624" spans="1:14" x14ac:dyDescent="0.25">
      <c r="A1624">
        <v>1280.9016919999999</v>
      </c>
      <c r="B1624" s="1">
        <f>DATE(2013,11,1) + TIME(21,38,26)</f>
        <v>41579.901689814818</v>
      </c>
      <c r="C1624">
        <v>80</v>
      </c>
      <c r="D1624">
        <v>78.983283997000001</v>
      </c>
      <c r="E1624">
        <v>50</v>
      </c>
      <c r="F1624">
        <v>46.894542694000002</v>
      </c>
      <c r="G1624">
        <v>1281.1868896000001</v>
      </c>
      <c r="H1624">
        <v>1153.3564452999999</v>
      </c>
      <c r="I1624">
        <v>1614.0949707</v>
      </c>
      <c r="J1624">
        <v>1413.4066161999999</v>
      </c>
      <c r="K1624">
        <v>0</v>
      </c>
      <c r="L1624">
        <v>2400</v>
      </c>
      <c r="M1624">
        <v>2400</v>
      </c>
      <c r="N1624">
        <v>0</v>
      </c>
    </row>
    <row r="1625" spans="1:14" x14ac:dyDescent="0.25">
      <c r="A1625">
        <v>1281.0549229999999</v>
      </c>
      <c r="B1625" s="1">
        <f>DATE(2013,11,2) + TIME(1,19,5)</f>
        <v>41580.054918981485</v>
      </c>
      <c r="C1625">
        <v>80</v>
      </c>
      <c r="D1625">
        <v>78.958007812000005</v>
      </c>
      <c r="E1625">
        <v>50</v>
      </c>
      <c r="F1625">
        <v>47.401119231999999</v>
      </c>
      <c r="G1625">
        <v>1270.3408202999999</v>
      </c>
      <c r="H1625">
        <v>1142.5003661999999</v>
      </c>
      <c r="I1625">
        <v>1630.8851318</v>
      </c>
      <c r="J1625">
        <v>1431.5595702999999</v>
      </c>
      <c r="K1625">
        <v>0</v>
      </c>
      <c r="L1625">
        <v>2400</v>
      </c>
      <c r="M1625">
        <v>2400</v>
      </c>
      <c r="N1625">
        <v>0</v>
      </c>
    </row>
    <row r="1626" spans="1:14" x14ac:dyDescent="0.25">
      <c r="A1626">
        <v>1281.232923</v>
      </c>
      <c r="B1626" s="1">
        <f>DATE(2013,11,2) + TIME(5,35,24)</f>
        <v>41580.232916666668</v>
      </c>
      <c r="C1626">
        <v>80</v>
      </c>
      <c r="D1626">
        <v>78.930389403999996</v>
      </c>
      <c r="E1626">
        <v>50</v>
      </c>
      <c r="F1626">
        <v>47.880329132</v>
      </c>
      <c r="G1626">
        <v>1259.5229492000001</v>
      </c>
      <c r="H1626">
        <v>1131.6722411999999</v>
      </c>
      <c r="I1626">
        <v>1647.6193848</v>
      </c>
      <c r="J1626">
        <v>1449.5847168</v>
      </c>
      <c r="K1626">
        <v>0</v>
      </c>
      <c r="L1626">
        <v>2400</v>
      </c>
      <c r="M1626">
        <v>2400</v>
      </c>
      <c r="N1626">
        <v>0</v>
      </c>
    </row>
    <row r="1627" spans="1:14" x14ac:dyDescent="0.25">
      <c r="A1627">
        <v>1281.444553</v>
      </c>
      <c r="B1627" s="1">
        <f>DATE(2013,11,2) + TIME(10,40,9)</f>
        <v>41580.444548611114</v>
      </c>
      <c r="C1627">
        <v>80</v>
      </c>
      <c r="D1627">
        <v>78.899047851999995</v>
      </c>
      <c r="E1627">
        <v>50</v>
      </c>
      <c r="F1627">
        <v>48.329055785999998</v>
      </c>
      <c r="G1627">
        <v>1248.463501</v>
      </c>
      <c r="H1627">
        <v>1120.6010742000001</v>
      </c>
      <c r="I1627">
        <v>1664.7241211</v>
      </c>
      <c r="J1627">
        <v>1467.9038086</v>
      </c>
      <c r="K1627">
        <v>0</v>
      </c>
      <c r="L1627">
        <v>2400</v>
      </c>
      <c r="M1627">
        <v>2400</v>
      </c>
      <c r="N1627">
        <v>0</v>
      </c>
    </row>
    <row r="1628" spans="1:14" x14ac:dyDescent="0.25">
      <c r="A1628">
        <v>1281.687222</v>
      </c>
      <c r="B1628" s="1">
        <f>DATE(2013,11,2) + TIME(16,29,35)</f>
        <v>41580.687210648146</v>
      </c>
      <c r="C1628">
        <v>80</v>
      </c>
      <c r="D1628">
        <v>78.863769531000003</v>
      </c>
      <c r="E1628">
        <v>50</v>
      </c>
      <c r="F1628">
        <v>48.722316741999997</v>
      </c>
      <c r="G1628">
        <v>1237.4958495999999</v>
      </c>
      <c r="H1628">
        <v>1109.6199951000001</v>
      </c>
      <c r="I1628">
        <v>1681.6612548999999</v>
      </c>
      <c r="J1628">
        <v>1485.9139404</v>
      </c>
      <c r="K1628">
        <v>0</v>
      </c>
      <c r="L1628">
        <v>2400</v>
      </c>
      <c r="M1628">
        <v>2400</v>
      </c>
      <c r="N1628">
        <v>0</v>
      </c>
    </row>
    <row r="1629" spans="1:14" x14ac:dyDescent="0.25">
      <c r="A1629">
        <v>1281.9366930000001</v>
      </c>
      <c r="B1629" s="1">
        <f>DATE(2013,11,2) + TIME(22,28,50)</f>
        <v>41580.936689814815</v>
      </c>
      <c r="C1629">
        <v>80</v>
      </c>
      <c r="D1629">
        <v>78.826629639000004</v>
      </c>
      <c r="E1629">
        <v>50</v>
      </c>
      <c r="F1629">
        <v>49.029357910000002</v>
      </c>
      <c r="G1629">
        <v>1227.5793457</v>
      </c>
      <c r="H1629">
        <v>1099.6884766000001</v>
      </c>
      <c r="I1629">
        <v>1696.9046631000001</v>
      </c>
      <c r="J1629">
        <v>1502.0056152</v>
      </c>
      <c r="K1629">
        <v>0</v>
      </c>
      <c r="L1629">
        <v>2400</v>
      </c>
      <c r="M1629">
        <v>2400</v>
      </c>
      <c r="N1629">
        <v>0</v>
      </c>
    </row>
    <row r="1630" spans="1:14" x14ac:dyDescent="0.25">
      <c r="A1630">
        <v>1282.1940460000001</v>
      </c>
      <c r="B1630" s="1">
        <f>DATE(2013,11,3) + TIME(4,39,25)</f>
        <v>41581.194039351853</v>
      </c>
      <c r="C1630">
        <v>80</v>
      </c>
      <c r="D1630">
        <v>78.787826538000004</v>
      </c>
      <c r="E1630">
        <v>50</v>
      </c>
      <c r="F1630">
        <v>49.268238068000002</v>
      </c>
      <c r="G1630">
        <v>1218.4736327999999</v>
      </c>
      <c r="H1630">
        <v>1090.5660399999999</v>
      </c>
      <c r="I1630">
        <v>1710.8516846</v>
      </c>
      <c r="J1630">
        <v>1516.6242675999999</v>
      </c>
      <c r="K1630">
        <v>0</v>
      </c>
      <c r="L1630">
        <v>2400</v>
      </c>
      <c r="M1630">
        <v>2400</v>
      </c>
      <c r="N1630">
        <v>0</v>
      </c>
    </row>
    <row r="1631" spans="1:14" x14ac:dyDescent="0.25">
      <c r="A1631">
        <v>1282.4627399999999</v>
      </c>
      <c r="B1631" s="1">
        <f>DATE(2013,11,3) + TIME(11,6,20)</f>
        <v>41581.462731481479</v>
      </c>
      <c r="C1631">
        <v>80</v>
      </c>
      <c r="D1631">
        <v>78.747261046999995</v>
      </c>
      <c r="E1631">
        <v>50</v>
      </c>
      <c r="F1631">
        <v>49.454387664999999</v>
      </c>
      <c r="G1631">
        <v>1209.9396973</v>
      </c>
      <c r="H1631">
        <v>1082.0139160000001</v>
      </c>
      <c r="I1631">
        <v>1723.8765868999999</v>
      </c>
      <c r="J1631">
        <v>1530.1834716999999</v>
      </c>
      <c r="K1631">
        <v>0</v>
      </c>
      <c r="L1631">
        <v>2400</v>
      </c>
      <c r="M1631">
        <v>2400</v>
      </c>
      <c r="N1631">
        <v>0</v>
      </c>
    </row>
    <row r="1632" spans="1:14" x14ac:dyDescent="0.25">
      <c r="A1632">
        <v>1282.7462780000001</v>
      </c>
      <c r="B1632" s="1">
        <f>DATE(2013,11,3) + TIME(17,54,38)</f>
        <v>41581.74627314815</v>
      </c>
      <c r="C1632">
        <v>80</v>
      </c>
      <c r="D1632">
        <v>78.704765320000007</v>
      </c>
      <c r="E1632">
        <v>50</v>
      </c>
      <c r="F1632">
        <v>49.598968505999999</v>
      </c>
      <c r="G1632">
        <v>1201.8096923999999</v>
      </c>
      <c r="H1632">
        <v>1073.864624</v>
      </c>
      <c r="I1632">
        <v>1736.2320557</v>
      </c>
      <c r="J1632">
        <v>1542.9645995999999</v>
      </c>
      <c r="K1632">
        <v>0</v>
      </c>
      <c r="L1632">
        <v>2400</v>
      </c>
      <c r="M1632">
        <v>2400</v>
      </c>
      <c r="N1632">
        <v>0</v>
      </c>
    </row>
    <row r="1633" spans="1:14" x14ac:dyDescent="0.25">
      <c r="A1633">
        <v>1283.048644</v>
      </c>
      <c r="B1633" s="1">
        <f>DATE(2013,11,4) + TIME(1,10,2)</f>
        <v>41582.048634259256</v>
      </c>
      <c r="C1633">
        <v>80</v>
      </c>
      <c r="D1633">
        <v>78.660064696999996</v>
      </c>
      <c r="E1633">
        <v>50</v>
      </c>
      <c r="F1633">
        <v>49.710453033</v>
      </c>
      <c r="G1633">
        <v>1193.9547118999999</v>
      </c>
      <c r="H1633">
        <v>1065.9890137</v>
      </c>
      <c r="I1633">
        <v>1748.1077881000001</v>
      </c>
      <c r="J1633">
        <v>1555.1790771000001</v>
      </c>
      <c r="K1633">
        <v>0</v>
      </c>
      <c r="L1633">
        <v>2400</v>
      </c>
      <c r="M1633">
        <v>2400</v>
      </c>
      <c r="N1633">
        <v>0</v>
      </c>
    </row>
    <row r="1634" spans="1:14" x14ac:dyDescent="0.25">
      <c r="A1634">
        <v>1283.374656</v>
      </c>
      <c r="B1634" s="1">
        <f>DATE(2013,11,4) + TIME(8,59,30)</f>
        <v>41582.374652777777</v>
      </c>
      <c r="C1634">
        <v>80</v>
      </c>
      <c r="D1634">
        <v>78.612808228000006</v>
      </c>
      <c r="E1634">
        <v>50</v>
      </c>
      <c r="F1634">
        <v>49.795436858999999</v>
      </c>
      <c r="G1634">
        <v>1186.2677002</v>
      </c>
      <c r="H1634">
        <v>1058.2803954999999</v>
      </c>
      <c r="I1634">
        <v>1759.6568603999999</v>
      </c>
      <c r="J1634">
        <v>1566.9964600000001</v>
      </c>
      <c r="K1634">
        <v>0</v>
      </c>
      <c r="L1634">
        <v>2400</v>
      </c>
      <c r="M1634">
        <v>2400</v>
      </c>
      <c r="N1634">
        <v>0</v>
      </c>
    </row>
    <row r="1635" spans="1:14" x14ac:dyDescent="0.25">
      <c r="A1635">
        <v>1283.730403</v>
      </c>
      <c r="B1635" s="1">
        <f>DATE(2013,11,4) + TIME(17,31,46)</f>
        <v>41582.730393518519</v>
      </c>
      <c r="C1635">
        <v>80</v>
      </c>
      <c r="D1635">
        <v>78.562477111999996</v>
      </c>
      <c r="E1635">
        <v>50</v>
      </c>
      <c r="F1635">
        <v>49.859172821000001</v>
      </c>
      <c r="G1635">
        <v>1178.6531981999999</v>
      </c>
      <c r="H1635">
        <v>1050.6429443</v>
      </c>
      <c r="I1635">
        <v>1771.0125731999999</v>
      </c>
      <c r="J1635">
        <v>1578.5634766000001</v>
      </c>
      <c r="K1635">
        <v>0</v>
      </c>
      <c r="L1635">
        <v>2400</v>
      </c>
      <c r="M1635">
        <v>2400</v>
      </c>
      <c r="N1635">
        <v>0</v>
      </c>
    </row>
    <row r="1636" spans="1:14" x14ac:dyDescent="0.25">
      <c r="A1636">
        <v>1284.1237679999999</v>
      </c>
      <c r="B1636" s="1">
        <f>DATE(2013,11,5) + TIME(2,58,13)</f>
        <v>41583.123761574076</v>
      </c>
      <c r="C1636">
        <v>80</v>
      </c>
      <c r="D1636">
        <v>78.508384704999997</v>
      </c>
      <c r="E1636">
        <v>50</v>
      </c>
      <c r="F1636">
        <v>49.905895233000003</v>
      </c>
      <c r="G1636">
        <v>1171.0201416</v>
      </c>
      <c r="H1636">
        <v>1042.9855957</v>
      </c>
      <c r="I1636">
        <v>1782.2966309000001</v>
      </c>
      <c r="J1636">
        <v>1590.0129394999999</v>
      </c>
      <c r="K1636">
        <v>0</v>
      </c>
      <c r="L1636">
        <v>2400</v>
      </c>
      <c r="M1636">
        <v>2400</v>
      </c>
      <c r="N1636">
        <v>0</v>
      </c>
    </row>
    <row r="1637" spans="1:14" x14ac:dyDescent="0.25">
      <c r="A1637">
        <v>1284.5654340000001</v>
      </c>
      <c r="B1637" s="1">
        <f>DATE(2013,11,5) + TIME(13,34,13)</f>
        <v>41583.565428240741</v>
      </c>
      <c r="C1637">
        <v>80</v>
      </c>
      <c r="D1637">
        <v>78.449607849000003</v>
      </c>
      <c r="E1637">
        <v>50</v>
      </c>
      <c r="F1637">
        <v>49.939086914000001</v>
      </c>
      <c r="G1637">
        <v>1163.2730713000001</v>
      </c>
      <c r="H1637">
        <v>1035.2126464999999</v>
      </c>
      <c r="I1637">
        <v>1793.6322021000001</v>
      </c>
      <c r="J1637">
        <v>1601.4766846</v>
      </c>
      <c r="K1637">
        <v>0</v>
      </c>
      <c r="L1637">
        <v>2400</v>
      </c>
      <c r="M1637">
        <v>2400</v>
      </c>
      <c r="N1637">
        <v>0</v>
      </c>
    </row>
    <row r="1638" spans="1:14" x14ac:dyDescent="0.25">
      <c r="A1638">
        <v>1285.0648630000001</v>
      </c>
      <c r="B1638" s="1">
        <f>DATE(2013,11,6) + TIME(1,33,24)</f>
        <v>41584.06486111111</v>
      </c>
      <c r="C1638">
        <v>80</v>
      </c>
      <c r="D1638">
        <v>78.385269164999997</v>
      </c>
      <c r="E1638">
        <v>50</v>
      </c>
      <c r="F1638">
        <v>49.961479187000002</v>
      </c>
      <c r="G1638">
        <v>1155.3825684000001</v>
      </c>
      <c r="H1638">
        <v>1027.2943115</v>
      </c>
      <c r="I1638">
        <v>1805.0340576000001</v>
      </c>
      <c r="J1638">
        <v>1612.9766846</v>
      </c>
      <c r="K1638">
        <v>0</v>
      </c>
      <c r="L1638">
        <v>2400</v>
      </c>
      <c r="M1638">
        <v>2400</v>
      </c>
      <c r="N1638">
        <v>0</v>
      </c>
    </row>
    <row r="1639" spans="1:14" x14ac:dyDescent="0.25">
      <c r="A1639">
        <v>1285.568164</v>
      </c>
      <c r="B1639" s="1">
        <f>DATE(2013,11,6) + TIME(13,38,9)</f>
        <v>41584.568159722221</v>
      </c>
      <c r="C1639">
        <v>80</v>
      </c>
      <c r="D1639">
        <v>78.319068908999995</v>
      </c>
      <c r="E1639">
        <v>50</v>
      </c>
      <c r="F1639">
        <v>49.974586487000003</v>
      </c>
      <c r="G1639">
        <v>1148.1650391000001</v>
      </c>
      <c r="H1639">
        <v>1020.0493164</v>
      </c>
      <c r="I1639">
        <v>1815.2630615</v>
      </c>
      <c r="J1639">
        <v>1623.2768555</v>
      </c>
      <c r="K1639">
        <v>0</v>
      </c>
      <c r="L1639">
        <v>2400</v>
      </c>
      <c r="M1639">
        <v>2400</v>
      </c>
      <c r="N1639">
        <v>0</v>
      </c>
    </row>
    <row r="1640" spans="1:14" x14ac:dyDescent="0.25">
      <c r="A1640">
        <v>1286.0835850000001</v>
      </c>
      <c r="B1640" s="1">
        <f>DATE(2013,11,7) + TIME(2,0,21)</f>
        <v>41585.08357638889</v>
      </c>
      <c r="C1640">
        <v>80</v>
      </c>
      <c r="D1640">
        <v>78.251342773000005</v>
      </c>
      <c r="E1640">
        <v>50</v>
      </c>
      <c r="F1640">
        <v>49.982078551999997</v>
      </c>
      <c r="G1640">
        <v>1141.4306641000001</v>
      </c>
      <c r="H1640">
        <v>1013.2868652</v>
      </c>
      <c r="I1640">
        <v>1824.6719971</v>
      </c>
      <c r="J1640">
        <v>1632.7371826000001</v>
      </c>
      <c r="K1640">
        <v>0</v>
      </c>
      <c r="L1640">
        <v>2400</v>
      </c>
      <c r="M1640">
        <v>2400</v>
      </c>
      <c r="N1640">
        <v>0</v>
      </c>
    </row>
    <row r="1641" spans="1:14" x14ac:dyDescent="0.25">
      <c r="A1641">
        <v>1286.6197589999999</v>
      </c>
      <c r="B1641" s="1">
        <f>DATE(2013,11,7) + TIME(14,52,27)</f>
        <v>41585.619756944441</v>
      </c>
      <c r="C1641">
        <v>80</v>
      </c>
      <c r="D1641">
        <v>78.181831360000004</v>
      </c>
      <c r="E1641">
        <v>50</v>
      </c>
      <c r="F1641">
        <v>49.986095427999999</v>
      </c>
      <c r="G1641">
        <v>1135.0318603999999</v>
      </c>
      <c r="H1641">
        <v>1006.8596802</v>
      </c>
      <c r="I1641">
        <v>1833.4912108999999</v>
      </c>
      <c r="J1641">
        <v>1641.5948486</v>
      </c>
      <c r="K1641">
        <v>0</v>
      </c>
      <c r="L1641">
        <v>2400</v>
      </c>
      <c r="M1641">
        <v>2400</v>
      </c>
      <c r="N1641">
        <v>0</v>
      </c>
    </row>
    <row r="1642" spans="1:14" x14ac:dyDescent="0.25">
      <c r="A1642">
        <v>1287.185115</v>
      </c>
      <c r="B1642" s="1">
        <f>DATE(2013,11,8) + TIME(4,26,33)</f>
        <v>41586.185104166667</v>
      </c>
      <c r="C1642">
        <v>80</v>
      </c>
      <c r="D1642">
        <v>78.110015868999994</v>
      </c>
      <c r="E1642">
        <v>50</v>
      </c>
      <c r="F1642">
        <v>49.987934113000001</v>
      </c>
      <c r="G1642">
        <v>1128.8624268000001</v>
      </c>
      <c r="H1642">
        <v>1000.6612549</v>
      </c>
      <c r="I1642">
        <v>1841.8762207</v>
      </c>
      <c r="J1642">
        <v>1650.0092772999999</v>
      </c>
      <c r="K1642">
        <v>0</v>
      </c>
      <c r="L1642">
        <v>2400</v>
      </c>
      <c r="M1642">
        <v>2400</v>
      </c>
      <c r="N1642">
        <v>0</v>
      </c>
    </row>
    <row r="1643" spans="1:14" x14ac:dyDescent="0.25">
      <c r="A1643">
        <v>1287.789317</v>
      </c>
      <c r="B1643" s="1">
        <f>DATE(2013,11,8) + TIME(18,56,36)</f>
        <v>41586.789305555554</v>
      </c>
      <c r="C1643">
        <v>80</v>
      </c>
      <c r="D1643">
        <v>78.035110474000007</v>
      </c>
      <c r="E1643">
        <v>50</v>
      </c>
      <c r="F1643">
        <v>49.988414763999998</v>
      </c>
      <c r="G1643">
        <v>1122.8345947</v>
      </c>
      <c r="H1643">
        <v>994.60375977000001</v>
      </c>
      <c r="I1643">
        <v>1849.9490966999999</v>
      </c>
      <c r="J1643">
        <v>1658.1055908000001</v>
      </c>
      <c r="K1643">
        <v>0</v>
      </c>
      <c r="L1643">
        <v>2400</v>
      </c>
      <c r="M1643">
        <v>2400</v>
      </c>
      <c r="N1643">
        <v>0</v>
      </c>
    </row>
    <row r="1644" spans="1:14" x14ac:dyDescent="0.25">
      <c r="A1644">
        <v>1288.444033</v>
      </c>
      <c r="B1644" s="1">
        <f>DATE(2013,11,9) + TIME(10,39,24)</f>
        <v>41587.444027777776</v>
      </c>
      <c r="C1644">
        <v>80</v>
      </c>
      <c r="D1644">
        <v>77.956115722999996</v>
      </c>
      <c r="E1644">
        <v>50</v>
      </c>
      <c r="F1644">
        <v>49.988052367999998</v>
      </c>
      <c r="G1644">
        <v>1116.8719481999999</v>
      </c>
      <c r="H1644">
        <v>988.61010741999996</v>
      </c>
      <c r="I1644">
        <v>1857.8115233999999</v>
      </c>
      <c r="J1644">
        <v>1665.9873047000001</v>
      </c>
      <c r="K1644">
        <v>0</v>
      </c>
      <c r="L1644">
        <v>2400</v>
      </c>
      <c r="M1644">
        <v>2400</v>
      </c>
      <c r="N1644">
        <v>0</v>
      </c>
    </row>
    <row r="1645" spans="1:14" x14ac:dyDescent="0.25">
      <c r="A1645">
        <v>1289.1595030000001</v>
      </c>
      <c r="B1645" s="1">
        <f>DATE(2013,11,10) + TIME(3,49,41)</f>
        <v>41588.159502314818</v>
      </c>
      <c r="C1645">
        <v>80</v>
      </c>
      <c r="D1645">
        <v>77.872047424000002</v>
      </c>
      <c r="E1645">
        <v>50</v>
      </c>
      <c r="F1645">
        <v>49.987190247000001</v>
      </c>
      <c r="G1645">
        <v>1110.9365233999999</v>
      </c>
      <c r="H1645">
        <v>982.64221191000001</v>
      </c>
      <c r="I1645">
        <v>1865.5061035000001</v>
      </c>
      <c r="J1645">
        <v>1673.6986084</v>
      </c>
      <c r="K1645">
        <v>0</v>
      </c>
      <c r="L1645">
        <v>2400</v>
      </c>
      <c r="M1645">
        <v>2400</v>
      </c>
      <c r="N1645">
        <v>0</v>
      </c>
    </row>
    <row r="1646" spans="1:14" x14ac:dyDescent="0.25">
      <c r="A1646">
        <v>1289.9412050000001</v>
      </c>
      <c r="B1646" s="1">
        <f>DATE(2013,11,10) + TIME(22,35,20)</f>
        <v>41588.941203703704</v>
      </c>
      <c r="C1646">
        <v>80</v>
      </c>
      <c r="D1646">
        <v>77.782150268999999</v>
      </c>
      <c r="E1646">
        <v>50</v>
      </c>
      <c r="F1646">
        <v>49.986053466999998</v>
      </c>
      <c r="G1646">
        <v>1105.0417480000001</v>
      </c>
      <c r="H1646">
        <v>976.71331786999997</v>
      </c>
      <c r="I1646">
        <v>1873.0056152</v>
      </c>
      <c r="J1646">
        <v>1681.2125243999999</v>
      </c>
      <c r="K1646">
        <v>0</v>
      </c>
      <c r="L1646">
        <v>2400</v>
      </c>
      <c r="M1646">
        <v>2400</v>
      </c>
      <c r="N1646">
        <v>0</v>
      </c>
    </row>
    <row r="1647" spans="1:14" x14ac:dyDescent="0.25">
      <c r="A1647">
        <v>1290.7615820000001</v>
      </c>
      <c r="B1647" s="1">
        <f>DATE(2013,11,11) + TIME(18,16,40)</f>
        <v>41589.761574074073</v>
      </c>
      <c r="C1647">
        <v>80</v>
      </c>
      <c r="D1647">
        <v>77.687538146999998</v>
      </c>
      <c r="E1647">
        <v>50</v>
      </c>
      <c r="F1647">
        <v>49.984840392999999</v>
      </c>
      <c r="G1647">
        <v>1099.4082031</v>
      </c>
      <c r="H1647">
        <v>971.04425048999997</v>
      </c>
      <c r="I1647">
        <v>1880.0140381000001</v>
      </c>
      <c r="J1647">
        <v>1688.2340088000001</v>
      </c>
      <c r="K1647">
        <v>0</v>
      </c>
      <c r="L1647">
        <v>2400</v>
      </c>
      <c r="M1647">
        <v>2400</v>
      </c>
      <c r="N1647">
        <v>0</v>
      </c>
    </row>
    <row r="1648" spans="1:14" x14ac:dyDescent="0.25">
      <c r="A1648">
        <v>1291.594157</v>
      </c>
      <c r="B1648" s="1">
        <f>DATE(2013,11,12) + TIME(14,15,35)</f>
        <v>41590.594155092593</v>
      </c>
      <c r="C1648">
        <v>80</v>
      </c>
      <c r="D1648">
        <v>77.590362549000005</v>
      </c>
      <c r="E1648">
        <v>50</v>
      </c>
      <c r="F1648">
        <v>49.98367691</v>
      </c>
      <c r="G1648">
        <v>1094.1802978999999</v>
      </c>
      <c r="H1648">
        <v>965.78021239999998</v>
      </c>
      <c r="I1648">
        <v>1886.3707274999999</v>
      </c>
      <c r="J1648">
        <v>1694.6020507999999</v>
      </c>
      <c r="K1648">
        <v>0</v>
      </c>
      <c r="L1648">
        <v>2400</v>
      </c>
      <c r="M1648">
        <v>2400</v>
      </c>
      <c r="N1648">
        <v>0</v>
      </c>
    </row>
    <row r="1649" spans="1:14" x14ac:dyDescent="0.25">
      <c r="A1649">
        <v>1292.45182</v>
      </c>
      <c r="B1649" s="1">
        <f>DATE(2013,11,13) + TIME(10,50,37)</f>
        <v>41591.451817129629</v>
      </c>
      <c r="C1649">
        <v>80</v>
      </c>
      <c r="D1649">
        <v>77.491195679</v>
      </c>
      <c r="E1649">
        <v>50</v>
      </c>
      <c r="F1649">
        <v>49.982604979999998</v>
      </c>
      <c r="G1649">
        <v>1089.2478027</v>
      </c>
      <c r="H1649">
        <v>960.81072998000002</v>
      </c>
      <c r="I1649">
        <v>1892.2515868999999</v>
      </c>
      <c r="J1649">
        <v>1700.4923096</v>
      </c>
      <c r="K1649">
        <v>0</v>
      </c>
      <c r="L1649">
        <v>2400</v>
      </c>
      <c r="M1649">
        <v>2400</v>
      </c>
      <c r="N1649">
        <v>0</v>
      </c>
    </row>
    <row r="1650" spans="1:14" x14ac:dyDescent="0.25">
      <c r="A1650">
        <v>1293.3476000000001</v>
      </c>
      <c r="B1650" s="1">
        <f>DATE(2013,11,14) + TIME(8,20,32)</f>
        <v>41592.347592592596</v>
      </c>
      <c r="C1650">
        <v>80</v>
      </c>
      <c r="D1650">
        <v>77.389549255000006</v>
      </c>
      <c r="E1650">
        <v>50</v>
      </c>
      <c r="F1650">
        <v>49.981620788999997</v>
      </c>
      <c r="G1650">
        <v>1084.5256348</v>
      </c>
      <c r="H1650">
        <v>956.05090331999997</v>
      </c>
      <c r="I1650">
        <v>1897.7724608999999</v>
      </c>
      <c r="J1650">
        <v>1706.0212402</v>
      </c>
      <c r="K1650">
        <v>0</v>
      </c>
      <c r="L1650">
        <v>2400</v>
      </c>
      <c r="M1650">
        <v>2400</v>
      </c>
      <c r="N1650">
        <v>0</v>
      </c>
    </row>
    <row r="1651" spans="1:14" x14ac:dyDescent="0.25">
      <c r="A1651">
        <v>1294.2955179999999</v>
      </c>
      <c r="B1651" s="1">
        <f>DATE(2013,11,15) + TIME(7,5,32)</f>
        <v>41593.29550925926</v>
      </c>
      <c r="C1651">
        <v>80</v>
      </c>
      <c r="D1651">
        <v>77.284461974999999</v>
      </c>
      <c r="E1651">
        <v>50</v>
      </c>
      <c r="F1651">
        <v>49.980716704999999</v>
      </c>
      <c r="G1651">
        <v>1079.9472656</v>
      </c>
      <c r="H1651">
        <v>951.43359375</v>
      </c>
      <c r="I1651">
        <v>1903.0169678</v>
      </c>
      <c r="J1651">
        <v>1711.2729492000001</v>
      </c>
      <c r="K1651">
        <v>0</v>
      </c>
      <c r="L1651">
        <v>2400</v>
      </c>
      <c r="M1651">
        <v>2400</v>
      </c>
      <c r="N1651">
        <v>0</v>
      </c>
    </row>
    <row r="1652" spans="1:14" x14ac:dyDescent="0.25">
      <c r="A1652">
        <v>1295.3124499999999</v>
      </c>
      <c r="B1652" s="1">
        <f>DATE(2013,11,16) + TIME(7,29,55)</f>
        <v>41594.312442129631</v>
      </c>
      <c r="C1652">
        <v>80</v>
      </c>
      <c r="D1652">
        <v>77.174598693999997</v>
      </c>
      <c r="E1652">
        <v>50</v>
      </c>
      <c r="F1652">
        <v>49.979881286999998</v>
      </c>
      <c r="G1652">
        <v>1075.4544678</v>
      </c>
      <c r="H1652">
        <v>946.90002441000001</v>
      </c>
      <c r="I1652">
        <v>1908.0531006000001</v>
      </c>
      <c r="J1652">
        <v>1716.3153076000001</v>
      </c>
      <c r="K1652">
        <v>0</v>
      </c>
      <c r="L1652">
        <v>2400</v>
      </c>
      <c r="M1652">
        <v>2400</v>
      </c>
      <c r="N1652">
        <v>0</v>
      </c>
    </row>
    <row r="1653" spans="1:14" x14ac:dyDescent="0.25">
      <c r="A1653">
        <v>1296.4195010000001</v>
      </c>
      <c r="B1653" s="1">
        <f>DATE(2013,11,17) + TIME(10,4,4)</f>
        <v>41595.419490740744</v>
      </c>
      <c r="C1653">
        <v>80</v>
      </c>
      <c r="D1653">
        <v>77.058280945000007</v>
      </c>
      <c r="E1653">
        <v>50</v>
      </c>
      <c r="F1653">
        <v>49.979106903000002</v>
      </c>
      <c r="G1653">
        <v>1070.9937743999999</v>
      </c>
      <c r="H1653">
        <v>942.39624022999999</v>
      </c>
      <c r="I1653">
        <v>1912.9365233999999</v>
      </c>
      <c r="J1653">
        <v>1721.2044678</v>
      </c>
      <c r="K1653">
        <v>0</v>
      </c>
      <c r="L1653">
        <v>2400</v>
      </c>
      <c r="M1653">
        <v>2400</v>
      </c>
      <c r="N1653">
        <v>0</v>
      </c>
    </row>
    <row r="1654" spans="1:14" x14ac:dyDescent="0.25">
      <c r="A1654">
        <v>1297.6263060000001</v>
      </c>
      <c r="B1654" s="1">
        <f>DATE(2013,11,18) + TIME(15,1,52)</f>
        <v>41596.626296296294</v>
      </c>
      <c r="C1654">
        <v>80</v>
      </c>
      <c r="D1654">
        <v>76.934089661000002</v>
      </c>
      <c r="E1654">
        <v>50</v>
      </c>
      <c r="F1654">
        <v>49.978385924999998</v>
      </c>
      <c r="G1654">
        <v>1066.5715332</v>
      </c>
      <c r="H1654">
        <v>937.92803954999999</v>
      </c>
      <c r="I1654">
        <v>1917.6478271000001</v>
      </c>
      <c r="J1654">
        <v>1725.9208983999999</v>
      </c>
      <c r="K1654">
        <v>0</v>
      </c>
      <c r="L1654">
        <v>2400</v>
      </c>
      <c r="M1654">
        <v>2400</v>
      </c>
      <c r="N1654">
        <v>0</v>
      </c>
    </row>
    <row r="1655" spans="1:14" x14ac:dyDescent="0.25">
      <c r="A1655">
        <v>1298.843273</v>
      </c>
      <c r="B1655" s="1">
        <f>DATE(2013,11,19) + TIME(20,14,18)</f>
        <v>41597.843263888892</v>
      </c>
      <c r="C1655">
        <v>80</v>
      </c>
      <c r="D1655">
        <v>76.804771423000005</v>
      </c>
      <c r="E1655">
        <v>50</v>
      </c>
      <c r="F1655">
        <v>49.977748871000003</v>
      </c>
      <c r="G1655">
        <v>1062.4909668</v>
      </c>
      <c r="H1655">
        <v>933.79943848000005</v>
      </c>
      <c r="I1655">
        <v>1921.8364257999999</v>
      </c>
      <c r="J1655">
        <v>1730.1141356999999</v>
      </c>
      <c r="K1655">
        <v>0</v>
      </c>
      <c r="L1655">
        <v>2400</v>
      </c>
      <c r="M1655">
        <v>2400</v>
      </c>
      <c r="N1655">
        <v>0</v>
      </c>
    </row>
    <row r="1656" spans="1:14" x14ac:dyDescent="0.25">
      <c r="A1656">
        <v>1300.0882810000001</v>
      </c>
      <c r="B1656" s="1">
        <f>DATE(2013,11,21) + TIME(2,7,7)</f>
        <v>41599.088275462964</v>
      </c>
      <c r="C1656">
        <v>80</v>
      </c>
      <c r="D1656">
        <v>76.673088074000006</v>
      </c>
      <c r="E1656">
        <v>50</v>
      </c>
      <c r="F1656">
        <v>49.977199554000002</v>
      </c>
      <c r="G1656">
        <v>1058.6699219</v>
      </c>
      <c r="H1656">
        <v>929.92864989999998</v>
      </c>
      <c r="I1656">
        <v>1925.6383057</v>
      </c>
      <c r="J1656">
        <v>1733.9199219</v>
      </c>
      <c r="K1656">
        <v>0</v>
      </c>
      <c r="L1656">
        <v>2400</v>
      </c>
      <c r="M1656">
        <v>2400</v>
      </c>
      <c r="N1656">
        <v>0</v>
      </c>
    </row>
    <row r="1657" spans="1:14" x14ac:dyDescent="0.25">
      <c r="A1657">
        <v>1301.380719</v>
      </c>
      <c r="B1657" s="1">
        <f>DATE(2013,11,22) + TIME(9,8,14)</f>
        <v>41600.38071759259</v>
      </c>
      <c r="C1657">
        <v>80</v>
      </c>
      <c r="D1657">
        <v>76.538917541999993</v>
      </c>
      <c r="E1657">
        <v>50</v>
      </c>
      <c r="F1657">
        <v>49.976715087999999</v>
      </c>
      <c r="G1657">
        <v>1055.0389404</v>
      </c>
      <c r="H1657">
        <v>926.24633788999995</v>
      </c>
      <c r="I1657">
        <v>1929.1402588000001</v>
      </c>
      <c r="J1657">
        <v>1737.4251709</v>
      </c>
      <c r="K1657">
        <v>0</v>
      </c>
      <c r="L1657">
        <v>2400</v>
      </c>
      <c r="M1657">
        <v>2400</v>
      </c>
      <c r="N1657">
        <v>0</v>
      </c>
    </row>
    <row r="1658" spans="1:14" x14ac:dyDescent="0.25">
      <c r="A1658">
        <v>1302.7408250000001</v>
      </c>
      <c r="B1658" s="1">
        <f>DATE(2013,11,23) + TIME(17,46,47)</f>
        <v>41601.74082175926</v>
      </c>
      <c r="C1658">
        <v>80</v>
      </c>
      <c r="D1658">
        <v>76.401008606000005</v>
      </c>
      <c r="E1658">
        <v>50</v>
      </c>
      <c r="F1658">
        <v>49.976287841999998</v>
      </c>
      <c r="G1658">
        <v>1051.5449219</v>
      </c>
      <c r="H1658">
        <v>922.69848633000004</v>
      </c>
      <c r="I1658">
        <v>1932.3999022999999</v>
      </c>
      <c r="J1658">
        <v>1740.6876221</v>
      </c>
      <c r="K1658">
        <v>0</v>
      </c>
      <c r="L1658">
        <v>2400</v>
      </c>
      <c r="M1658">
        <v>2400</v>
      </c>
      <c r="N1658">
        <v>0</v>
      </c>
    </row>
    <row r="1659" spans="1:14" x14ac:dyDescent="0.25">
      <c r="A1659">
        <v>1304.1927969999999</v>
      </c>
      <c r="B1659" s="1">
        <f>DATE(2013,11,25) + TIME(4,37,37)</f>
        <v>41603.192789351851</v>
      </c>
      <c r="C1659">
        <v>80</v>
      </c>
      <c r="D1659">
        <v>76.257568359000004</v>
      </c>
      <c r="E1659">
        <v>50</v>
      </c>
      <c r="F1659">
        <v>49.975902556999998</v>
      </c>
      <c r="G1659">
        <v>1048.1418457</v>
      </c>
      <c r="H1659">
        <v>919.23822021000001</v>
      </c>
      <c r="I1659">
        <v>1935.4603271000001</v>
      </c>
      <c r="J1659">
        <v>1743.7504882999999</v>
      </c>
      <c r="K1659">
        <v>0</v>
      </c>
      <c r="L1659">
        <v>2400</v>
      </c>
      <c r="M1659">
        <v>2400</v>
      </c>
      <c r="N1659">
        <v>0</v>
      </c>
    </row>
    <row r="1660" spans="1:14" x14ac:dyDescent="0.25">
      <c r="A1660">
        <v>1305.7533040000001</v>
      </c>
      <c r="B1660" s="1">
        <f>DATE(2013,11,26) + TIME(18,4,45)</f>
        <v>41604.753298611111</v>
      </c>
      <c r="C1660">
        <v>80</v>
      </c>
      <c r="D1660">
        <v>76.106758118000002</v>
      </c>
      <c r="E1660">
        <v>50</v>
      </c>
      <c r="F1660">
        <v>49.975547790999997</v>
      </c>
      <c r="G1660">
        <v>1044.8129882999999</v>
      </c>
      <c r="H1660">
        <v>915.84790038999995</v>
      </c>
      <c r="I1660">
        <v>1938.3294678</v>
      </c>
      <c r="J1660">
        <v>1746.6218262</v>
      </c>
      <c r="K1660">
        <v>0</v>
      </c>
      <c r="L1660">
        <v>2400</v>
      </c>
      <c r="M1660">
        <v>2400</v>
      </c>
      <c r="N1660">
        <v>0</v>
      </c>
    </row>
    <row r="1661" spans="1:14" x14ac:dyDescent="0.25">
      <c r="A1661">
        <v>1307.4046169999999</v>
      </c>
      <c r="B1661" s="1">
        <f>DATE(2013,11,28) + TIME(9,42,38)</f>
        <v>41606.404606481483</v>
      </c>
      <c r="C1661">
        <v>80</v>
      </c>
      <c r="D1661">
        <v>75.947998046999999</v>
      </c>
      <c r="E1661">
        <v>50</v>
      </c>
      <c r="F1661">
        <v>49.975231170999997</v>
      </c>
      <c r="G1661">
        <v>1041.605957</v>
      </c>
      <c r="H1661">
        <v>912.57427978999999</v>
      </c>
      <c r="I1661">
        <v>1940.9532471</v>
      </c>
      <c r="J1661">
        <v>1749.2475586</v>
      </c>
      <c r="K1661">
        <v>0</v>
      </c>
      <c r="L1661">
        <v>2400</v>
      </c>
      <c r="M1661">
        <v>2400</v>
      </c>
      <c r="N1661">
        <v>0</v>
      </c>
    </row>
    <row r="1662" spans="1:14" x14ac:dyDescent="0.25">
      <c r="A1662">
        <v>1309.070557</v>
      </c>
      <c r="B1662" s="1">
        <f>DATE(2013,11,30) + TIME(1,41,36)</f>
        <v>41608.070555555554</v>
      </c>
      <c r="C1662">
        <v>80</v>
      </c>
      <c r="D1662">
        <v>75.784103393999999</v>
      </c>
      <c r="E1662">
        <v>50</v>
      </c>
      <c r="F1662">
        <v>49.974952698000003</v>
      </c>
      <c r="G1662">
        <v>1038.6412353999999</v>
      </c>
      <c r="H1662">
        <v>909.53839111000002</v>
      </c>
      <c r="I1662">
        <v>1943.2269286999999</v>
      </c>
      <c r="J1662">
        <v>1751.5229492000001</v>
      </c>
      <c r="K1662">
        <v>0</v>
      </c>
      <c r="L1662">
        <v>2400</v>
      </c>
      <c r="M1662">
        <v>2400</v>
      </c>
      <c r="N1662">
        <v>0</v>
      </c>
    </row>
    <row r="1663" spans="1:14" x14ac:dyDescent="0.25">
      <c r="A1663">
        <v>1310</v>
      </c>
      <c r="B1663" s="1">
        <f>DATE(2013,12,1) + TIME(0,0,0)</f>
        <v>41609</v>
      </c>
      <c r="C1663">
        <v>80</v>
      </c>
      <c r="D1663">
        <v>75.652191161999994</v>
      </c>
      <c r="E1663">
        <v>50</v>
      </c>
      <c r="F1663">
        <v>49.974739075000002</v>
      </c>
      <c r="G1663">
        <v>1036.9798584</v>
      </c>
      <c r="H1663">
        <v>907.81884765999996</v>
      </c>
      <c r="I1663">
        <v>1944.2893065999999</v>
      </c>
      <c r="J1663">
        <v>1752.5866699000001</v>
      </c>
      <c r="K1663">
        <v>0</v>
      </c>
      <c r="L1663">
        <v>2400</v>
      </c>
      <c r="M1663">
        <v>2400</v>
      </c>
      <c r="N1663">
        <v>0</v>
      </c>
    </row>
    <row r="1664" spans="1:14" x14ac:dyDescent="0.25">
      <c r="A1664">
        <v>1311.7041589999999</v>
      </c>
      <c r="B1664" s="1">
        <f>DATE(2013,12,2) + TIME(16,53,59)</f>
        <v>41610.704155092593</v>
      </c>
      <c r="C1664">
        <v>80</v>
      </c>
      <c r="D1664">
        <v>75.513710021999998</v>
      </c>
      <c r="E1664">
        <v>50</v>
      </c>
      <c r="F1664">
        <v>49.974617004000002</v>
      </c>
      <c r="G1664">
        <v>1034.3889160000001</v>
      </c>
      <c r="H1664">
        <v>905.15972899999997</v>
      </c>
      <c r="I1664">
        <v>1946.2026367000001</v>
      </c>
      <c r="J1664">
        <v>1754.5004882999999</v>
      </c>
      <c r="K1664">
        <v>0</v>
      </c>
      <c r="L1664">
        <v>2400</v>
      </c>
      <c r="M1664">
        <v>2400</v>
      </c>
      <c r="N1664">
        <v>0</v>
      </c>
    </row>
    <row r="1665" spans="1:14" x14ac:dyDescent="0.25">
      <c r="A1665">
        <v>1313.520143</v>
      </c>
      <c r="B1665" s="1">
        <f>DATE(2013,12,4) + TIME(12,29,0)</f>
        <v>41612.520138888889</v>
      </c>
      <c r="C1665">
        <v>80</v>
      </c>
      <c r="D1665">
        <v>75.353088378999999</v>
      </c>
      <c r="E1665">
        <v>50</v>
      </c>
      <c r="F1665">
        <v>49.974437713999997</v>
      </c>
      <c r="G1665">
        <v>1031.8249512</v>
      </c>
      <c r="H1665">
        <v>902.51812743999994</v>
      </c>
      <c r="I1665">
        <v>1947.9061279</v>
      </c>
      <c r="J1665">
        <v>1756.2050781</v>
      </c>
      <c r="K1665">
        <v>0</v>
      </c>
      <c r="L1665">
        <v>2400</v>
      </c>
      <c r="M1665">
        <v>2400</v>
      </c>
      <c r="N1665">
        <v>0</v>
      </c>
    </row>
    <row r="1666" spans="1:14" x14ac:dyDescent="0.25">
      <c r="A1666">
        <v>1315.4408579999999</v>
      </c>
      <c r="B1666" s="1">
        <f>DATE(2013,12,6) + TIME(10,34,50)</f>
        <v>41614.44085648148</v>
      </c>
      <c r="C1666">
        <v>80</v>
      </c>
      <c r="D1666">
        <v>75.179351807000003</v>
      </c>
      <c r="E1666">
        <v>50</v>
      </c>
      <c r="F1666">
        <v>49.974269866999997</v>
      </c>
      <c r="G1666">
        <v>1029.3354492000001</v>
      </c>
      <c r="H1666">
        <v>899.93975829999999</v>
      </c>
      <c r="I1666">
        <v>1949.4105225000001</v>
      </c>
      <c r="J1666">
        <v>1757.7102050999999</v>
      </c>
      <c r="K1666">
        <v>0</v>
      </c>
      <c r="L1666">
        <v>2400</v>
      </c>
      <c r="M1666">
        <v>2400</v>
      </c>
      <c r="N1666">
        <v>0</v>
      </c>
    </row>
    <row r="1667" spans="1:14" x14ac:dyDescent="0.25">
      <c r="A1667">
        <v>1317.419537</v>
      </c>
      <c r="B1667" s="1">
        <f>DATE(2013,12,8) + TIME(10,4,8)</f>
        <v>41616.419537037036</v>
      </c>
      <c r="C1667">
        <v>80</v>
      </c>
      <c r="D1667">
        <v>74.997032165999997</v>
      </c>
      <c r="E1667">
        <v>50</v>
      </c>
      <c r="F1667">
        <v>49.974128723</v>
      </c>
      <c r="G1667">
        <v>1026.9702147999999</v>
      </c>
      <c r="H1667">
        <v>897.47601318</v>
      </c>
      <c r="I1667">
        <v>1950.6931152</v>
      </c>
      <c r="J1667">
        <v>1758.9936522999999</v>
      </c>
      <c r="K1667">
        <v>0</v>
      </c>
      <c r="L1667">
        <v>2400</v>
      </c>
      <c r="M1667">
        <v>2400</v>
      </c>
      <c r="N1667">
        <v>0</v>
      </c>
    </row>
    <row r="1668" spans="1:14" x14ac:dyDescent="0.25">
      <c r="A1668">
        <v>1319.435927</v>
      </c>
      <c r="B1668" s="1">
        <f>DATE(2013,12,10) + TIME(10,27,44)</f>
        <v>41618.435925925929</v>
      </c>
      <c r="C1668">
        <v>80</v>
      </c>
      <c r="D1668">
        <v>74.809761046999995</v>
      </c>
      <c r="E1668">
        <v>50</v>
      </c>
      <c r="F1668">
        <v>49.974010468000003</v>
      </c>
      <c r="G1668">
        <v>1024.7399902</v>
      </c>
      <c r="H1668">
        <v>895.13818359000004</v>
      </c>
      <c r="I1668">
        <v>1951.7674560999999</v>
      </c>
      <c r="J1668">
        <v>1760.0686035000001</v>
      </c>
      <c r="K1668">
        <v>0</v>
      </c>
      <c r="L1668">
        <v>2400</v>
      </c>
      <c r="M1668">
        <v>2400</v>
      </c>
      <c r="N1668">
        <v>0</v>
      </c>
    </row>
    <row r="1669" spans="1:14" x14ac:dyDescent="0.25">
      <c r="A1669">
        <v>1321.5151539999999</v>
      </c>
      <c r="B1669" s="1">
        <f>DATE(2013,12,12) + TIME(12,21,49)</f>
        <v>41620.515150462961</v>
      </c>
      <c r="C1669">
        <v>80</v>
      </c>
      <c r="D1669">
        <v>74.618988036999994</v>
      </c>
      <c r="E1669">
        <v>50</v>
      </c>
      <c r="F1669">
        <v>49.973918914999999</v>
      </c>
      <c r="G1669">
        <v>1022.6121826</v>
      </c>
      <c r="H1669">
        <v>892.89355468999997</v>
      </c>
      <c r="I1669">
        <v>1952.6712646000001</v>
      </c>
      <c r="J1669">
        <v>1760.9729004000001</v>
      </c>
      <c r="K1669">
        <v>0</v>
      </c>
      <c r="L1669">
        <v>2400</v>
      </c>
      <c r="M1669">
        <v>2400</v>
      </c>
      <c r="N1669">
        <v>0</v>
      </c>
    </row>
    <row r="1670" spans="1:14" x14ac:dyDescent="0.25">
      <c r="A1670">
        <v>1323.6822930000001</v>
      </c>
      <c r="B1670" s="1">
        <f>DATE(2013,12,14) + TIME(16,22,30)</f>
        <v>41622.682291666664</v>
      </c>
      <c r="C1670">
        <v>80</v>
      </c>
      <c r="D1670">
        <v>74.423431395999998</v>
      </c>
      <c r="E1670">
        <v>50</v>
      </c>
      <c r="F1670">
        <v>49.973846436000002</v>
      </c>
      <c r="G1670">
        <v>1020.5565796</v>
      </c>
      <c r="H1670">
        <v>890.71032715000001</v>
      </c>
      <c r="I1670">
        <v>1953.4266356999999</v>
      </c>
      <c r="J1670">
        <v>1761.7286377</v>
      </c>
      <c r="K1670">
        <v>0</v>
      </c>
      <c r="L1670">
        <v>2400</v>
      </c>
      <c r="M1670">
        <v>2400</v>
      </c>
      <c r="N1670">
        <v>0</v>
      </c>
    </row>
    <row r="1671" spans="1:14" x14ac:dyDescent="0.25">
      <c r="A1671">
        <v>1325.870766</v>
      </c>
      <c r="B1671" s="1">
        <f>DATE(2013,12,16) + TIME(20,53,54)</f>
        <v>41624.870763888888</v>
      </c>
      <c r="C1671">
        <v>80</v>
      </c>
      <c r="D1671">
        <v>74.223129271999994</v>
      </c>
      <c r="E1671">
        <v>50</v>
      </c>
      <c r="F1671">
        <v>49.973789214999996</v>
      </c>
      <c r="G1671">
        <v>1018.605896</v>
      </c>
      <c r="H1671">
        <v>888.61993408000001</v>
      </c>
      <c r="I1671">
        <v>1954.0181885</v>
      </c>
      <c r="J1671">
        <v>1762.3206786999999</v>
      </c>
      <c r="K1671">
        <v>0</v>
      </c>
      <c r="L1671">
        <v>2400</v>
      </c>
      <c r="M1671">
        <v>2400</v>
      </c>
      <c r="N1671">
        <v>0</v>
      </c>
    </row>
    <row r="1672" spans="1:14" x14ac:dyDescent="0.25">
      <c r="A1672">
        <v>1328.0970339999999</v>
      </c>
      <c r="B1672" s="1">
        <f>DATE(2013,12,19) + TIME(2,19,43)</f>
        <v>41627.097025462965</v>
      </c>
      <c r="C1672">
        <v>80</v>
      </c>
      <c r="D1672">
        <v>74.020446777000004</v>
      </c>
      <c r="E1672">
        <v>50</v>
      </c>
      <c r="F1672">
        <v>49.973747252999999</v>
      </c>
      <c r="G1672">
        <v>1016.7404175</v>
      </c>
      <c r="H1672">
        <v>886.60308838000003</v>
      </c>
      <c r="I1672">
        <v>1954.4766846</v>
      </c>
      <c r="J1672">
        <v>1762.7794189000001</v>
      </c>
      <c r="K1672">
        <v>0</v>
      </c>
      <c r="L1672">
        <v>2400</v>
      </c>
      <c r="M1672">
        <v>2400</v>
      </c>
      <c r="N1672">
        <v>0</v>
      </c>
    </row>
    <row r="1673" spans="1:14" x14ac:dyDescent="0.25">
      <c r="A1673">
        <v>1330.3851979999999</v>
      </c>
      <c r="B1673" s="1">
        <f>DATE(2013,12,21) + TIME(9,14,41)</f>
        <v>41629.385196759256</v>
      </c>
      <c r="C1673">
        <v>80</v>
      </c>
      <c r="D1673">
        <v>73.814628600999995</v>
      </c>
      <c r="E1673">
        <v>50</v>
      </c>
      <c r="F1673">
        <v>49.973724365000002</v>
      </c>
      <c r="G1673">
        <v>1014.9332886</v>
      </c>
      <c r="H1673">
        <v>884.63134765999996</v>
      </c>
      <c r="I1673">
        <v>1954.8231201000001</v>
      </c>
      <c r="J1673">
        <v>1763.1260986</v>
      </c>
      <c r="K1673">
        <v>0</v>
      </c>
      <c r="L1673">
        <v>2400</v>
      </c>
      <c r="M1673">
        <v>2400</v>
      </c>
      <c r="N1673">
        <v>0</v>
      </c>
    </row>
    <row r="1674" spans="1:14" x14ac:dyDescent="0.25">
      <c r="A1674">
        <v>1332.7607680000001</v>
      </c>
      <c r="B1674" s="1">
        <f>DATE(2013,12,23) + TIME(18,15,30)</f>
        <v>41631.760763888888</v>
      </c>
      <c r="C1674">
        <v>80</v>
      </c>
      <c r="D1674">
        <v>73.603706360000004</v>
      </c>
      <c r="E1674">
        <v>50</v>
      </c>
      <c r="F1674">
        <v>49.973709106000001</v>
      </c>
      <c r="G1674">
        <v>1013.1586914</v>
      </c>
      <c r="H1674">
        <v>882.67639159999999</v>
      </c>
      <c r="I1674">
        <v>1955.0708007999999</v>
      </c>
      <c r="J1674">
        <v>1763.3740233999999</v>
      </c>
      <c r="K1674">
        <v>0</v>
      </c>
      <c r="L1674">
        <v>2400</v>
      </c>
      <c r="M1674">
        <v>2400</v>
      </c>
      <c r="N1674">
        <v>0</v>
      </c>
    </row>
    <row r="1675" spans="1:14" x14ac:dyDescent="0.25">
      <c r="A1675">
        <v>1335.1657620000001</v>
      </c>
      <c r="B1675" s="1">
        <f>DATE(2013,12,26) + TIME(3,58,41)</f>
        <v>41634.165752314817</v>
      </c>
      <c r="C1675">
        <v>80</v>
      </c>
      <c r="D1675">
        <v>73.387237549000005</v>
      </c>
      <c r="E1675">
        <v>50</v>
      </c>
      <c r="F1675">
        <v>49.973705291999998</v>
      </c>
      <c r="G1675">
        <v>1011.4309692</v>
      </c>
      <c r="H1675">
        <v>880.75061034999999</v>
      </c>
      <c r="I1675">
        <v>1955.2186279</v>
      </c>
      <c r="J1675">
        <v>1763.5220947</v>
      </c>
      <c r="K1675">
        <v>0</v>
      </c>
      <c r="L1675">
        <v>2400</v>
      </c>
      <c r="M1675">
        <v>2400</v>
      </c>
      <c r="N1675">
        <v>0</v>
      </c>
    </row>
    <row r="1676" spans="1:14" x14ac:dyDescent="0.25">
      <c r="A1676">
        <v>1337.6112900000001</v>
      </c>
      <c r="B1676" s="1">
        <f>DATE(2013,12,28) + TIME(14,40,15)</f>
        <v>41636.611284722225</v>
      </c>
      <c r="C1676">
        <v>80</v>
      </c>
      <c r="D1676">
        <v>73.167388915999993</v>
      </c>
      <c r="E1676">
        <v>50</v>
      </c>
      <c r="F1676">
        <v>49.973712921000001</v>
      </c>
      <c r="G1676">
        <v>1009.7408447</v>
      </c>
      <c r="H1676">
        <v>878.84509276999995</v>
      </c>
      <c r="I1676">
        <v>1955.2847899999999</v>
      </c>
      <c r="J1676">
        <v>1763.588501</v>
      </c>
      <c r="K1676">
        <v>0</v>
      </c>
      <c r="L1676">
        <v>2400</v>
      </c>
      <c r="M1676">
        <v>2400</v>
      </c>
      <c r="N1676">
        <v>0</v>
      </c>
    </row>
    <row r="1677" spans="1:14" x14ac:dyDescent="0.25">
      <c r="A1677">
        <v>1340.1214520000001</v>
      </c>
      <c r="B1677" s="1">
        <f>DATE(2013,12,31) + TIME(2,54,53)</f>
        <v>41639.121446759258</v>
      </c>
      <c r="C1677">
        <v>80</v>
      </c>
      <c r="D1677">
        <v>72.943428040000001</v>
      </c>
      <c r="E1677">
        <v>50</v>
      </c>
      <c r="F1677">
        <v>49.973728180000002</v>
      </c>
      <c r="G1677">
        <v>1008.0679932</v>
      </c>
      <c r="H1677">
        <v>876.93774413999995</v>
      </c>
      <c r="I1677">
        <v>1955.2822266000001</v>
      </c>
      <c r="J1677">
        <v>1763.5860596</v>
      </c>
      <c r="K1677">
        <v>0</v>
      </c>
      <c r="L1677">
        <v>2400</v>
      </c>
      <c r="M1677">
        <v>2400</v>
      </c>
      <c r="N1677">
        <v>0</v>
      </c>
    </row>
    <row r="1678" spans="1:14" x14ac:dyDescent="0.25">
      <c r="A1678">
        <v>1341</v>
      </c>
      <c r="B1678" s="1">
        <f>DATE(2014,1,1) + TIME(0,0,0)</f>
        <v>41640</v>
      </c>
      <c r="C1678">
        <v>80</v>
      </c>
      <c r="D1678">
        <v>72.785171508999994</v>
      </c>
      <c r="E1678">
        <v>50</v>
      </c>
      <c r="F1678">
        <v>49.973670959000003</v>
      </c>
      <c r="G1678">
        <v>1007.1641846</v>
      </c>
      <c r="H1678">
        <v>875.85101318</v>
      </c>
      <c r="I1678">
        <v>1955.1890868999999</v>
      </c>
      <c r="J1678">
        <v>1763.4929199000001</v>
      </c>
      <c r="K1678">
        <v>0</v>
      </c>
      <c r="L1678">
        <v>2400</v>
      </c>
      <c r="M1678">
        <v>2400</v>
      </c>
      <c r="N1678">
        <v>0</v>
      </c>
    </row>
    <row r="1679" spans="1:14" x14ac:dyDescent="0.25">
      <c r="A1679">
        <v>1343.6003430000001</v>
      </c>
      <c r="B1679" s="1">
        <f>DATE(2014,1,3) + TIME(14,24,29)</f>
        <v>41642.600335648145</v>
      </c>
      <c r="C1679">
        <v>80</v>
      </c>
      <c r="D1679">
        <v>72.61390686</v>
      </c>
      <c r="E1679">
        <v>50</v>
      </c>
      <c r="F1679">
        <v>49.973766327</v>
      </c>
      <c r="G1679">
        <v>1005.7519531</v>
      </c>
      <c r="H1679">
        <v>874.24517821999996</v>
      </c>
      <c r="I1679">
        <v>1955.1604004000001</v>
      </c>
      <c r="J1679">
        <v>1763.4644774999999</v>
      </c>
      <c r="K1679">
        <v>0</v>
      </c>
      <c r="L1679">
        <v>2400</v>
      </c>
      <c r="M1679">
        <v>2400</v>
      </c>
      <c r="N1679">
        <v>0</v>
      </c>
    </row>
    <row r="1680" spans="1:14" x14ac:dyDescent="0.25">
      <c r="A1680">
        <v>1346.2404710000001</v>
      </c>
      <c r="B1680" s="1">
        <f>DATE(2014,1,6) + TIME(5,46,16)</f>
        <v>41645.24046296296</v>
      </c>
      <c r="C1680">
        <v>80</v>
      </c>
      <c r="D1680">
        <v>72.390632628999995</v>
      </c>
      <c r="E1680">
        <v>50</v>
      </c>
      <c r="F1680">
        <v>49.973804473999998</v>
      </c>
      <c r="G1680">
        <v>1004.1209717</v>
      </c>
      <c r="H1680">
        <v>872.34338378999996</v>
      </c>
      <c r="I1680">
        <v>1955.0439452999999</v>
      </c>
      <c r="J1680">
        <v>1763.3481445</v>
      </c>
      <c r="K1680">
        <v>0</v>
      </c>
      <c r="L1680">
        <v>2400</v>
      </c>
      <c r="M1680">
        <v>2400</v>
      </c>
      <c r="N1680">
        <v>0</v>
      </c>
    </row>
    <row r="1681" spans="1:14" x14ac:dyDescent="0.25">
      <c r="A1681">
        <v>1348.9353980000001</v>
      </c>
      <c r="B1681" s="1">
        <f>DATE(2014,1,8) + TIME(22,26,58)</f>
        <v>41647.935393518521</v>
      </c>
      <c r="C1681">
        <v>80</v>
      </c>
      <c r="D1681">
        <v>72.150886536000002</v>
      </c>
      <c r="E1681">
        <v>50</v>
      </c>
      <c r="F1681">
        <v>49.973834990999997</v>
      </c>
      <c r="G1681">
        <v>1002.4559326</v>
      </c>
      <c r="H1681">
        <v>870.36804199000005</v>
      </c>
      <c r="I1681">
        <v>1954.8691406</v>
      </c>
      <c r="J1681">
        <v>1763.1734618999999</v>
      </c>
      <c r="K1681">
        <v>0</v>
      </c>
      <c r="L1681">
        <v>2400</v>
      </c>
      <c r="M1681">
        <v>2400</v>
      </c>
      <c r="N1681">
        <v>0</v>
      </c>
    </row>
    <row r="1682" spans="1:14" x14ac:dyDescent="0.25">
      <c r="A1682">
        <v>1351.7096469999999</v>
      </c>
      <c r="B1682" s="1">
        <f>DATE(2014,1,11) + TIME(17,1,53)</f>
        <v>41650.709641203706</v>
      </c>
      <c r="C1682">
        <v>80</v>
      </c>
      <c r="D1682">
        <v>71.901802063000005</v>
      </c>
      <c r="E1682">
        <v>50</v>
      </c>
      <c r="F1682">
        <v>49.973876953000001</v>
      </c>
      <c r="G1682">
        <v>1000.7585448999999</v>
      </c>
      <c r="H1682">
        <v>868.32867432</v>
      </c>
      <c r="I1682">
        <v>1954.6531981999999</v>
      </c>
      <c r="J1682">
        <v>1762.9576416</v>
      </c>
      <c r="K1682">
        <v>0</v>
      </c>
      <c r="L1682">
        <v>2400</v>
      </c>
      <c r="M1682">
        <v>2400</v>
      </c>
      <c r="N1682">
        <v>0</v>
      </c>
    </row>
    <row r="1683" spans="1:14" x14ac:dyDescent="0.25">
      <c r="A1683">
        <v>1354.538536</v>
      </c>
      <c r="B1683" s="1">
        <f>DATE(2014,1,14) + TIME(12,55,29)</f>
        <v>41653.538530092592</v>
      </c>
      <c r="C1683">
        <v>80</v>
      </c>
      <c r="D1683">
        <v>71.643859863000003</v>
      </c>
      <c r="E1683">
        <v>50</v>
      </c>
      <c r="F1683">
        <v>49.973922729000002</v>
      </c>
      <c r="G1683">
        <v>999.02740478999999</v>
      </c>
      <c r="H1683">
        <v>866.22259521000001</v>
      </c>
      <c r="I1683">
        <v>1954.4034423999999</v>
      </c>
      <c r="J1683">
        <v>1762.7080077999999</v>
      </c>
      <c r="K1683">
        <v>0</v>
      </c>
      <c r="L1683">
        <v>2400</v>
      </c>
      <c r="M1683">
        <v>2400</v>
      </c>
      <c r="N1683">
        <v>0</v>
      </c>
    </row>
    <row r="1684" spans="1:14" x14ac:dyDescent="0.25">
      <c r="A1684">
        <v>1357.4055040000001</v>
      </c>
      <c r="B1684" s="1">
        <f>DATE(2014,1,17) + TIME(9,43,55)</f>
        <v>41656.405497685184</v>
      </c>
      <c r="C1684">
        <v>80</v>
      </c>
      <c r="D1684">
        <v>71.378387450999995</v>
      </c>
      <c r="E1684">
        <v>50</v>
      </c>
      <c r="F1684">
        <v>49.973972320999998</v>
      </c>
      <c r="G1684">
        <v>997.26580810999997</v>
      </c>
      <c r="H1684">
        <v>864.05316161999997</v>
      </c>
      <c r="I1684">
        <v>1954.1275635</v>
      </c>
      <c r="J1684">
        <v>1762.4321289</v>
      </c>
      <c r="K1684">
        <v>0</v>
      </c>
      <c r="L1684">
        <v>2400</v>
      </c>
      <c r="M1684">
        <v>2400</v>
      </c>
      <c r="N1684">
        <v>0</v>
      </c>
    </row>
    <row r="1685" spans="1:14" x14ac:dyDescent="0.25">
      <c r="A1685">
        <v>1360.3357169999999</v>
      </c>
      <c r="B1685" s="1">
        <f>DATE(2014,1,20) + TIME(8,3,25)</f>
        <v>41659.335706018515</v>
      </c>
      <c r="C1685">
        <v>80</v>
      </c>
      <c r="D1685">
        <v>71.105690002000003</v>
      </c>
      <c r="E1685">
        <v>50</v>
      </c>
      <c r="F1685">
        <v>49.974025726000001</v>
      </c>
      <c r="G1685">
        <v>995.46539307</v>
      </c>
      <c r="H1685">
        <v>861.81109618999994</v>
      </c>
      <c r="I1685">
        <v>1953.8308105000001</v>
      </c>
      <c r="J1685">
        <v>1762.1354980000001</v>
      </c>
      <c r="K1685">
        <v>0</v>
      </c>
      <c r="L1685">
        <v>2400</v>
      </c>
      <c r="M1685">
        <v>2400</v>
      </c>
      <c r="N1685">
        <v>0</v>
      </c>
    </row>
    <row r="1686" spans="1:14" x14ac:dyDescent="0.25">
      <c r="A1686">
        <v>1363.355086</v>
      </c>
      <c r="B1686" s="1">
        <f>DATE(2014,1,23) + TIME(8,31,19)</f>
        <v>41662.355081018519</v>
      </c>
      <c r="C1686">
        <v>80</v>
      </c>
      <c r="D1686">
        <v>70.823524474999999</v>
      </c>
      <c r="E1686">
        <v>50</v>
      </c>
      <c r="F1686">
        <v>49.974086761000002</v>
      </c>
      <c r="G1686">
        <v>993.60809326000003</v>
      </c>
      <c r="H1686">
        <v>859.47338866999996</v>
      </c>
      <c r="I1686">
        <v>1953.5150146000001</v>
      </c>
      <c r="J1686">
        <v>1761.8198242000001</v>
      </c>
      <c r="K1686">
        <v>0</v>
      </c>
      <c r="L1686">
        <v>2400</v>
      </c>
      <c r="M1686">
        <v>2400</v>
      </c>
      <c r="N1686">
        <v>0</v>
      </c>
    </row>
    <row r="1687" spans="1:14" x14ac:dyDescent="0.25">
      <c r="A1687">
        <v>1366.4018140000001</v>
      </c>
      <c r="B1687" s="1">
        <f>DATE(2014,1,26) + TIME(9,38,36)</f>
        <v>41665.401805555557</v>
      </c>
      <c r="C1687">
        <v>80</v>
      </c>
      <c r="D1687">
        <v>70.530426024999997</v>
      </c>
      <c r="E1687">
        <v>50</v>
      </c>
      <c r="F1687">
        <v>49.974143982000001</v>
      </c>
      <c r="G1687">
        <v>991.69451904000005</v>
      </c>
      <c r="H1687">
        <v>857.03643798999997</v>
      </c>
      <c r="I1687">
        <v>1953.1849365</v>
      </c>
      <c r="J1687">
        <v>1761.4898682</v>
      </c>
      <c r="K1687">
        <v>0</v>
      </c>
      <c r="L1687">
        <v>2400</v>
      </c>
      <c r="M1687">
        <v>2400</v>
      </c>
      <c r="N1687">
        <v>0</v>
      </c>
    </row>
    <row r="1688" spans="1:14" x14ac:dyDescent="0.25">
      <c r="A1688">
        <v>1369.498585</v>
      </c>
      <c r="B1688" s="1">
        <f>DATE(2014,1,29) + TIME(11,57,57)</f>
        <v>41668.498576388891</v>
      </c>
      <c r="C1688">
        <v>80</v>
      </c>
      <c r="D1688">
        <v>70.228591918999996</v>
      </c>
      <c r="E1688">
        <v>50</v>
      </c>
      <c r="F1688">
        <v>49.974205017000003</v>
      </c>
      <c r="G1688">
        <v>989.72991943</v>
      </c>
      <c r="H1688">
        <v>854.50793456999997</v>
      </c>
      <c r="I1688">
        <v>1952.8450928</v>
      </c>
      <c r="J1688">
        <v>1761.1501464999999</v>
      </c>
      <c r="K1688">
        <v>0</v>
      </c>
      <c r="L1688">
        <v>2400</v>
      </c>
      <c r="M1688">
        <v>2400</v>
      </c>
      <c r="N1688">
        <v>0</v>
      </c>
    </row>
    <row r="1689" spans="1:14" x14ac:dyDescent="0.25">
      <c r="A1689">
        <v>1372</v>
      </c>
      <c r="B1689" s="1">
        <f>DATE(2014,2,1) + TIME(0,0,0)</f>
        <v>41671</v>
      </c>
      <c r="C1689">
        <v>80</v>
      </c>
      <c r="D1689">
        <v>69.931869507000002</v>
      </c>
      <c r="E1689">
        <v>50</v>
      </c>
      <c r="F1689">
        <v>49.974243164000001</v>
      </c>
      <c r="G1689">
        <v>987.86492920000001</v>
      </c>
      <c r="H1689">
        <v>852.06146239999998</v>
      </c>
      <c r="I1689">
        <v>1952.5347899999999</v>
      </c>
      <c r="J1689">
        <v>1760.8398437999999</v>
      </c>
      <c r="K1689">
        <v>0</v>
      </c>
      <c r="L1689">
        <v>2400</v>
      </c>
      <c r="M1689">
        <v>2400</v>
      </c>
      <c r="N1689">
        <v>0</v>
      </c>
    </row>
    <row r="1690" spans="1:14" x14ac:dyDescent="0.25">
      <c r="A1690">
        <v>1375.1726739999999</v>
      </c>
      <c r="B1690" s="1">
        <f>DATE(2014,2,4) + TIME(4,8,38)</f>
        <v>41674.172662037039</v>
      </c>
      <c r="C1690">
        <v>80</v>
      </c>
      <c r="D1690">
        <v>69.650192261000001</v>
      </c>
      <c r="E1690">
        <v>50</v>
      </c>
      <c r="F1690">
        <v>49.974323273000003</v>
      </c>
      <c r="G1690">
        <v>985.99768066000001</v>
      </c>
      <c r="H1690">
        <v>849.62634276999995</v>
      </c>
      <c r="I1690">
        <v>1952.2067870999999</v>
      </c>
      <c r="J1690">
        <v>1760.5119629000001</v>
      </c>
      <c r="K1690">
        <v>0</v>
      </c>
      <c r="L1690">
        <v>2400</v>
      </c>
      <c r="M1690">
        <v>2400</v>
      </c>
      <c r="N1690">
        <v>0</v>
      </c>
    </row>
    <row r="1691" spans="1:14" x14ac:dyDescent="0.25">
      <c r="A1691">
        <v>1378.4283390000001</v>
      </c>
      <c r="B1691" s="1">
        <f>DATE(2014,2,7) + TIME(10,16,48)</f>
        <v>41677.428333333337</v>
      </c>
      <c r="C1691">
        <v>80</v>
      </c>
      <c r="D1691">
        <v>69.326881408999995</v>
      </c>
      <c r="E1691">
        <v>50</v>
      </c>
      <c r="F1691">
        <v>49.974391937</v>
      </c>
      <c r="G1691">
        <v>983.87994385000002</v>
      </c>
      <c r="H1691">
        <v>846.83392333999996</v>
      </c>
      <c r="I1691">
        <v>1951.8588867000001</v>
      </c>
      <c r="J1691">
        <v>1760.1641846</v>
      </c>
      <c r="K1691">
        <v>0</v>
      </c>
      <c r="L1691">
        <v>2400</v>
      </c>
      <c r="M1691">
        <v>2400</v>
      </c>
      <c r="N1691">
        <v>0</v>
      </c>
    </row>
    <row r="1692" spans="1:14" x14ac:dyDescent="0.25">
      <c r="A1692">
        <v>1381.7438050000001</v>
      </c>
      <c r="B1692" s="1">
        <f>DATE(2014,2,10) + TIME(17,51,4)</f>
        <v>41680.743796296294</v>
      </c>
      <c r="C1692">
        <v>80</v>
      </c>
      <c r="D1692">
        <v>68.982643127000003</v>
      </c>
      <c r="E1692">
        <v>50</v>
      </c>
      <c r="F1692">
        <v>49.974456787000001</v>
      </c>
      <c r="G1692">
        <v>981.65368651999995</v>
      </c>
      <c r="H1692">
        <v>843.86260986000002</v>
      </c>
      <c r="I1692">
        <v>1951.5007324000001</v>
      </c>
      <c r="J1692">
        <v>1759.8060303</v>
      </c>
      <c r="K1692">
        <v>0</v>
      </c>
      <c r="L1692">
        <v>2400</v>
      </c>
      <c r="M1692">
        <v>2400</v>
      </c>
      <c r="N1692">
        <v>0</v>
      </c>
    </row>
    <row r="1693" spans="1:14" x14ac:dyDescent="0.25">
      <c r="A1693">
        <v>1385.1402189999999</v>
      </c>
      <c r="B1693" s="1">
        <f>DATE(2014,2,14) + TIME(3,21,54)</f>
        <v>41684.140208333331</v>
      </c>
      <c r="C1693">
        <v>80</v>
      </c>
      <c r="D1693">
        <v>68.622291564999998</v>
      </c>
      <c r="E1693">
        <v>50</v>
      </c>
      <c r="F1693">
        <v>49.974525452000002</v>
      </c>
      <c r="G1693">
        <v>979.33160399999997</v>
      </c>
      <c r="H1693">
        <v>840.73449706999997</v>
      </c>
      <c r="I1693">
        <v>1951.137207</v>
      </c>
      <c r="J1693">
        <v>1759.4425048999999</v>
      </c>
      <c r="K1693">
        <v>0</v>
      </c>
      <c r="L1693">
        <v>2400</v>
      </c>
      <c r="M1693">
        <v>2400</v>
      </c>
      <c r="N1693">
        <v>0</v>
      </c>
    </row>
    <row r="1694" spans="1:14" x14ac:dyDescent="0.25">
      <c r="A1694">
        <v>1388.5633350000001</v>
      </c>
      <c r="B1694" s="1">
        <f>DATE(2014,2,17) + TIME(13,31,12)</f>
        <v>41687.563333333332</v>
      </c>
      <c r="C1694">
        <v>80</v>
      </c>
      <c r="D1694">
        <v>68.245559692</v>
      </c>
      <c r="E1694">
        <v>50</v>
      </c>
      <c r="F1694">
        <v>49.974590302000003</v>
      </c>
      <c r="G1694">
        <v>976.91534423999997</v>
      </c>
      <c r="H1694">
        <v>837.44891356999995</v>
      </c>
      <c r="I1694">
        <v>1950.7729492000001</v>
      </c>
      <c r="J1694">
        <v>1759.0783690999999</v>
      </c>
      <c r="K1694">
        <v>0</v>
      </c>
      <c r="L1694">
        <v>2400</v>
      </c>
      <c r="M1694">
        <v>2400</v>
      </c>
      <c r="N1694">
        <v>0</v>
      </c>
    </row>
    <row r="1695" spans="1:14" x14ac:dyDescent="0.25">
      <c r="A1695">
        <v>1392.0402160000001</v>
      </c>
      <c r="B1695" s="1">
        <f>DATE(2014,2,21) + TIME(0,57,54)</f>
        <v>41691.040208333332</v>
      </c>
      <c r="C1695">
        <v>80</v>
      </c>
      <c r="D1695">
        <v>67.854690551999994</v>
      </c>
      <c r="E1695">
        <v>50</v>
      </c>
      <c r="F1695">
        <v>49.974662780999999</v>
      </c>
      <c r="G1695">
        <v>974.41772461000005</v>
      </c>
      <c r="H1695">
        <v>834.02404784999999</v>
      </c>
      <c r="I1695">
        <v>1950.4094238</v>
      </c>
      <c r="J1695">
        <v>1758.7149658000001</v>
      </c>
      <c r="K1695">
        <v>0</v>
      </c>
      <c r="L1695">
        <v>2400</v>
      </c>
      <c r="M1695">
        <v>2400</v>
      </c>
      <c r="N1695">
        <v>0</v>
      </c>
    </row>
    <row r="1696" spans="1:14" x14ac:dyDescent="0.25">
      <c r="A1696">
        <v>1395.5976470000001</v>
      </c>
      <c r="B1696" s="1">
        <f>DATE(2014,2,24) + TIME(14,20,36)</f>
        <v>41694.597638888888</v>
      </c>
      <c r="C1696">
        <v>80</v>
      </c>
      <c r="D1696">
        <v>67.447113036999994</v>
      </c>
      <c r="E1696">
        <v>50</v>
      </c>
      <c r="F1696">
        <v>49.974731445000003</v>
      </c>
      <c r="G1696">
        <v>971.82177734000004</v>
      </c>
      <c r="H1696">
        <v>830.43640137</v>
      </c>
      <c r="I1696">
        <v>1950.0455322</v>
      </c>
      <c r="J1696">
        <v>1758.3510742000001</v>
      </c>
      <c r="K1696">
        <v>0</v>
      </c>
      <c r="L1696">
        <v>2400</v>
      </c>
      <c r="M1696">
        <v>2400</v>
      </c>
      <c r="N1696">
        <v>0</v>
      </c>
    </row>
    <row r="1697" spans="1:14" x14ac:dyDescent="0.25">
      <c r="A1697">
        <v>1399.1812420000001</v>
      </c>
      <c r="B1697" s="1">
        <f>DATE(2014,2,28) + TIME(4,20,59)</f>
        <v>41698.181238425925</v>
      </c>
      <c r="C1697">
        <v>80</v>
      </c>
      <c r="D1697">
        <v>67.020454407000003</v>
      </c>
      <c r="E1697">
        <v>50</v>
      </c>
      <c r="F1697">
        <v>49.974803925000003</v>
      </c>
      <c r="G1697">
        <v>969.12176513999998</v>
      </c>
      <c r="H1697">
        <v>826.67364501999998</v>
      </c>
      <c r="I1697">
        <v>1949.6835937999999</v>
      </c>
      <c r="J1697">
        <v>1757.9891356999999</v>
      </c>
      <c r="K1697">
        <v>0</v>
      </c>
      <c r="L1697">
        <v>2400</v>
      </c>
      <c r="M1697">
        <v>2400</v>
      </c>
      <c r="N1697">
        <v>0</v>
      </c>
    </row>
    <row r="1698" spans="1:14" x14ac:dyDescent="0.25">
      <c r="A1698">
        <v>1400</v>
      </c>
      <c r="B1698" s="1">
        <f>DATE(2014,3,1) + TIME(0,0,0)</f>
        <v>41699</v>
      </c>
      <c r="C1698">
        <v>80</v>
      </c>
      <c r="D1698">
        <v>66.741241454999994</v>
      </c>
      <c r="E1698">
        <v>50</v>
      </c>
      <c r="F1698">
        <v>49.974781036000003</v>
      </c>
      <c r="G1698">
        <v>967.27691649999997</v>
      </c>
      <c r="H1698">
        <v>824.08160399999997</v>
      </c>
      <c r="I1698">
        <v>1949.5517577999999</v>
      </c>
      <c r="J1698">
        <v>1757.8571777</v>
      </c>
      <c r="K1698">
        <v>0</v>
      </c>
      <c r="L1698">
        <v>2400</v>
      </c>
      <c r="M1698">
        <v>2400</v>
      </c>
      <c r="N1698">
        <v>0</v>
      </c>
    </row>
    <row r="1699" spans="1:14" x14ac:dyDescent="0.25">
      <c r="A1699">
        <v>1403.634562</v>
      </c>
      <c r="B1699" s="1">
        <f>DATE(2014,3,4) + TIME(15,13,46)</f>
        <v>41702.634560185186</v>
      </c>
      <c r="C1699">
        <v>80</v>
      </c>
      <c r="D1699">
        <v>66.440322875999996</v>
      </c>
      <c r="E1699">
        <v>50</v>
      </c>
      <c r="F1699">
        <v>49.974891663000001</v>
      </c>
      <c r="G1699">
        <v>965.56292725000003</v>
      </c>
      <c r="H1699">
        <v>821.62341308999999</v>
      </c>
      <c r="I1699">
        <v>1949.2197266000001</v>
      </c>
      <c r="J1699">
        <v>1757.5253906</v>
      </c>
      <c r="K1699">
        <v>0</v>
      </c>
      <c r="L1699">
        <v>2400</v>
      </c>
      <c r="M1699">
        <v>2400</v>
      </c>
      <c r="N1699">
        <v>0</v>
      </c>
    </row>
    <row r="1700" spans="1:14" x14ac:dyDescent="0.25">
      <c r="A1700">
        <v>1407.325818</v>
      </c>
      <c r="B1700" s="1">
        <f>DATE(2014,3,8) + TIME(7,49,10)</f>
        <v>41706.325810185182</v>
      </c>
      <c r="C1700">
        <v>80</v>
      </c>
      <c r="D1700">
        <v>66.002723693999997</v>
      </c>
      <c r="E1700">
        <v>50</v>
      </c>
      <c r="F1700">
        <v>49.974964141999997</v>
      </c>
      <c r="G1700">
        <v>962.75164795000001</v>
      </c>
      <c r="H1700">
        <v>817.68011475000003</v>
      </c>
      <c r="I1700">
        <v>1948.8793945</v>
      </c>
      <c r="J1700">
        <v>1757.1851807</v>
      </c>
      <c r="K1700">
        <v>0</v>
      </c>
      <c r="L1700">
        <v>2400</v>
      </c>
      <c r="M1700">
        <v>2400</v>
      </c>
      <c r="N1700">
        <v>0</v>
      </c>
    </row>
    <row r="1701" spans="1:14" x14ac:dyDescent="0.25">
      <c r="A1701">
        <v>1411.0568089999999</v>
      </c>
      <c r="B1701" s="1">
        <f>DATE(2014,3,12) + TIME(1,21,48)</f>
        <v>41710.056805555556</v>
      </c>
      <c r="C1701">
        <v>80</v>
      </c>
      <c r="D1701">
        <v>65.521102905000006</v>
      </c>
      <c r="E1701">
        <v>50</v>
      </c>
      <c r="F1701">
        <v>49.975032806000002</v>
      </c>
      <c r="G1701">
        <v>959.76495361000002</v>
      </c>
      <c r="H1701">
        <v>813.42132568</v>
      </c>
      <c r="I1701">
        <v>1948.5302733999999</v>
      </c>
      <c r="J1701">
        <v>1756.8360596</v>
      </c>
      <c r="K1701">
        <v>0</v>
      </c>
      <c r="L1701">
        <v>2400</v>
      </c>
      <c r="M1701">
        <v>2400</v>
      </c>
      <c r="N1701">
        <v>0</v>
      </c>
    </row>
    <row r="1702" spans="1:14" x14ac:dyDescent="0.25">
      <c r="A1702">
        <v>1414.8116849999999</v>
      </c>
      <c r="B1702" s="1">
        <f>DATE(2014,3,15) + TIME(19,28,49)</f>
        <v>41713.811678240738</v>
      </c>
      <c r="C1702">
        <v>80</v>
      </c>
      <c r="D1702">
        <v>65.017311096</v>
      </c>
      <c r="E1702">
        <v>50</v>
      </c>
      <c r="F1702">
        <v>49.975101471000002</v>
      </c>
      <c r="G1702">
        <v>956.67340088000003</v>
      </c>
      <c r="H1702">
        <v>808.97503661999997</v>
      </c>
      <c r="I1702">
        <v>1948.1810303</v>
      </c>
      <c r="J1702">
        <v>1756.4868164</v>
      </c>
      <c r="K1702">
        <v>0</v>
      </c>
      <c r="L1702">
        <v>2400</v>
      </c>
      <c r="M1702">
        <v>2400</v>
      </c>
      <c r="N1702">
        <v>0</v>
      </c>
    </row>
    <row r="1703" spans="1:14" x14ac:dyDescent="0.25">
      <c r="A1703">
        <v>1418.597741</v>
      </c>
      <c r="B1703" s="1">
        <f>DATE(2014,3,19) + TIME(14,20,44)</f>
        <v>41717.597731481481</v>
      </c>
      <c r="C1703">
        <v>80</v>
      </c>
      <c r="D1703">
        <v>64.494583129999995</v>
      </c>
      <c r="E1703">
        <v>50</v>
      </c>
      <c r="F1703">
        <v>49.975173949999999</v>
      </c>
      <c r="G1703">
        <v>953.49291991999996</v>
      </c>
      <c r="H1703">
        <v>804.36828613</v>
      </c>
      <c r="I1703">
        <v>1947.8342285000001</v>
      </c>
      <c r="J1703">
        <v>1756.1401367000001</v>
      </c>
      <c r="K1703">
        <v>0</v>
      </c>
      <c r="L1703">
        <v>2400</v>
      </c>
      <c r="M1703">
        <v>2400</v>
      </c>
      <c r="N1703">
        <v>0</v>
      </c>
    </row>
    <row r="1704" spans="1:14" x14ac:dyDescent="0.25">
      <c r="A1704">
        <v>1422.4218900000001</v>
      </c>
      <c r="B1704" s="1">
        <f>DATE(2014,3,23) + TIME(10,7,31)</f>
        <v>41721.421886574077</v>
      </c>
      <c r="C1704">
        <v>80</v>
      </c>
      <c r="D1704">
        <v>63.953224182</v>
      </c>
      <c r="E1704">
        <v>50</v>
      </c>
      <c r="F1704">
        <v>49.975242614999999</v>
      </c>
      <c r="G1704">
        <v>950.22314453000001</v>
      </c>
      <c r="H1704">
        <v>799.60095215000001</v>
      </c>
      <c r="I1704">
        <v>1947.4898682</v>
      </c>
      <c r="J1704">
        <v>1755.7958983999999</v>
      </c>
      <c r="K1704">
        <v>0</v>
      </c>
      <c r="L1704">
        <v>2400</v>
      </c>
      <c r="M1704">
        <v>2400</v>
      </c>
      <c r="N1704">
        <v>0</v>
      </c>
    </row>
    <row r="1705" spans="1:14" x14ac:dyDescent="0.25">
      <c r="A1705">
        <v>1426.2901509999999</v>
      </c>
      <c r="B1705" s="1">
        <f>DATE(2014,3,27) + TIME(6,57,49)</f>
        <v>41725.290150462963</v>
      </c>
      <c r="C1705">
        <v>80</v>
      </c>
      <c r="D1705">
        <v>63.391826629999997</v>
      </c>
      <c r="E1705">
        <v>50</v>
      </c>
      <c r="F1705">
        <v>49.975311279000003</v>
      </c>
      <c r="G1705">
        <v>946.85980225000003</v>
      </c>
      <c r="H1705">
        <v>794.66516113</v>
      </c>
      <c r="I1705">
        <v>1947.1474608999999</v>
      </c>
      <c r="J1705">
        <v>1755.4534911999999</v>
      </c>
      <c r="K1705">
        <v>0</v>
      </c>
      <c r="L1705">
        <v>2400</v>
      </c>
      <c r="M1705">
        <v>2400</v>
      </c>
      <c r="N1705">
        <v>0</v>
      </c>
    </row>
    <row r="1706" spans="1:14" x14ac:dyDescent="0.25">
      <c r="A1706">
        <v>1430.1872820000001</v>
      </c>
      <c r="B1706" s="1">
        <f>DATE(2014,3,31) + TIME(4,29,41)</f>
        <v>41729.187280092592</v>
      </c>
      <c r="C1706">
        <v>80</v>
      </c>
      <c r="D1706">
        <v>62.810352324999997</v>
      </c>
      <c r="E1706">
        <v>50</v>
      </c>
      <c r="F1706">
        <v>49.975383759000003</v>
      </c>
      <c r="G1706">
        <v>943.40319824000005</v>
      </c>
      <c r="H1706">
        <v>789.55944824000005</v>
      </c>
      <c r="I1706">
        <v>1946.8071289</v>
      </c>
      <c r="J1706">
        <v>1755.1131591999999</v>
      </c>
      <c r="K1706">
        <v>0</v>
      </c>
      <c r="L1706">
        <v>2400</v>
      </c>
      <c r="M1706">
        <v>2400</v>
      </c>
      <c r="N1706">
        <v>0</v>
      </c>
    </row>
    <row r="1707" spans="1:14" x14ac:dyDescent="0.25">
      <c r="A1707">
        <v>1431</v>
      </c>
      <c r="B1707" s="1">
        <f>DATE(2014,4,1) + TIME(0,0,0)</f>
        <v>41730</v>
      </c>
      <c r="C1707">
        <v>80</v>
      </c>
      <c r="D1707">
        <v>62.436019897000001</v>
      </c>
      <c r="E1707">
        <v>50</v>
      </c>
      <c r="F1707">
        <v>49.975368500000002</v>
      </c>
      <c r="G1707">
        <v>940.921875</v>
      </c>
      <c r="H1707">
        <v>785.96740723000005</v>
      </c>
      <c r="I1707">
        <v>1946.6990966999999</v>
      </c>
      <c r="J1707">
        <v>1755.0051269999999</v>
      </c>
      <c r="K1707">
        <v>0</v>
      </c>
      <c r="L1707">
        <v>2400</v>
      </c>
      <c r="M1707">
        <v>2400</v>
      </c>
      <c r="N1707">
        <v>0</v>
      </c>
    </row>
    <row r="1708" spans="1:14" x14ac:dyDescent="0.25">
      <c r="A1708">
        <v>1434.927005</v>
      </c>
      <c r="B1708" s="1">
        <f>DATE(2014,4,4) + TIME(22,14,53)</f>
        <v>41733.927002314813</v>
      </c>
      <c r="C1708">
        <v>80</v>
      </c>
      <c r="D1708">
        <v>62.040584564</v>
      </c>
      <c r="E1708">
        <v>50</v>
      </c>
      <c r="F1708">
        <v>49.975463867000002</v>
      </c>
      <c r="G1708">
        <v>938.97515868999994</v>
      </c>
      <c r="H1708">
        <v>782.90014647999999</v>
      </c>
      <c r="I1708">
        <v>1946.3775635</v>
      </c>
      <c r="J1708">
        <v>1754.6837158000001</v>
      </c>
      <c r="K1708">
        <v>0</v>
      </c>
      <c r="L1708">
        <v>2400</v>
      </c>
      <c r="M1708">
        <v>2400</v>
      </c>
      <c r="N1708">
        <v>0</v>
      </c>
    </row>
    <row r="1709" spans="1:14" x14ac:dyDescent="0.25">
      <c r="A1709">
        <v>1438.901664</v>
      </c>
      <c r="B1709" s="1">
        <f>DATE(2014,4,8) + TIME(21,38,23)</f>
        <v>41737.901655092595</v>
      </c>
      <c r="C1709">
        <v>80</v>
      </c>
      <c r="D1709">
        <v>61.456497192</v>
      </c>
      <c r="E1709">
        <v>50</v>
      </c>
      <c r="F1709">
        <v>49.975540160999998</v>
      </c>
      <c r="G1709">
        <v>935.45532227000001</v>
      </c>
      <c r="H1709">
        <v>777.69323729999996</v>
      </c>
      <c r="I1709">
        <v>1946.0541992000001</v>
      </c>
      <c r="J1709">
        <v>1754.3603516000001</v>
      </c>
      <c r="K1709">
        <v>0</v>
      </c>
      <c r="L1709">
        <v>2400</v>
      </c>
      <c r="M1709">
        <v>2400</v>
      </c>
      <c r="N1709">
        <v>0</v>
      </c>
    </row>
    <row r="1710" spans="1:14" x14ac:dyDescent="0.25">
      <c r="A1710">
        <v>1442.923063</v>
      </c>
      <c r="B1710" s="1">
        <f>DATE(2014,4,12) + TIME(22,9,12)</f>
        <v>41741.923055555555</v>
      </c>
      <c r="C1710">
        <v>80</v>
      </c>
      <c r="D1710">
        <v>60.820617675999998</v>
      </c>
      <c r="E1710">
        <v>50</v>
      </c>
      <c r="F1710">
        <v>49.975605010999999</v>
      </c>
      <c r="G1710">
        <v>931.75305175999995</v>
      </c>
      <c r="H1710">
        <v>772.12506103999999</v>
      </c>
      <c r="I1710">
        <v>1945.7215576000001</v>
      </c>
      <c r="J1710">
        <v>1754.0277100000001</v>
      </c>
      <c r="K1710">
        <v>0</v>
      </c>
      <c r="L1710">
        <v>2400</v>
      </c>
      <c r="M1710">
        <v>2400</v>
      </c>
      <c r="N1710">
        <v>0</v>
      </c>
    </row>
    <row r="1711" spans="1:14" x14ac:dyDescent="0.25">
      <c r="A1711">
        <v>1446.9825249999999</v>
      </c>
      <c r="B1711" s="1">
        <f>DATE(2014,4,16) + TIME(23,34,50)</f>
        <v>41745.982523148145</v>
      </c>
      <c r="C1711">
        <v>80</v>
      </c>
      <c r="D1711">
        <v>60.164436340000002</v>
      </c>
      <c r="E1711">
        <v>50</v>
      </c>
      <c r="F1711">
        <v>49.975673676</v>
      </c>
      <c r="G1711">
        <v>927.95343018000005</v>
      </c>
      <c r="H1711">
        <v>766.36907958999996</v>
      </c>
      <c r="I1711">
        <v>1945.3852539</v>
      </c>
      <c r="J1711">
        <v>1753.6916504000001</v>
      </c>
      <c r="K1711">
        <v>0</v>
      </c>
      <c r="L1711">
        <v>2400</v>
      </c>
      <c r="M1711">
        <v>2400</v>
      </c>
      <c r="N1711">
        <v>0</v>
      </c>
    </row>
    <row r="1712" spans="1:14" x14ac:dyDescent="0.25">
      <c r="A1712">
        <v>1451.0833459999999</v>
      </c>
      <c r="B1712" s="1">
        <f>DATE(2014,4,21) + TIME(2,0,1)</f>
        <v>41750.083344907405</v>
      </c>
      <c r="C1712">
        <v>80</v>
      </c>
      <c r="D1712">
        <v>59.489284515000001</v>
      </c>
      <c r="E1712">
        <v>50</v>
      </c>
      <c r="F1712">
        <v>49.975742339999996</v>
      </c>
      <c r="G1712">
        <v>924.07263183999999</v>
      </c>
      <c r="H1712">
        <v>760.45471191000001</v>
      </c>
      <c r="I1712">
        <v>1945.0472411999999</v>
      </c>
      <c r="J1712">
        <v>1753.3536377</v>
      </c>
      <c r="K1712">
        <v>0</v>
      </c>
      <c r="L1712">
        <v>2400</v>
      </c>
      <c r="M1712">
        <v>2400</v>
      </c>
      <c r="N1712">
        <v>0</v>
      </c>
    </row>
    <row r="1713" spans="1:14" x14ac:dyDescent="0.25">
      <c r="A1713">
        <v>1455.2175</v>
      </c>
      <c r="B1713" s="1">
        <f>DATE(2014,4,25) + TIME(5,13,12)</f>
        <v>41754.217499999999</v>
      </c>
      <c r="C1713">
        <v>80</v>
      </c>
      <c r="D1713">
        <v>58.800331116000002</v>
      </c>
      <c r="E1713">
        <v>50</v>
      </c>
      <c r="F1713">
        <v>49.975811004999997</v>
      </c>
      <c r="G1713">
        <v>920.12145996000004</v>
      </c>
      <c r="H1713">
        <v>754.40106201000003</v>
      </c>
      <c r="I1713">
        <v>1944.7080077999999</v>
      </c>
      <c r="J1713">
        <v>1753.0144043</v>
      </c>
      <c r="K1713">
        <v>0</v>
      </c>
      <c r="L1713">
        <v>2400</v>
      </c>
      <c r="M1713">
        <v>2400</v>
      </c>
      <c r="N1713">
        <v>0</v>
      </c>
    </row>
    <row r="1714" spans="1:14" x14ac:dyDescent="0.25">
      <c r="A1714">
        <v>1459.397062</v>
      </c>
      <c r="B1714" s="1">
        <f>DATE(2014,4,29) + TIME(9,31,46)</f>
        <v>41758.397060185183</v>
      </c>
      <c r="C1714">
        <v>80</v>
      </c>
      <c r="D1714">
        <v>58.098152161000002</v>
      </c>
      <c r="E1714">
        <v>50</v>
      </c>
      <c r="F1714">
        <v>49.975875854000002</v>
      </c>
      <c r="G1714">
        <v>916.10626220999995</v>
      </c>
      <c r="H1714">
        <v>748.21545409999999</v>
      </c>
      <c r="I1714">
        <v>1944.3666992000001</v>
      </c>
      <c r="J1714">
        <v>1752.6730957</v>
      </c>
      <c r="K1714">
        <v>0</v>
      </c>
      <c r="L1714">
        <v>2400</v>
      </c>
      <c r="M1714">
        <v>2400</v>
      </c>
      <c r="N1714">
        <v>0</v>
      </c>
    </row>
    <row r="1715" spans="1:14" x14ac:dyDescent="0.25">
      <c r="A1715">
        <v>1461</v>
      </c>
      <c r="B1715" s="1">
        <f>DATE(2014,5,1) + TIME(0,0,0)</f>
        <v>41760</v>
      </c>
      <c r="C1715">
        <v>80</v>
      </c>
      <c r="D1715">
        <v>57.522586822999997</v>
      </c>
      <c r="E1715">
        <v>50</v>
      </c>
      <c r="F1715">
        <v>49.975879669000001</v>
      </c>
      <c r="G1715">
        <v>912.68481444999998</v>
      </c>
      <c r="H1715">
        <v>742.98083496000004</v>
      </c>
      <c r="I1715">
        <v>1944.1894531</v>
      </c>
      <c r="J1715">
        <v>1752.4957274999999</v>
      </c>
      <c r="K1715">
        <v>0</v>
      </c>
      <c r="L1715">
        <v>2400</v>
      </c>
      <c r="M1715">
        <v>2400</v>
      </c>
      <c r="N1715">
        <v>0</v>
      </c>
    </row>
    <row r="1716" spans="1:14" x14ac:dyDescent="0.25">
      <c r="A1716">
        <v>1461.0000010000001</v>
      </c>
      <c r="B1716" s="1">
        <f>DATE(2014,5,1) + TIME(0,0,0)</f>
        <v>41760</v>
      </c>
      <c r="C1716">
        <v>80</v>
      </c>
      <c r="D1716">
        <v>57.522636413999997</v>
      </c>
      <c r="E1716">
        <v>50</v>
      </c>
      <c r="F1716">
        <v>49.97586441</v>
      </c>
      <c r="G1716">
        <v>1082.3162841999999</v>
      </c>
      <c r="H1716">
        <v>912.69464111000002</v>
      </c>
      <c r="I1716">
        <v>1752.4859618999999</v>
      </c>
      <c r="J1716">
        <v>1560.7912598</v>
      </c>
      <c r="K1716">
        <v>2400</v>
      </c>
      <c r="L1716">
        <v>0</v>
      </c>
      <c r="M1716">
        <v>0</v>
      </c>
      <c r="N1716">
        <v>2400</v>
      </c>
    </row>
    <row r="1717" spans="1:14" x14ac:dyDescent="0.25">
      <c r="A1717">
        <v>1461.000004</v>
      </c>
      <c r="B1717" s="1">
        <f>DATE(2014,5,1) + TIME(0,0,0)</f>
        <v>41760</v>
      </c>
      <c r="C1717">
        <v>80</v>
      </c>
      <c r="D1717">
        <v>57.522789001</v>
      </c>
      <c r="E1717">
        <v>50</v>
      </c>
      <c r="F1717">
        <v>49.975818633999999</v>
      </c>
      <c r="G1717">
        <v>1082.3455810999999</v>
      </c>
      <c r="H1717">
        <v>912.72412109000004</v>
      </c>
      <c r="I1717">
        <v>1752.4564209</v>
      </c>
      <c r="J1717">
        <v>1560.7617187999999</v>
      </c>
      <c r="K1717">
        <v>2400</v>
      </c>
      <c r="L1717">
        <v>0</v>
      </c>
      <c r="M1717">
        <v>0</v>
      </c>
      <c r="N1717">
        <v>2400</v>
      </c>
    </row>
    <row r="1718" spans="1:14" x14ac:dyDescent="0.25">
      <c r="A1718">
        <v>1461.0000130000001</v>
      </c>
      <c r="B1718" s="1">
        <f>DATE(2014,5,1) + TIME(0,0,1)</f>
        <v>41760.000011574077</v>
      </c>
      <c r="C1718">
        <v>80</v>
      </c>
      <c r="D1718">
        <v>57.523246765000003</v>
      </c>
      <c r="E1718">
        <v>50</v>
      </c>
      <c r="F1718">
        <v>49.975685120000001</v>
      </c>
      <c r="G1718">
        <v>1082.4337158000001</v>
      </c>
      <c r="H1718">
        <v>912.81243896000001</v>
      </c>
      <c r="I1718">
        <v>1752.3680420000001</v>
      </c>
      <c r="J1718">
        <v>1560.6728516000001</v>
      </c>
      <c r="K1718">
        <v>2400</v>
      </c>
      <c r="L1718">
        <v>0</v>
      </c>
      <c r="M1718">
        <v>0</v>
      </c>
      <c r="N1718">
        <v>2400</v>
      </c>
    </row>
    <row r="1719" spans="1:14" x14ac:dyDescent="0.25">
      <c r="A1719">
        <v>1461.0000399999999</v>
      </c>
      <c r="B1719" s="1">
        <f>DATE(2014,5,1) + TIME(0,0,3)</f>
        <v>41760.000034722223</v>
      </c>
      <c r="C1719">
        <v>80</v>
      </c>
      <c r="D1719">
        <v>57.524616240999997</v>
      </c>
      <c r="E1719">
        <v>50</v>
      </c>
      <c r="F1719">
        <v>49.975284576</v>
      </c>
      <c r="G1719">
        <v>1082.6976318</v>
      </c>
      <c r="H1719">
        <v>913.07739258000004</v>
      </c>
      <c r="I1719">
        <v>1752.1032714999999</v>
      </c>
      <c r="J1719">
        <v>1560.4067382999999</v>
      </c>
      <c r="K1719">
        <v>2400</v>
      </c>
      <c r="L1719">
        <v>0</v>
      </c>
      <c r="M1719">
        <v>0</v>
      </c>
      <c r="N1719">
        <v>2400</v>
      </c>
    </row>
    <row r="1720" spans="1:14" x14ac:dyDescent="0.25">
      <c r="A1720">
        <v>1461.000121</v>
      </c>
      <c r="B1720" s="1">
        <f>DATE(2014,5,1) + TIME(0,0,10)</f>
        <v>41760.000115740739</v>
      </c>
      <c r="C1720">
        <v>80</v>
      </c>
      <c r="D1720">
        <v>57.528720856</v>
      </c>
      <c r="E1720">
        <v>50</v>
      </c>
      <c r="F1720">
        <v>49.974086761000002</v>
      </c>
      <c r="G1720">
        <v>1083.4860839999999</v>
      </c>
      <c r="H1720">
        <v>913.87060546999999</v>
      </c>
      <c r="I1720">
        <v>1751.3116454999999</v>
      </c>
      <c r="J1720">
        <v>1559.6112060999999</v>
      </c>
      <c r="K1720">
        <v>2400</v>
      </c>
      <c r="L1720">
        <v>0</v>
      </c>
      <c r="M1720">
        <v>0</v>
      </c>
      <c r="N1720">
        <v>2400</v>
      </c>
    </row>
    <row r="1721" spans="1:14" x14ac:dyDescent="0.25">
      <c r="A1721">
        <v>1461.000364</v>
      </c>
      <c r="B1721" s="1">
        <f>DATE(2014,5,1) + TIME(0,0,31)</f>
        <v>41760.000358796293</v>
      </c>
      <c r="C1721">
        <v>80</v>
      </c>
      <c r="D1721">
        <v>57.541027069000002</v>
      </c>
      <c r="E1721">
        <v>50</v>
      </c>
      <c r="F1721">
        <v>49.970539092999999</v>
      </c>
      <c r="G1721">
        <v>1085.8204346</v>
      </c>
      <c r="H1721">
        <v>916.23376465000001</v>
      </c>
      <c r="I1721">
        <v>1748.9638672000001</v>
      </c>
      <c r="J1721">
        <v>1557.2519531</v>
      </c>
      <c r="K1721">
        <v>2400</v>
      </c>
      <c r="L1721">
        <v>0</v>
      </c>
      <c r="M1721">
        <v>0</v>
      </c>
      <c r="N1721">
        <v>2400</v>
      </c>
    </row>
    <row r="1722" spans="1:14" x14ac:dyDescent="0.25">
      <c r="A1722">
        <v>1461.0010930000001</v>
      </c>
      <c r="B1722" s="1">
        <f>DATE(2014,5,1) + TIME(0,1,34)</f>
        <v>41760.001087962963</v>
      </c>
      <c r="C1722">
        <v>80</v>
      </c>
      <c r="D1722">
        <v>57.577632903999998</v>
      </c>
      <c r="E1722">
        <v>50</v>
      </c>
      <c r="F1722">
        <v>49.960247039999999</v>
      </c>
      <c r="G1722">
        <v>1092.5616454999999</v>
      </c>
      <c r="H1722">
        <v>923.13409423999997</v>
      </c>
      <c r="I1722">
        <v>1742.1513672000001</v>
      </c>
      <c r="J1722">
        <v>1550.4064940999999</v>
      </c>
      <c r="K1722">
        <v>2400</v>
      </c>
      <c r="L1722">
        <v>0</v>
      </c>
      <c r="M1722">
        <v>0</v>
      </c>
      <c r="N1722">
        <v>2400</v>
      </c>
    </row>
    <row r="1723" spans="1:14" x14ac:dyDescent="0.25">
      <c r="A1723">
        <v>1461.0032799999999</v>
      </c>
      <c r="B1723" s="1">
        <f>DATE(2014,5,1) + TIME(0,4,43)</f>
        <v>41760.003275462965</v>
      </c>
      <c r="C1723">
        <v>80</v>
      </c>
      <c r="D1723">
        <v>57.68327713</v>
      </c>
      <c r="E1723">
        <v>50</v>
      </c>
      <c r="F1723">
        <v>49.932117462000001</v>
      </c>
      <c r="G1723">
        <v>1110.7490233999999</v>
      </c>
      <c r="H1723">
        <v>941.95733643000005</v>
      </c>
      <c r="I1723">
        <v>1723.5466309000001</v>
      </c>
      <c r="J1723">
        <v>1531.713501</v>
      </c>
      <c r="K1723">
        <v>2400</v>
      </c>
      <c r="L1723">
        <v>0</v>
      </c>
      <c r="M1723">
        <v>0</v>
      </c>
      <c r="N1723">
        <v>2400</v>
      </c>
    </row>
    <row r="1724" spans="1:14" x14ac:dyDescent="0.25">
      <c r="A1724">
        <v>1461.0098410000001</v>
      </c>
      <c r="B1724" s="1">
        <f>DATE(2014,5,1) + TIME(0,14,10)</f>
        <v>41760.009837962964</v>
      </c>
      <c r="C1724">
        <v>80</v>
      </c>
      <c r="D1724">
        <v>57.970458983999997</v>
      </c>
      <c r="E1724">
        <v>50</v>
      </c>
      <c r="F1724">
        <v>49.865741730000003</v>
      </c>
      <c r="G1724">
        <v>1152.5631103999999</v>
      </c>
      <c r="H1724">
        <v>985.24353026999995</v>
      </c>
      <c r="I1724">
        <v>1679.6433105000001</v>
      </c>
      <c r="J1724">
        <v>1487.6051024999999</v>
      </c>
      <c r="K1724">
        <v>2400</v>
      </c>
      <c r="L1724">
        <v>0</v>
      </c>
      <c r="M1724">
        <v>0</v>
      </c>
      <c r="N1724">
        <v>2400</v>
      </c>
    </row>
    <row r="1725" spans="1:14" x14ac:dyDescent="0.25">
      <c r="A1725">
        <v>1461.029524</v>
      </c>
      <c r="B1725" s="1">
        <f>DATE(2014,5,1) + TIME(0,42,30)</f>
        <v>41760.029513888891</v>
      </c>
      <c r="C1725">
        <v>80</v>
      </c>
      <c r="D1725">
        <v>58.693954468000001</v>
      </c>
      <c r="E1725">
        <v>50</v>
      </c>
      <c r="F1725">
        <v>49.746395110999998</v>
      </c>
      <c r="G1725">
        <v>1224.5317382999999</v>
      </c>
      <c r="H1725">
        <v>1059.1972656</v>
      </c>
      <c r="I1725">
        <v>1600.4733887</v>
      </c>
      <c r="J1725">
        <v>1408.0715332</v>
      </c>
      <c r="K1725">
        <v>2400</v>
      </c>
      <c r="L1725">
        <v>0</v>
      </c>
      <c r="M1725">
        <v>0</v>
      </c>
      <c r="N1725">
        <v>2400</v>
      </c>
    </row>
    <row r="1726" spans="1:14" x14ac:dyDescent="0.25">
      <c r="A1726">
        <v>1461.0549470000001</v>
      </c>
      <c r="B1726" s="1">
        <f>DATE(2014,5,1) + TIME(1,19,7)</f>
        <v>41760.054942129631</v>
      </c>
      <c r="C1726">
        <v>80</v>
      </c>
      <c r="D1726">
        <v>59.504360198999997</v>
      </c>
      <c r="E1726">
        <v>50</v>
      </c>
      <c r="F1726">
        <v>49.654930114999999</v>
      </c>
      <c r="G1726">
        <v>1278.2218018000001</v>
      </c>
      <c r="H1726">
        <v>1114.4035644999999</v>
      </c>
      <c r="I1726">
        <v>1538.7174072</v>
      </c>
      <c r="J1726">
        <v>1346.0396728999999</v>
      </c>
      <c r="K1726">
        <v>2400</v>
      </c>
      <c r="L1726">
        <v>0</v>
      </c>
      <c r="M1726">
        <v>0</v>
      </c>
      <c r="N1726">
        <v>2400</v>
      </c>
    </row>
    <row r="1727" spans="1:14" x14ac:dyDescent="0.25">
      <c r="A1727">
        <v>1461.0832539999999</v>
      </c>
      <c r="B1727" s="1">
        <f>DATE(2014,5,1) + TIME(1,59,53)</f>
        <v>41760.083252314813</v>
      </c>
      <c r="C1727">
        <v>80</v>
      </c>
      <c r="D1727">
        <v>60.321105957</v>
      </c>
      <c r="E1727">
        <v>50</v>
      </c>
      <c r="F1727">
        <v>49.590908051</v>
      </c>
      <c r="G1727">
        <v>1315.7062988</v>
      </c>
      <c r="H1727">
        <v>1153.3375243999999</v>
      </c>
      <c r="I1727">
        <v>1494.0061035000001</v>
      </c>
      <c r="J1727">
        <v>1301.1374512</v>
      </c>
      <c r="K1727">
        <v>2400</v>
      </c>
      <c r="L1727">
        <v>0</v>
      </c>
      <c r="M1727">
        <v>0</v>
      </c>
      <c r="N1727">
        <v>2400</v>
      </c>
    </row>
    <row r="1728" spans="1:14" x14ac:dyDescent="0.25">
      <c r="A1728">
        <v>1461.1138820000001</v>
      </c>
      <c r="B1728" s="1">
        <f>DATE(2014,5,1) + TIME(2,43,59)</f>
        <v>41760.113877314812</v>
      </c>
      <c r="C1728">
        <v>80</v>
      </c>
      <c r="D1728">
        <v>61.139797211000001</v>
      </c>
      <c r="E1728">
        <v>50</v>
      </c>
      <c r="F1728">
        <v>49.544433593999997</v>
      </c>
      <c r="G1728">
        <v>1343.3565673999999</v>
      </c>
      <c r="H1728">
        <v>1182.4919434000001</v>
      </c>
      <c r="I1728">
        <v>1460.0581055</v>
      </c>
      <c r="J1728">
        <v>1267.0529785000001</v>
      </c>
      <c r="K1728">
        <v>2400</v>
      </c>
      <c r="L1728">
        <v>0</v>
      </c>
      <c r="M1728">
        <v>0</v>
      </c>
      <c r="N1728">
        <v>2400</v>
      </c>
    </row>
    <row r="1729" spans="1:14" x14ac:dyDescent="0.25">
      <c r="A1729">
        <v>1461.1464120000001</v>
      </c>
      <c r="B1729" s="1">
        <f>DATE(2014,5,1) + TIME(3,30,49)</f>
        <v>41760.14640046296</v>
      </c>
      <c r="C1729">
        <v>80</v>
      </c>
      <c r="D1729">
        <v>61.954914092999999</v>
      </c>
      <c r="E1729">
        <v>50</v>
      </c>
      <c r="F1729">
        <v>49.509323119999998</v>
      </c>
      <c r="G1729">
        <v>1364.8255615</v>
      </c>
      <c r="H1729">
        <v>1205.5014647999999</v>
      </c>
      <c r="I1729">
        <v>1433.0649414</v>
      </c>
      <c r="J1729">
        <v>1239.9587402</v>
      </c>
      <c r="K1729">
        <v>2400</v>
      </c>
      <c r="L1729">
        <v>0</v>
      </c>
      <c r="M1729">
        <v>0</v>
      </c>
      <c r="N1729">
        <v>2400</v>
      </c>
    </row>
    <row r="1730" spans="1:14" x14ac:dyDescent="0.25">
      <c r="A1730">
        <v>1461.180623</v>
      </c>
      <c r="B1730" s="1">
        <f>DATE(2014,5,1) + TIME(4,20,5)</f>
        <v>41760.180613425924</v>
      </c>
      <c r="C1730">
        <v>80</v>
      </c>
      <c r="D1730">
        <v>62.762962340999998</v>
      </c>
      <c r="E1730">
        <v>50</v>
      </c>
      <c r="F1730">
        <v>49.481800079000003</v>
      </c>
      <c r="G1730">
        <v>1382.2270507999999</v>
      </c>
      <c r="H1730">
        <v>1224.449707</v>
      </c>
      <c r="I1730">
        <v>1410.7314452999999</v>
      </c>
      <c r="J1730">
        <v>1217.5480957</v>
      </c>
      <c r="K1730">
        <v>2400</v>
      </c>
      <c r="L1730">
        <v>0</v>
      </c>
      <c r="M1730">
        <v>0</v>
      </c>
      <c r="N1730">
        <v>2400</v>
      </c>
    </row>
    <row r="1731" spans="1:14" x14ac:dyDescent="0.25">
      <c r="A1731">
        <v>1461.2164230000001</v>
      </c>
      <c r="B1731" s="1">
        <f>DATE(2014,5,1) + TIME(5,11,38)</f>
        <v>41760.216412037036</v>
      </c>
      <c r="C1731">
        <v>80</v>
      </c>
      <c r="D1731">
        <v>63.561996460000003</v>
      </c>
      <c r="E1731">
        <v>50</v>
      </c>
      <c r="F1731">
        <v>49.459560394</v>
      </c>
      <c r="G1731">
        <v>1396.8160399999999</v>
      </c>
      <c r="H1731">
        <v>1240.5717772999999</v>
      </c>
      <c r="I1731">
        <v>1391.6610106999999</v>
      </c>
      <c r="J1731">
        <v>1198.4169922000001</v>
      </c>
      <c r="K1731">
        <v>2400</v>
      </c>
      <c r="L1731">
        <v>0</v>
      </c>
      <c r="M1731">
        <v>0</v>
      </c>
      <c r="N1731">
        <v>2400</v>
      </c>
    </row>
    <row r="1732" spans="1:14" x14ac:dyDescent="0.25">
      <c r="A1732">
        <v>1461.2538</v>
      </c>
      <c r="B1732" s="1">
        <f>DATE(2014,5,1) + TIME(6,5,28)</f>
        <v>41760.253796296296</v>
      </c>
      <c r="C1732">
        <v>80</v>
      </c>
      <c r="D1732">
        <v>64.350906371999997</v>
      </c>
      <c r="E1732">
        <v>50</v>
      </c>
      <c r="F1732">
        <v>49.441143036</v>
      </c>
      <c r="G1732">
        <v>1409.3752440999999</v>
      </c>
      <c r="H1732">
        <v>1254.6384277</v>
      </c>
      <c r="I1732">
        <v>1374.9713135</v>
      </c>
      <c r="J1732">
        <v>1181.6787108999999</v>
      </c>
      <c r="K1732">
        <v>2400</v>
      </c>
      <c r="L1732">
        <v>0</v>
      </c>
      <c r="M1732">
        <v>0</v>
      </c>
      <c r="N1732">
        <v>2400</v>
      </c>
    </row>
    <row r="1733" spans="1:14" x14ac:dyDescent="0.25">
      <c r="A1733">
        <v>1461.292788</v>
      </c>
      <c r="B1733" s="1">
        <f>DATE(2014,5,1) + TIME(7,1,36)</f>
        <v>41760.29277777778</v>
      </c>
      <c r="C1733">
        <v>80</v>
      </c>
      <c r="D1733">
        <v>65.129058838000006</v>
      </c>
      <c r="E1733">
        <v>50</v>
      </c>
      <c r="F1733">
        <v>49.425582886000001</v>
      </c>
      <c r="G1733">
        <v>1420.4189452999999</v>
      </c>
      <c r="H1733">
        <v>1267.1573486</v>
      </c>
      <c r="I1733">
        <v>1360.0795897999999</v>
      </c>
      <c r="J1733">
        <v>1166.7474365</v>
      </c>
      <c r="K1733">
        <v>2400</v>
      </c>
      <c r="L1733">
        <v>0</v>
      </c>
      <c r="M1733">
        <v>0</v>
      </c>
      <c r="N1733">
        <v>2400</v>
      </c>
    </row>
    <row r="1734" spans="1:14" x14ac:dyDescent="0.25">
      <c r="A1734">
        <v>1461.333457</v>
      </c>
      <c r="B1734" s="1">
        <f>DATE(2014,5,1) + TIME(8,0,10)</f>
        <v>41760.333449074074</v>
      </c>
      <c r="C1734">
        <v>80</v>
      </c>
      <c r="D1734">
        <v>65.896102905000006</v>
      </c>
      <c r="E1734">
        <v>50</v>
      </c>
      <c r="F1734">
        <v>49.412212371999999</v>
      </c>
      <c r="G1734">
        <v>1430.3011475000001</v>
      </c>
      <c r="H1734">
        <v>1278.4794922000001</v>
      </c>
      <c r="I1734">
        <v>1346.5836182</v>
      </c>
      <c r="J1734">
        <v>1153.2191161999999</v>
      </c>
      <c r="K1734">
        <v>2400</v>
      </c>
      <c r="L1734">
        <v>0</v>
      </c>
      <c r="M1734">
        <v>0</v>
      </c>
      <c r="N1734">
        <v>2400</v>
      </c>
    </row>
    <row r="1735" spans="1:14" x14ac:dyDescent="0.25">
      <c r="A1735">
        <v>1461.375896</v>
      </c>
      <c r="B1735" s="1">
        <f>DATE(2014,5,1) + TIME(9,1,17)</f>
        <v>41760.375891203701</v>
      </c>
      <c r="C1735">
        <v>80</v>
      </c>
      <c r="D1735">
        <v>66.651374817000004</v>
      </c>
      <c r="E1735">
        <v>50</v>
      </c>
      <c r="F1735">
        <v>49.400547027999998</v>
      </c>
      <c r="G1735">
        <v>1439.2739257999999</v>
      </c>
      <c r="H1735">
        <v>1288.8547363</v>
      </c>
      <c r="I1735">
        <v>1334.1973877</v>
      </c>
      <c r="J1735">
        <v>1140.8060303</v>
      </c>
      <c r="K1735">
        <v>2400</v>
      </c>
      <c r="L1735">
        <v>0</v>
      </c>
      <c r="M1735">
        <v>0</v>
      </c>
      <c r="N1735">
        <v>2400</v>
      </c>
    </row>
    <row r="1736" spans="1:14" x14ac:dyDescent="0.25">
      <c r="A1736">
        <v>1461.420228</v>
      </c>
      <c r="B1736" s="1">
        <f>DATE(2014,5,1) + TIME(10,5,7)</f>
        <v>41760.420219907406</v>
      </c>
      <c r="C1736">
        <v>80</v>
      </c>
      <c r="D1736">
        <v>67.394638061999999</v>
      </c>
      <c r="E1736">
        <v>50</v>
      </c>
      <c r="F1736">
        <v>49.390228270999998</v>
      </c>
      <c r="G1736">
        <v>1447.5262451000001</v>
      </c>
      <c r="H1736">
        <v>1298.4716797000001</v>
      </c>
      <c r="I1736">
        <v>1322.7052002</v>
      </c>
      <c r="J1736">
        <v>1129.2915039</v>
      </c>
      <c r="K1736">
        <v>2400</v>
      </c>
      <c r="L1736">
        <v>0</v>
      </c>
      <c r="M1736">
        <v>0</v>
      </c>
      <c r="N1736">
        <v>2400</v>
      </c>
    </row>
    <row r="1737" spans="1:14" x14ac:dyDescent="0.25">
      <c r="A1737">
        <v>1461.4666030000001</v>
      </c>
      <c r="B1737" s="1">
        <f>DATE(2014,5,1) + TIME(11,11,54)</f>
        <v>41760.466597222221</v>
      </c>
      <c r="C1737">
        <v>80</v>
      </c>
      <c r="D1737">
        <v>68.125656128000003</v>
      </c>
      <c r="E1737">
        <v>50</v>
      </c>
      <c r="F1737">
        <v>49.380977631</v>
      </c>
      <c r="G1737">
        <v>1455.2028809000001</v>
      </c>
      <c r="H1737">
        <v>1307.4748535000001</v>
      </c>
      <c r="I1737">
        <v>1311.9418945</v>
      </c>
      <c r="J1737">
        <v>1118.5095214999999</v>
      </c>
      <c r="K1737">
        <v>2400</v>
      </c>
      <c r="L1737">
        <v>0</v>
      </c>
      <c r="M1737">
        <v>0</v>
      </c>
      <c r="N1737">
        <v>2400</v>
      </c>
    </row>
    <row r="1738" spans="1:14" x14ac:dyDescent="0.25">
      <c r="A1738">
        <v>1461.515236</v>
      </c>
      <c r="B1738" s="1">
        <f>DATE(2014,5,1) + TIME(12,21,56)</f>
        <v>41760.515231481484</v>
      </c>
      <c r="C1738">
        <v>80</v>
      </c>
      <c r="D1738">
        <v>68.844688415999997</v>
      </c>
      <c r="E1738">
        <v>50</v>
      </c>
      <c r="F1738">
        <v>49.372566223</v>
      </c>
      <c r="G1738">
        <v>1462.4221190999999</v>
      </c>
      <c r="H1738">
        <v>1315.9842529</v>
      </c>
      <c r="I1738">
        <v>1301.7709961</v>
      </c>
      <c r="J1738">
        <v>1108.322876</v>
      </c>
      <c r="K1738">
        <v>2400</v>
      </c>
      <c r="L1738">
        <v>0</v>
      </c>
      <c r="M1738">
        <v>0</v>
      </c>
      <c r="N1738">
        <v>2400</v>
      </c>
    </row>
    <row r="1739" spans="1:14" x14ac:dyDescent="0.25">
      <c r="A1739">
        <v>1461.5663079999999</v>
      </c>
      <c r="B1739" s="1">
        <f>DATE(2014,5,1) + TIME(13,35,29)</f>
        <v>41760.566307870373</v>
      </c>
      <c r="C1739">
        <v>80</v>
      </c>
      <c r="D1739">
        <v>69.551055907999995</v>
      </c>
      <c r="E1739">
        <v>50</v>
      </c>
      <c r="F1739">
        <v>49.364822388</v>
      </c>
      <c r="G1739">
        <v>1469.270874</v>
      </c>
      <c r="H1739">
        <v>1324.0865478999999</v>
      </c>
      <c r="I1739">
        <v>1292.0939940999999</v>
      </c>
      <c r="J1739">
        <v>1098.6326904</v>
      </c>
      <c r="K1739">
        <v>2400</v>
      </c>
      <c r="L1739">
        <v>0</v>
      </c>
      <c r="M1739">
        <v>0</v>
      </c>
      <c r="N1739">
        <v>2400</v>
      </c>
    </row>
    <row r="1740" spans="1:14" x14ac:dyDescent="0.25">
      <c r="A1740">
        <v>1461.620066</v>
      </c>
      <c r="B1740" s="1">
        <f>DATE(2014,5,1) + TIME(14,52,53)</f>
        <v>41760.620057870372</v>
      </c>
      <c r="C1740">
        <v>80</v>
      </c>
      <c r="D1740">
        <v>70.244300842000001</v>
      </c>
      <c r="E1740">
        <v>50</v>
      </c>
      <c r="F1740">
        <v>49.357589722</v>
      </c>
      <c r="G1740">
        <v>1475.8250731999999</v>
      </c>
      <c r="H1740">
        <v>1331.8581543</v>
      </c>
      <c r="I1740">
        <v>1282.8245850000001</v>
      </c>
      <c r="J1740">
        <v>1089.3521728999999</v>
      </c>
      <c r="K1740">
        <v>2400</v>
      </c>
      <c r="L1740">
        <v>0</v>
      </c>
      <c r="M1740">
        <v>0</v>
      </c>
      <c r="N1740">
        <v>2400</v>
      </c>
    </row>
    <row r="1741" spans="1:14" x14ac:dyDescent="0.25">
      <c r="A1741">
        <v>1461.6768</v>
      </c>
      <c r="B1741" s="1">
        <f>DATE(2014,5,1) + TIME(16,14,35)</f>
        <v>41760.676793981482</v>
      </c>
      <c r="C1741">
        <v>80</v>
      </c>
      <c r="D1741">
        <v>70.923988342000001</v>
      </c>
      <c r="E1741">
        <v>50</v>
      </c>
      <c r="F1741">
        <v>49.350742339999996</v>
      </c>
      <c r="G1741">
        <v>1482.1491699000001</v>
      </c>
      <c r="H1741">
        <v>1339.3643798999999</v>
      </c>
      <c r="I1741">
        <v>1273.8889160000001</v>
      </c>
      <c r="J1741">
        <v>1080.4071045000001</v>
      </c>
      <c r="K1741">
        <v>2400</v>
      </c>
      <c r="L1741">
        <v>0</v>
      </c>
      <c r="M1741">
        <v>0</v>
      </c>
      <c r="N1741">
        <v>2400</v>
      </c>
    </row>
    <row r="1742" spans="1:14" x14ac:dyDescent="0.25">
      <c r="A1742">
        <v>1461.736858</v>
      </c>
      <c r="B1742" s="1">
        <f>DATE(2014,5,1) + TIME(17,41,4)</f>
        <v>41760.736851851849</v>
      </c>
      <c r="C1742">
        <v>80</v>
      </c>
      <c r="D1742">
        <v>71.590095520000006</v>
      </c>
      <c r="E1742">
        <v>50</v>
      </c>
      <c r="F1742">
        <v>49.344158172999997</v>
      </c>
      <c r="G1742">
        <v>1488.2998047000001</v>
      </c>
      <c r="H1742">
        <v>1346.6624756000001</v>
      </c>
      <c r="I1742">
        <v>1265.2230225000001</v>
      </c>
      <c r="J1742">
        <v>1071.7331543</v>
      </c>
      <c r="K1742">
        <v>2400</v>
      </c>
      <c r="L1742">
        <v>0</v>
      </c>
      <c r="M1742">
        <v>0</v>
      </c>
      <c r="N1742">
        <v>2400</v>
      </c>
    </row>
    <row r="1743" spans="1:14" x14ac:dyDescent="0.25">
      <c r="A1743">
        <v>1461.8006399999999</v>
      </c>
      <c r="B1743" s="1">
        <f>DATE(2014,5,1) + TIME(19,12,55)</f>
        <v>41760.800636574073</v>
      </c>
      <c r="C1743">
        <v>80</v>
      </c>
      <c r="D1743">
        <v>72.242164611999996</v>
      </c>
      <c r="E1743">
        <v>50</v>
      </c>
      <c r="F1743">
        <v>49.337738037000001</v>
      </c>
      <c r="G1743">
        <v>1494.3267822</v>
      </c>
      <c r="H1743">
        <v>1353.8029785000001</v>
      </c>
      <c r="I1743">
        <v>1256.7706298999999</v>
      </c>
      <c r="J1743">
        <v>1063.2738036999999</v>
      </c>
      <c r="K1743">
        <v>2400</v>
      </c>
      <c r="L1743">
        <v>0</v>
      </c>
      <c r="M1743">
        <v>0</v>
      </c>
      <c r="N1743">
        <v>2400</v>
      </c>
    </row>
    <row r="1744" spans="1:14" x14ac:dyDescent="0.25">
      <c r="A1744">
        <v>1461.8686479999999</v>
      </c>
      <c r="B1744" s="1">
        <f>DATE(2014,5,1) + TIME(20,50,51)</f>
        <v>41760.868645833332</v>
      </c>
      <c r="C1744">
        <v>80</v>
      </c>
      <c r="D1744">
        <v>72.879837035999998</v>
      </c>
      <c r="E1744">
        <v>50</v>
      </c>
      <c r="F1744">
        <v>49.331371306999998</v>
      </c>
      <c r="G1744">
        <v>1500.277832</v>
      </c>
      <c r="H1744">
        <v>1360.8342285000001</v>
      </c>
      <c r="I1744">
        <v>1248.4780272999999</v>
      </c>
      <c r="J1744">
        <v>1054.9750977000001</v>
      </c>
      <c r="K1744">
        <v>2400</v>
      </c>
      <c r="L1744">
        <v>0</v>
      </c>
      <c r="M1744">
        <v>0</v>
      </c>
      <c r="N1744">
        <v>2400</v>
      </c>
    </row>
    <row r="1745" spans="1:14" x14ac:dyDescent="0.25">
      <c r="A1745">
        <v>1461.941489</v>
      </c>
      <c r="B1745" s="1">
        <f>DATE(2014,5,1) + TIME(22,35,44)</f>
        <v>41760.941481481481</v>
      </c>
      <c r="C1745">
        <v>80</v>
      </c>
      <c r="D1745">
        <v>73.502700806000007</v>
      </c>
      <c r="E1745">
        <v>50</v>
      </c>
      <c r="F1745">
        <v>49.324958801000001</v>
      </c>
      <c r="G1745">
        <v>1506.1992187999999</v>
      </c>
      <c r="H1745">
        <v>1367.8032227000001</v>
      </c>
      <c r="I1745">
        <v>1240.2938231999999</v>
      </c>
      <c r="J1745">
        <v>1046.7856445</v>
      </c>
      <c r="K1745">
        <v>2400</v>
      </c>
      <c r="L1745">
        <v>0</v>
      </c>
      <c r="M1745">
        <v>0</v>
      </c>
      <c r="N1745">
        <v>2400</v>
      </c>
    </row>
    <row r="1746" spans="1:14" x14ac:dyDescent="0.25">
      <c r="A1746">
        <v>1462.0199030000001</v>
      </c>
      <c r="B1746" s="1">
        <f>DATE(2014,5,2) + TIME(0,28,39)</f>
        <v>41761.019895833335</v>
      </c>
      <c r="C1746">
        <v>80</v>
      </c>
      <c r="D1746">
        <v>74.110214232999994</v>
      </c>
      <c r="E1746">
        <v>50</v>
      </c>
      <c r="F1746">
        <v>49.318401336999997</v>
      </c>
      <c r="G1746">
        <v>1512.1368408000001</v>
      </c>
      <c r="H1746">
        <v>1374.7561035000001</v>
      </c>
      <c r="I1746">
        <v>1232.1682129000001</v>
      </c>
      <c r="J1746">
        <v>1038.6550293</v>
      </c>
      <c r="K1746">
        <v>2400</v>
      </c>
      <c r="L1746">
        <v>0</v>
      </c>
      <c r="M1746">
        <v>0</v>
      </c>
      <c r="N1746">
        <v>2400</v>
      </c>
    </row>
    <row r="1747" spans="1:14" x14ac:dyDescent="0.25">
      <c r="A1747">
        <v>1462.104816</v>
      </c>
      <c r="B1747" s="1">
        <f>DATE(2014,5,2) + TIME(2,30,56)</f>
        <v>41761.104814814818</v>
      </c>
      <c r="C1747">
        <v>80</v>
      </c>
      <c r="D1747">
        <v>74.701721191000004</v>
      </c>
      <c r="E1747">
        <v>50</v>
      </c>
      <c r="F1747">
        <v>49.311584473000003</v>
      </c>
      <c r="G1747">
        <v>1518.1381836</v>
      </c>
      <c r="H1747">
        <v>1381.7409668</v>
      </c>
      <c r="I1747">
        <v>1224.0495605000001</v>
      </c>
      <c r="J1747">
        <v>1030.5316161999999</v>
      </c>
      <c r="K1747">
        <v>2400</v>
      </c>
      <c r="L1747">
        <v>0</v>
      </c>
      <c r="M1747">
        <v>0</v>
      </c>
      <c r="N1747">
        <v>2400</v>
      </c>
    </row>
    <row r="1748" spans="1:14" x14ac:dyDescent="0.25">
      <c r="A1748">
        <v>1462.197418</v>
      </c>
      <c r="B1748" s="1">
        <f>DATE(2014,5,2) + TIME(4,44,16)</f>
        <v>41761.19740740741</v>
      </c>
      <c r="C1748">
        <v>80</v>
      </c>
      <c r="D1748">
        <v>75.276359557999996</v>
      </c>
      <c r="E1748">
        <v>50</v>
      </c>
      <c r="F1748">
        <v>49.304389954000001</v>
      </c>
      <c r="G1748">
        <v>1524.2565918</v>
      </c>
      <c r="H1748">
        <v>1388.8115233999999</v>
      </c>
      <c r="I1748">
        <v>1215.8807373</v>
      </c>
      <c r="J1748">
        <v>1022.3582153</v>
      </c>
      <c r="K1748">
        <v>2400</v>
      </c>
      <c r="L1748">
        <v>0</v>
      </c>
      <c r="M1748">
        <v>0</v>
      </c>
      <c r="N1748">
        <v>2400</v>
      </c>
    </row>
    <row r="1749" spans="1:14" x14ac:dyDescent="0.25">
      <c r="A1749">
        <v>1462.2992589999999</v>
      </c>
      <c r="B1749" s="1">
        <f>DATE(2014,5,2) + TIME(7,10,55)</f>
        <v>41761.299247685187</v>
      </c>
      <c r="C1749">
        <v>80</v>
      </c>
      <c r="D1749">
        <v>75.833335876000007</v>
      </c>
      <c r="E1749">
        <v>50</v>
      </c>
      <c r="F1749">
        <v>49.296672821000001</v>
      </c>
      <c r="G1749">
        <v>1530.5529785000001</v>
      </c>
      <c r="H1749">
        <v>1396.0289307</v>
      </c>
      <c r="I1749">
        <v>1207.5977783000001</v>
      </c>
      <c r="J1749">
        <v>1014.0703125</v>
      </c>
      <c r="K1749">
        <v>2400</v>
      </c>
      <c r="L1749">
        <v>0</v>
      </c>
      <c r="M1749">
        <v>0</v>
      </c>
      <c r="N1749">
        <v>2400</v>
      </c>
    </row>
    <row r="1750" spans="1:14" x14ac:dyDescent="0.25">
      <c r="A1750">
        <v>1462.4122829999999</v>
      </c>
      <c r="B1750" s="1">
        <f>DATE(2014,5,2) + TIME(9,53,41)</f>
        <v>41761.412280092591</v>
      </c>
      <c r="C1750">
        <v>80</v>
      </c>
      <c r="D1750">
        <v>76.371391295999999</v>
      </c>
      <c r="E1750">
        <v>50</v>
      </c>
      <c r="F1750">
        <v>49.288269043</v>
      </c>
      <c r="G1750">
        <v>1537.0932617000001</v>
      </c>
      <c r="H1750">
        <v>1403.4584961</v>
      </c>
      <c r="I1750">
        <v>1199.1326904</v>
      </c>
      <c r="J1750">
        <v>1005.5999756</v>
      </c>
      <c r="K1750">
        <v>2400</v>
      </c>
      <c r="L1750">
        <v>0</v>
      </c>
      <c r="M1750">
        <v>0</v>
      </c>
      <c r="N1750">
        <v>2400</v>
      </c>
    </row>
    <row r="1751" spans="1:14" x14ac:dyDescent="0.25">
      <c r="A1751">
        <v>1462.5391770000001</v>
      </c>
      <c r="B1751" s="1">
        <f>DATE(2014,5,2) + TIME(12,56,24)</f>
        <v>41761.539166666669</v>
      </c>
      <c r="C1751">
        <v>80</v>
      </c>
      <c r="D1751">
        <v>76.889076232999997</v>
      </c>
      <c r="E1751">
        <v>50</v>
      </c>
      <c r="F1751">
        <v>49.278968810999999</v>
      </c>
      <c r="G1751">
        <v>1543.9622803</v>
      </c>
      <c r="H1751">
        <v>1411.1843262</v>
      </c>
      <c r="I1751">
        <v>1190.3985596</v>
      </c>
      <c r="J1751">
        <v>996.85998534999999</v>
      </c>
      <c r="K1751">
        <v>2400</v>
      </c>
      <c r="L1751">
        <v>0</v>
      </c>
      <c r="M1751">
        <v>0</v>
      </c>
      <c r="N1751">
        <v>2400</v>
      </c>
    </row>
    <row r="1752" spans="1:14" x14ac:dyDescent="0.25">
      <c r="A1752">
        <v>1462.6706810000001</v>
      </c>
      <c r="B1752" s="1">
        <f>DATE(2014,5,2) + TIME(16,5,46)</f>
        <v>41761.670671296299</v>
      </c>
      <c r="C1752">
        <v>80</v>
      </c>
      <c r="D1752">
        <v>77.346458435000002</v>
      </c>
      <c r="E1752">
        <v>50</v>
      </c>
      <c r="F1752">
        <v>49.269233704000001</v>
      </c>
      <c r="G1752">
        <v>1550.6308594</v>
      </c>
      <c r="H1752">
        <v>1418.6108397999999</v>
      </c>
      <c r="I1752">
        <v>1182.0446777</v>
      </c>
      <c r="J1752">
        <v>988.49957274999997</v>
      </c>
      <c r="K1752">
        <v>2400</v>
      </c>
      <c r="L1752">
        <v>0</v>
      </c>
      <c r="M1752">
        <v>0</v>
      </c>
      <c r="N1752">
        <v>2400</v>
      </c>
    </row>
    <row r="1753" spans="1:14" x14ac:dyDescent="0.25">
      <c r="A1753">
        <v>1462.802923</v>
      </c>
      <c r="B1753" s="1">
        <f>DATE(2014,5,2) + TIME(19,16,12)</f>
        <v>41761.802916666667</v>
      </c>
      <c r="C1753">
        <v>80</v>
      </c>
      <c r="D1753">
        <v>77.738311768000003</v>
      </c>
      <c r="E1753">
        <v>50</v>
      </c>
      <c r="F1753">
        <v>49.259281158</v>
      </c>
      <c r="G1753">
        <v>1556.9412841999999</v>
      </c>
      <c r="H1753">
        <v>1425.5745850000001</v>
      </c>
      <c r="I1753">
        <v>1174.2476807</v>
      </c>
      <c r="J1753">
        <v>980.69561768000005</v>
      </c>
      <c r="K1753">
        <v>2400</v>
      </c>
      <c r="L1753">
        <v>0</v>
      </c>
      <c r="M1753">
        <v>0</v>
      </c>
      <c r="N1753">
        <v>2400</v>
      </c>
    </row>
    <row r="1754" spans="1:14" x14ac:dyDescent="0.25">
      <c r="A1754">
        <v>1462.936862</v>
      </c>
      <c r="B1754" s="1">
        <f>DATE(2014,5,2) + TIME(22,29,4)</f>
        <v>41761.936851851853</v>
      </c>
      <c r="C1754">
        <v>80</v>
      </c>
      <c r="D1754">
        <v>78.075874329000001</v>
      </c>
      <c r="E1754">
        <v>50</v>
      </c>
      <c r="F1754">
        <v>49.249076842999997</v>
      </c>
      <c r="G1754">
        <v>1562.9848632999999</v>
      </c>
      <c r="H1754">
        <v>1432.1860352000001</v>
      </c>
      <c r="I1754">
        <v>1166.8864745999999</v>
      </c>
      <c r="J1754">
        <v>973.32666015999996</v>
      </c>
      <c r="K1754">
        <v>2400</v>
      </c>
      <c r="L1754">
        <v>0</v>
      </c>
      <c r="M1754">
        <v>0</v>
      </c>
      <c r="N1754">
        <v>2400</v>
      </c>
    </row>
    <row r="1755" spans="1:14" x14ac:dyDescent="0.25">
      <c r="A1755">
        <v>1463.0731599999999</v>
      </c>
      <c r="B1755" s="1">
        <f>DATE(2014,5,3) + TIME(1,45,20)</f>
        <v>41762.073148148149</v>
      </c>
      <c r="C1755">
        <v>80</v>
      </c>
      <c r="D1755">
        <v>78.367324828999998</v>
      </c>
      <c r="E1755">
        <v>50</v>
      </c>
      <c r="F1755">
        <v>49.23859787</v>
      </c>
      <c r="G1755">
        <v>1568.8183594</v>
      </c>
      <c r="H1755">
        <v>1438.5155029</v>
      </c>
      <c r="I1755">
        <v>1159.8786620999999</v>
      </c>
      <c r="J1755">
        <v>966.31048583999996</v>
      </c>
      <c r="K1755">
        <v>2400</v>
      </c>
      <c r="L1755">
        <v>0</v>
      </c>
      <c r="M1755">
        <v>0</v>
      </c>
      <c r="N1755">
        <v>2400</v>
      </c>
    </row>
    <row r="1756" spans="1:14" x14ac:dyDescent="0.25">
      <c r="A1756">
        <v>1463.2124819999999</v>
      </c>
      <c r="B1756" s="1">
        <f>DATE(2014,5,3) + TIME(5,5,58)</f>
        <v>41762.212476851855</v>
      </c>
      <c r="C1756">
        <v>80</v>
      </c>
      <c r="D1756">
        <v>78.619277953999998</v>
      </c>
      <c r="E1756">
        <v>50</v>
      </c>
      <c r="F1756">
        <v>49.227825164999999</v>
      </c>
      <c r="G1756">
        <v>1574.4868164</v>
      </c>
      <c r="H1756">
        <v>1444.6182861</v>
      </c>
      <c r="I1756">
        <v>1153.1572266000001</v>
      </c>
      <c r="J1756">
        <v>959.58026123000002</v>
      </c>
      <c r="K1756">
        <v>2400</v>
      </c>
      <c r="L1756">
        <v>0</v>
      </c>
      <c r="M1756">
        <v>0</v>
      </c>
      <c r="N1756">
        <v>2400</v>
      </c>
    </row>
    <row r="1757" spans="1:14" x14ac:dyDescent="0.25">
      <c r="A1757">
        <v>1463.3551869999999</v>
      </c>
      <c r="B1757" s="1">
        <f>DATE(2014,5,3) + TIME(8,31,28)</f>
        <v>41762.355185185188</v>
      </c>
      <c r="C1757">
        <v>80</v>
      </c>
      <c r="D1757">
        <v>78.836746215999995</v>
      </c>
      <c r="E1757">
        <v>50</v>
      </c>
      <c r="F1757">
        <v>49.216754913000003</v>
      </c>
      <c r="G1757">
        <v>1580.0146483999999</v>
      </c>
      <c r="H1757">
        <v>1450.5268555</v>
      </c>
      <c r="I1757">
        <v>1146.6813964999999</v>
      </c>
      <c r="J1757">
        <v>953.09503173999997</v>
      </c>
      <c r="K1757">
        <v>2400</v>
      </c>
      <c r="L1757">
        <v>0</v>
      </c>
      <c r="M1757">
        <v>0</v>
      </c>
      <c r="N1757">
        <v>2400</v>
      </c>
    </row>
    <row r="1758" spans="1:14" x14ac:dyDescent="0.25">
      <c r="A1758">
        <v>1463.501755</v>
      </c>
      <c r="B1758" s="1">
        <f>DATE(2014,5,3) + TIME(12,2,31)</f>
        <v>41762.501747685186</v>
      </c>
      <c r="C1758">
        <v>80</v>
      </c>
      <c r="D1758">
        <v>79.024169921999999</v>
      </c>
      <c r="E1758">
        <v>50</v>
      </c>
      <c r="F1758">
        <v>49.205371857000003</v>
      </c>
      <c r="G1758">
        <v>1585.4259033000001</v>
      </c>
      <c r="H1758">
        <v>1456.2722168</v>
      </c>
      <c r="I1758">
        <v>1140.4119873</v>
      </c>
      <c r="J1758">
        <v>946.81579590000001</v>
      </c>
      <c r="K1758">
        <v>2400</v>
      </c>
      <c r="L1758">
        <v>0</v>
      </c>
      <c r="M1758">
        <v>0</v>
      </c>
      <c r="N1758">
        <v>2400</v>
      </c>
    </row>
    <row r="1759" spans="1:14" x14ac:dyDescent="0.25">
      <c r="A1759">
        <v>1463.652883</v>
      </c>
      <c r="B1759" s="1">
        <f>DATE(2014,5,3) + TIME(15,40,9)</f>
        <v>41762.652881944443</v>
      </c>
      <c r="C1759">
        <v>80</v>
      </c>
      <c r="D1759">
        <v>79.185546875</v>
      </c>
      <c r="E1759">
        <v>50</v>
      </c>
      <c r="F1759">
        <v>49.193656920999999</v>
      </c>
      <c r="G1759">
        <v>1590.7481689000001</v>
      </c>
      <c r="H1759">
        <v>1461.8880615</v>
      </c>
      <c r="I1759">
        <v>1134.3085937999999</v>
      </c>
      <c r="J1759">
        <v>940.70196533000001</v>
      </c>
      <c r="K1759">
        <v>2400</v>
      </c>
      <c r="L1759">
        <v>0</v>
      </c>
      <c r="M1759">
        <v>0</v>
      </c>
      <c r="N1759">
        <v>2400</v>
      </c>
    </row>
    <row r="1760" spans="1:14" x14ac:dyDescent="0.25">
      <c r="A1760">
        <v>1463.809293</v>
      </c>
      <c r="B1760" s="1">
        <f>DATE(2014,5,3) + TIME(19,25,22)</f>
        <v>41762.809282407405</v>
      </c>
      <c r="C1760">
        <v>80</v>
      </c>
      <c r="D1760">
        <v>79.324203491000006</v>
      </c>
      <c r="E1760">
        <v>50</v>
      </c>
      <c r="F1760">
        <v>49.181568145999996</v>
      </c>
      <c r="G1760">
        <v>1596.0042725000001</v>
      </c>
      <c r="H1760">
        <v>1467.4024658000001</v>
      </c>
      <c r="I1760">
        <v>1128.3369141000001</v>
      </c>
      <c r="J1760">
        <v>934.71960449000005</v>
      </c>
      <c r="K1760">
        <v>2400</v>
      </c>
      <c r="L1760">
        <v>0</v>
      </c>
      <c r="M1760">
        <v>0</v>
      </c>
      <c r="N1760">
        <v>2400</v>
      </c>
    </row>
    <row r="1761" spans="1:14" x14ac:dyDescent="0.25">
      <c r="A1761">
        <v>1463.971695</v>
      </c>
      <c r="B1761" s="1">
        <f>DATE(2014,5,3) + TIME(23,19,14)</f>
        <v>41762.971689814818</v>
      </c>
      <c r="C1761">
        <v>80</v>
      </c>
      <c r="D1761">
        <v>79.442947387999993</v>
      </c>
      <c r="E1761">
        <v>50</v>
      </c>
      <c r="F1761">
        <v>49.169090271000002</v>
      </c>
      <c r="G1761">
        <v>1601.2121582</v>
      </c>
      <c r="H1761">
        <v>1472.8375243999999</v>
      </c>
      <c r="I1761">
        <v>1122.4698486</v>
      </c>
      <c r="J1761">
        <v>928.84118651999995</v>
      </c>
      <c r="K1761">
        <v>2400</v>
      </c>
      <c r="L1761">
        <v>0</v>
      </c>
      <c r="M1761">
        <v>0</v>
      </c>
      <c r="N1761">
        <v>2400</v>
      </c>
    </row>
    <row r="1762" spans="1:14" x14ac:dyDescent="0.25">
      <c r="A1762">
        <v>1464.140958</v>
      </c>
      <c r="B1762" s="1">
        <f>DATE(2014,5,4) + TIME(3,22,58)</f>
        <v>41763.140949074077</v>
      </c>
      <c r="C1762">
        <v>80</v>
      </c>
      <c r="D1762">
        <v>79.544258118000002</v>
      </c>
      <c r="E1762">
        <v>50</v>
      </c>
      <c r="F1762">
        <v>49.156173705999997</v>
      </c>
      <c r="G1762">
        <v>1606.3907471</v>
      </c>
      <c r="H1762">
        <v>1478.2160644999999</v>
      </c>
      <c r="I1762">
        <v>1116.6796875</v>
      </c>
      <c r="J1762">
        <v>923.03942871000004</v>
      </c>
      <c r="K1762">
        <v>2400</v>
      </c>
      <c r="L1762">
        <v>0</v>
      </c>
      <c r="M1762">
        <v>0</v>
      </c>
      <c r="N1762">
        <v>2400</v>
      </c>
    </row>
    <row r="1763" spans="1:14" x14ac:dyDescent="0.25">
      <c r="A1763">
        <v>1464.3180629999999</v>
      </c>
      <c r="B1763" s="1">
        <f>DATE(2014,5,4) + TIME(7,38,0)</f>
        <v>41763.318055555559</v>
      </c>
      <c r="C1763">
        <v>80</v>
      </c>
      <c r="D1763">
        <v>79.630287170000003</v>
      </c>
      <c r="E1763">
        <v>50</v>
      </c>
      <c r="F1763">
        <v>49.142776488999999</v>
      </c>
      <c r="G1763">
        <v>1611.5577393000001</v>
      </c>
      <c r="H1763">
        <v>1483.5589600000001</v>
      </c>
      <c r="I1763">
        <v>1110.9412841999999</v>
      </c>
      <c r="J1763">
        <v>917.28887939000003</v>
      </c>
      <c r="K1763">
        <v>2400</v>
      </c>
      <c r="L1763">
        <v>0</v>
      </c>
      <c r="M1763">
        <v>0</v>
      </c>
      <c r="N1763">
        <v>2400</v>
      </c>
    </row>
    <row r="1764" spans="1:14" x14ac:dyDescent="0.25">
      <c r="A1764">
        <v>1464.5041349999999</v>
      </c>
      <c r="B1764" s="1">
        <f>DATE(2014,5,4) + TIME(12,5,57)</f>
        <v>41763.504131944443</v>
      </c>
      <c r="C1764">
        <v>80</v>
      </c>
      <c r="D1764">
        <v>79.702911377000007</v>
      </c>
      <c r="E1764">
        <v>50</v>
      </c>
      <c r="F1764">
        <v>49.128841399999999</v>
      </c>
      <c r="G1764">
        <v>1616.7304687999999</v>
      </c>
      <c r="H1764">
        <v>1488.8864745999999</v>
      </c>
      <c r="I1764">
        <v>1105.2303466999999</v>
      </c>
      <c r="J1764">
        <v>911.56536864999998</v>
      </c>
      <c r="K1764">
        <v>2400</v>
      </c>
      <c r="L1764">
        <v>0</v>
      </c>
      <c r="M1764">
        <v>0</v>
      </c>
      <c r="N1764">
        <v>2400</v>
      </c>
    </row>
    <row r="1765" spans="1:14" x14ac:dyDescent="0.25">
      <c r="A1765">
        <v>1464.700468</v>
      </c>
      <c r="B1765" s="1">
        <f>DATE(2014,5,4) + TIME(16,48,40)</f>
        <v>41763.700462962966</v>
      </c>
      <c r="C1765">
        <v>80</v>
      </c>
      <c r="D1765">
        <v>79.763778686999999</v>
      </c>
      <c r="E1765">
        <v>50</v>
      </c>
      <c r="F1765">
        <v>49.114311217999997</v>
      </c>
      <c r="G1765">
        <v>1621.9260254000001</v>
      </c>
      <c r="H1765">
        <v>1494.2180175999999</v>
      </c>
      <c r="I1765">
        <v>1099.5236815999999</v>
      </c>
      <c r="J1765">
        <v>905.84564208999996</v>
      </c>
      <c r="K1765">
        <v>2400</v>
      </c>
      <c r="L1765">
        <v>0</v>
      </c>
      <c r="M1765">
        <v>0</v>
      </c>
      <c r="N1765">
        <v>2400</v>
      </c>
    </row>
    <row r="1766" spans="1:14" x14ac:dyDescent="0.25">
      <c r="A1766">
        <v>1464.908666</v>
      </c>
      <c r="B1766" s="1">
        <f>DATE(2014,5,4) + TIME(21,48,28)</f>
        <v>41763.90865740741</v>
      </c>
      <c r="C1766">
        <v>80</v>
      </c>
      <c r="D1766">
        <v>79.814384459999999</v>
      </c>
      <c r="E1766">
        <v>50</v>
      </c>
      <c r="F1766">
        <v>49.099098206000001</v>
      </c>
      <c r="G1766">
        <v>1627.1636963000001</v>
      </c>
      <c r="H1766">
        <v>1499.5754394999999</v>
      </c>
      <c r="I1766">
        <v>1093.7956543</v>
      </c>
      <c r="J1766">
        <v>900.10412598000005</v>
      </c>
      <c r="K1766">
        <v>2400</v>
      </c>
      <c r="L1766">
        <v>0</v>
      </c>
      <c r="M1766">
        <v>0</v>
      </c>
      <c r="N1766">
        <v>2400</v>
      </c>
    </row>
    <row r="1767" spans="1:14" x14ac:dyDescent="0.25">
      <c r="A1767">
        <v>1465.130611</v>
      </c>
      <c r="B1767" s="1">
        <f>DATE(2014,5,5) + TIME(3,8,4)</f>
        <v>41764.130601851852</v>
      </c>
      <c r="C1767">
        <v>80</v>
      </c>
      <c r="D1767">
        <v>79.856010436999995</v>
      </c>
      <c r="E1767">
        <v>50</v>
      </c>
      <c r="F1767">
        <v>49.083110808999997</v>
      </c>
      <c r="G1767">
        <v>1632.4631348</v>
      </c>
      <c r="H1767">
        <v>1504.9801024999999</v>
      </c>
      <c r="I1767">
        <v>1088.0211182</v>
      </c>
      <c r="J1767">
        <v>894.31542968999997</v>
      </c>
      <c r="K1767">
        <v>2400</v>
      </c>
      <c r="L1767">
        <v>0</v>
      </c>
      <c r="M1767">
        <v>0</v>
      </c>
      <c r="N1767">
        <v>2400</v>
      </c>
    </row>
    <row r="1768" spans="1:14" x14ac:dyDescent="0.25">
      <c r="A1768">
        <v>1465.368598</v>
      </c>
      <c r="B1768" s="1">
        <f>DATE(2014,5,5) + TIME(8,50,46)</f>
        <v>41764.368587962963</v>
      </c>
      <c r="C1768">
        <v>80</v>
      </c>
      <c r="D1768">
        <v>79.889823914000004</v>
      </c>
      <c r="E1768">
        <v>50</v>
      </c>
      <c r="F1768">
        <v>49.066230773999997</v>
      </c>
      <c r="G1768">
        <v>1637.8460693</v>
      </c>
      <c r="H1768">
        <v>1510.4559326000001</v>
      </c>
      <c r="I1768">
        <v>1082.1723632999999</v>
      </c>
      <c r="J1768">
        <v>888.45196533000001</v>
      </c>
      <c r="K1768">
        <v>2400</v>
      </c>
      <c r="L1768">
        <v>0</v>
      </c>
      <c r="M1768">
        <v>0</v>
      </c>
      <c r="N1768">
        <v>2400</v>
      </c>
    </row>
    <row r="1769" spans="1:14" x14ac:dyDescent="0.25">
      <c r="A1769">
        <v>1465.6254710000001</v>
      </c>
      <c r="B1769" s="1">
        <f>DATE(2014,5,5) + TIME(15,0,40)</f>
        <v>41764.625462962962</v>
      </c>
      <c r="C1769">
        <v>80</v>
      </c>
      <c r="D1769">
        <v>79.916862488000007</v>
      </c>
      <c r="E1769">
        <v>50</v>
      </c>
      <c r="F1769">
        <v>49.048316956000001</v>
      </c>
      <c r="G1769">
        <v>1643.3371582</v>
      </c>
      <c r="H1769">
        <v>1516.0288086</v>
      </c>
      <c r="I1769">
        <v>1076.2189940999999</v>
      </c>
      <c r="J1769">
        <v>882.48327637</v>
      </c>
      <c r="K1769">
        <v>2400</v>
      </c>
      <c r="L1769">
        <v>0</v>
      </c>
      <c r="M1769">
        <v>0</v>
      </c>
      <c r="N1769">
        <v>2400</v>
      </c>
    </row>
    <row r="1770" spans="1:14" x14ac:dyDescent="0.25">
      <c r="A1770">
        <v>1465.8894969999999</v>
      </c>
      <c r="B1770" s="1">
        <f>DATE(2014,5,5) + TIME(21,20,52)</f>
        <v>41764.889490740738</v>
      </c>
      <c r="C1770">
        <v>80</v>
      </c>
      <c r="D1770">
        <v>79.937164307000003</v>
      </c>
      <c r="E1770">
        <v>50</v>
      </c>
      <c r="F1770">
        <v>49.029945374</v>
      </c>
      <c r="G1770">
        <v>1648.6541748</v>
      </c>
      <c r="H1770">
        <v>1521.4162598</v>
      </c>
      <c r="I1770">
        <v>1070.4412841999999</v>
      </c>
      <c r="J1770">
        <v>876.69012451000003</v>
      </c>
      <c r="K1770">
        <v>2400</v>
      </c>
      <c r="L1770">
        <v>0</v>
      </c>
      <c r="M1770">
        <v>0</v>
      </c>
      <c r="N1770">
        <v>2400</v>
      </c>
    </row>
    <row r="1771" spans="1:14" x14ac:dyDescent="0.25">
      <c r="A1771">
        <v>1466.1548049999999</v>
      </c>
      <c r="B1771" s="1">
        <f>DATE(2014,5,6) + TIME(3,42,55)</f>
        <v>41765.154803240737</v>
      </c>
      <c r="C1771">
        <v>80</v>
      </c>
      <c r="D1771">
        <v>79.951965332</v>
      </c>
      <c r="E1771">
        <v>50</v>
      </c>
      <c r="F1771">
        <v>49.011447906000001</v>
      </c>
      <c r="G1771">
        <v>1653.6979980000001</v>
      </c>
      <c r="H1771">
        <v>1526.5196533000001</v>
      </c>
      <c r="I1771">
        <v>1064.9479980000001</v>
      </c>
      <c r="J1771">
        <v>871.18151854999996</v>
      </c>
      <c r="K1771">
        <v>2400</v>
      </c>
      <c r="L1771">
        <v>0</v>
      </c>
      <c r="M1771">
        <v>0</v>
      </c>
      <c r="N1771">
        <v>2400</v>
      </c>
    </row>
    <row r="1772" spans="1:14" x14ac:dyDescent="0.25">
      <c r="A1772">
        <v>1466.4227920000001</v>
      </c>
      <c r="B1772" s="1">
        <f>DATE(2014,5,6) + TIME(10,8,49)</f>
        <v>41765.422789351855</v>
      </c>
      <c r="C1772">
        <v>80</v>
      </c>
      <c r="D1772">
        <v>79.962692261000001</v>
      </c>
      <c r="E1772">
        <v>50</v>
      </c>
      <c r="F1772">
        <v>48.992805480999998</v>
      </c>
      <c r="G1772">
        <v>1658.5225829999999</v>
      </c>
      <c r="H1772">
        <v>1531.3947754000001</v>
      </c>
      <c r="I1772">
        <v>1059.6898193</v>
      </c>
      <c r="J1772">
        <v>865.90808104999996</v>
      </c>
      <c r="K1772">
        <v>2400</v>
      </c>
      <c r="L1772">
        <v>0</v>
      </c>
      <c r="M1772">
        <v>0</v>
      </c>
      <c r="N1772">
        <v>2400</v>
      </c>
    </row>
    <row r="1773" spans="1:14" x14ac:dyDescent="0.25">
      <c r="A1773">
        <v>1466.6947849999999</v>
      </c>
      <c r="B1773" s="1">
        <f>DATE(2014,5,6) + TIME(16,40,29)</f>
        <v>41765.694780092592</v>
      </c>
      <c r="C1773">
        <v>80</v>
      </c>
      <c r="D1773">
        <v>79.970375060999999</v>
      </c>
      <c r="E1773">
        <v>50</v>
      </c>
      <c r="F1773">
        <v>48.973987579000003</v>
      </c>
      <c r="G1773">
        <v>1663.1657714999999</v>
      </c>
      <c r="H1773">
        <v>1536.0814209</v>
      </c>
      <c r="I1773">
        <v>1054.6262207</v>
      </c>
      <c r="J1773">
        <v>860.82922363</v>
      </c>
      <c r="K1773">
        <v>2400</v>
      </c>
      <c r="L1773">
        <v>0</v>
      </c>
      <c r="M1773">
        <v>0</v>
      </c>
      <c r="N1773">
        <v>2400</v>
      </c>
    </row>
    <row r="1774" spans="1:14" x14ac:dyDescent="0.25">
      <c r="A1774">
        <v>1466.9720689999999</v>
      </c>
      <c r="B1774" s="1">
        <f>DATE(2014,5,6) + TIME(23,19,46)</f>
        <v>41765.972060185188</v>
      </c>
      <c r="C1774">
        <v>80</v>
      </c>
      <c r="D1774">
        <v>79.975784301999994</v>
      </c>
      <c r="E1774">
        <v>50</v>
      </c>
      <c r="F1774">
        <v>48.954944611000002</v>
      </c>
      <c r="G1774">
        <v>1667.6572266000001</v>
      </c>
      <c r="H1774">
        <v>1540.6108397999999</v>
      </c>
      <c r="I1774">
        <v>1049.7237548999999</v>
      </c>
      <c r="J1774">
        <v>855.91156006000006</v>
      </c>
      <c r="K1774">
        <v>2400</v>
      </c>
      <c r="L1774">
        <v>0</v>
      </c>
      <c r="M1774">
        <v>0</v>
      </c>
      <c r="N1774">
        <v>2400</v>
      </c>
    </row>
    <row r="1775" spans="1:14" x14ac:dyDescent="0.25">
      <c r="A1775">
        <v>1467.25612</v>
      </c>
      <c r="B1775" s="1">
        <f>DATE(2014,5,7) + TIME(6,8,48)</f>
        <v>41766.256111111114</v>
      </c>
      <c r="C1775">
        <v>80</v>
      </c>
      <c r="D1775">
        <v>79.979469299000002</v>
      </c>
      <c r="E1775">
        <v>50</v>
      </c>
      <c r="F1775">
        <v>48.935611725000001</v>
      </c>
      <c r="G1775">
        <v>1672.0246582</v>
      </c>
      <c r="H1775">
        <v>1545.0117187999999</v>
      </c>
      <c r="I1775">
        <v>1044.9512939000001</v>
      </c>
      <c r="J1775">
        <v>851.12371826000003</v>
      </c>
      <c r="K1775">
        <v>2400</v>
      </c>
      <c r="L1775">
        <v>0</v>
      </c>
      <c r="M1775">
        <v>0</v>
      </c>
      <c r="N1775">
        <v>2400</v>
      </c>
    </row>
    <row r="1776" spans="1:14" x14ac:dyDescent="0.25">
      <c r="A1776">
        <v>1467.5481440000001</v>
      </c>
      <c r="B1776" s="1">
        <f>DATE(2014,5,7) + TIME(13,9,19)</f>
        <v>41766.548136574071</v>
      </c>
      <c r="C1776">
        <v>80</v>
      </c>
      <c r="D1776">
        <v>79.981857300000001</v>
      </c>
      <c r="E1776">
        <v>50</v>
      </c>
      <c r="F1776">
        <v>48.915939330999997</v>
      </c>
      <c r="G1776">
        <v>1676.2867432</v>
      </c>
      <c r="H1776">
        <v>1549.3035889</v>
      </c>
      <c r="I1776">
        <v>1040.2867432</v>
      </c>
      <c r="J1776">
        <v>846.44378661999997</v>
      </c>
      <c r="K1776">
        <v>2400</v>
      </c>
      <c r="L1776">
        <v>0</v>
      </c>
      <c r="M1776">
        <v>0</v>
      </c>
      <c r="N1776">
        <v>2400</v>
      </c>
    </row>
    <row r="1777" spans="1:14" x14ac:dyDescent="0.25">
      <c r="A1777">
        <v>1467.849571</v>
      </c>
      <c r="B1777" s="1">
        <f>DATE(2014,5,7) + TIME(20,23,22)</f>
        <v>41766.849560185183</v>
      </c>
      <c r="C1777">
        <v>80</v>
      </c>
      <c r="D1777">
        <v>79.983253478999998</v>
      </c>
      <c r="E1777">
        <v>50</v>
      </c>
      <c r="F1777">
        <v>48.895843505999999</v>
      </c>
      <c r="G1777">
        <v>1680.4621582</v>
      </c>
      <c r="H1777">
        <v>1553.5061035000001</v>
      </c>
      <c r="I1777">
        <v>1035.7086182</v>
      </c>
      <c r="J1777">
        <v>841.85021973000005</v>
      </c>
      <c r="K1777">
        <v>2400</v>
      </c>
      <c r="L1777">
        <v>0</v>
      </c>
      <c r="M1777">
        <v>0</v>
      </c>
      <c r="N1777">
        <v>2400</v>
      </c>
    </row>
    <row r="1778" spans="1:14" x14ac:dyDescent="0.25">
      <c r="A1778">
        <v>1468.1619920000001</v>
      </c>
      <c r="B1778" s="1">
        <f>DATE(2014,5,8) + TIME(3,53,16)</f>
        <v>41767.161990740744</v>
      </c>
      <c r="C1778">
        <v>80</v>
      </c>
      <c r="D1778">
        <v>79.983909607000001</v>
      </c>
      <c r="E1778">
        <v>50</v>
      </c>
      <c r="F1778">
        <v>48.875251769999998</v>
      </c>
      <c r="G1778">
        <v>1684.5683594</v>
      </c>
      <c r="H1778">
        <v>1557.6369629000001</v>
      </c>
      <c r="I1778">
        <v>1031.1971435999999</v>
      </c>
      <c r="J1778">
        <v>837.32293701000003</v>
      </c>
      <c r="K1778">
        <v>2400</v>
      </c>
      <c r="L1778">
        <v>0</v>
      </c>
      <c r="M1778">
        <v>0</v>
      </c>
      <c r="N1778">
        <v>2400</v>
      </c>
    </row>
    <row r="1779" spans="1:14" x14ac:dyDescent="0.25">
      <c r="A1779">
        <v>1468.487204</v>
      </c>
      <c r="B1779" s="1">
        <f>DATE(2014,5,8) + TIME(11,41,34)</f>
        <v>41767.487199074072</v>
      </c>
      <c r="C1779">
        <v>80</v>
      </c>
      <c r="D1779">
        <v>79.984008789000001</v>
      </c>
      <c r="E1779">
        <v>50</v>
      </c>
      <c r="F1779">
        <v>48.854068755999997</v>
      </c>
      <c r="G1779">
        <v>1688.621582</v>
      </c>
      <c r="H1779">
        <v>1561.7128906</v>
      </c>
      <c r="I1779">
        <v>1026.7332764</v>
      </c>
      <c r="J1779">
        <v>832.84320068</v>
      </c>
      <c r="K1779">
        <v>2400</v>
      </c>
      <c r="L1779">
        <v>0</v>
      </c>
      <c r="M1779">
        <v>0</v>
      </c>
      <c r="N1779">
        <v>2400</v>
      </c>
    </row>
    <row r="1780" spans="1:14" x14ac:dyDescent="0.25">
      <c r="A1780">
        <v>1468.8272039999999</v>
      </c>
      <c r="B1780" s="1">
        <f>DATE(2014,5,8) + TIME(19,51,10)</f>
        <v>41767.827199074076</v>
      </c>
      <c r="C1780">
        <v>80</v>
      </c>
      <c r="D1780">
        <v>79.983695983999993</v>
      </c>
      <c r="E1780">
        <v>50</v>
      </c>
      <c r="F1780">
        <v>48.832187652999998</v>
      </c>
      <c r="G1780">
        <v>1692.6365966999999</v>
      </c>
      <c r="H1780">
        <v>1565.7492675999999</v>
      </c>
      <c r="I1780">
        <v>1022.2999268</v>
      </c>
      <c r="J1780">
        <v>828.39343262</v>
      </c>
      <c r="K1780">
        <v>2400</v>
      </c>
      <c r="L1780">
        <v>0</v>
      </c>
      <c r="M1780">
        <v>0</v>
      </c>
      <c r="N1780">
        <v>2400</v>
      </c>
    </row>
    <row r="1781" spans="1:14" x14ac:dyDescent="0.25">
      <c r="A1781">
        <v>1469.1844180000001</v>
      </c>
      <c r="B1781" s="1">
        <f>DATE(2014,5,9) + TIME(4,25,33)</f>
        <v>41768.18440972222</v>
      </c>
      <c r="C1781">
        <v>80</v>
      </c>
      <c r="D1781">
        <v>79.983062743999994</v>
      </c>
      <c r="E1781">
        <v>50</v>
      </c>
      <c r="F1781">
        <v>48.809490203999999</v>
      </c>
      <c r="G1781">
        <v>1696.6295166</v>
      </c>
      <c r="H1781">
        <v>1569.7620850000001</v>
      </c>
      <c r="I1781">
        <v>1017.878479</v>
      </c>
      <c r="J1781">
        <v>823.95526123000002</v>
      </c>
      <c r="K1781">
        <v>2400</v>
      </c>
      <c r="L1781">
        <v>0</v>
      </c>
      <c r="M1781">
        <v>0</v>
      </c>
      <c r="N1781">
        <v>2400</v>
      </c>
    </row>
    <row r="1782" spans="1:14" x14ac:dyDescent="0.25">
      <c r="A1782">
        <v>1469.560399</v>
      </c>
      <c r="B1782" s="1">
        <f>DATE(2014,5,9) + TIME(13,26,58)</f>
        <v>41768.560393518521</v>
      </c>
      <c r="C1782">
        <v>80</v>
      </c>
      <c r="D1782">
        <v>79.982208252000007</v>
      </c>
      <c r="E1782">
        <v>50</v>
      </c>
      <c r="F1782">
        <v>48.785881042</v>
      </c>
      <c r="G1782">
        <v>1700.6019286999999</v>
      </c>
      <c r="H1782">
        <v>1573.7535399999999</v>
      </c>
      <c r="I1782">
        <v>1013.4649658</v>
      </c>
      <c r="J1782">
        <v>819.52453613</v>
      </c>
      <c r="K1782">
        <v>2400</v>
      </c>
      <c r="L1782">
        <v>0</v>
      </c>
      <c r="M1782">
        <v>0</v>
      </c>
      <c r="N1782">
        <v>2400</v>
      </c>
    </row>
    <row r="1783" spans="1:14" x14ac:dyDescent="0.25">
      <c r="A1783">
        <v>1469.954878</v>
      </c>
      <c r="B1783" s="1">
        <f>DATE(2014,5,9) + TIME(22,55,1)</f>
        <v>41768.954872685186</v>
      </c>
      <c r="C1783">
        <v>80</v>
      </c>
      <c r="D1783">
        <v>79.981193542</v>
      </c>
      <c r="E1783">
        <v>50</v>
      </c>
      <c r="F1783">
        <v>48.761356354</v>
      </c>
      <c r="G1783">
        <v>1704.5357666</v>
      </c>
      <c r="H1783">
        <v>1577.7054443</v>
      </c>
      <c r="I1783">
        <v>1009.0765381</v>
      </c>
      <c r="J1783">
        <v>815.11840819999998</v>
      </c>
      <c r="K1783">
        <v>2400</v>
      </c>
      <c r="L1783">
        <v>0</v>
      </c>
      <c r="M1783">
        <v>0</v>
      </c>
      <c r="N1783">
        <v>2400</v>
      </c>
    </row>
    <row r="1784" spans="1:14" x14ac:dyDescent="0.25">
      <c r="A1784">
        <v>1470.3709429999999</v>
      </c>
      <c r="B1784" s="1">
        <f>DATE(2014,5,10) + TIME(8,54,9)</f>
        <v>41769.370937500003</v>
      </c>
      <c r="C1784">
        <v>80</v>
      </c>
      <c r="D1784">
        <v>79.980064392000003</v>
      </c>
      <c r="E1784">
        <v>50</v>
      </c>
      <c r="F1784">
        <v>48.735771178999997</v>
      </c>
      <c r="G1784">
        <v>1708.4487305</v>
      </c>
      <c r="H1784">
        <v>1581.6354980000001</v>
      </c>
      <c r="I1784">
        <v>1004.6948853</v>
      </c>
      <c r="J1784">
        <v>810.71850586000005</v>
      </c>
      <c r="K1784">
        <v>2400</v>
      </c>
      <c r="L1784">
        <v>0</v>
      </c>
      <c r="M1784">
        <v>0</v>
      </c>
      <c r="N1784">
        <v>2400</v>
      </c>
    </row>
    <row r="1785" spans="1:14" x14ac:dyDescent="0.25">
      <c r="A1785">
        <v>1470.806826</v>
      </c>
      <c r="B1785" s="1">
        <f>DATE(2014,5,10) + TIME(19,21,49)</f>
        <v>41769.806817129633</v>
      </c>
      <c r="C1785">
        <v>80</v>
      </c>
      <c r="D1785">
        <v>79.978881835999999</v>
      </c>
      <c r="E1785">
        <v>50</v>
      </c>
      <c r="F1785">
        <v>48.709175109999997</v>
      </c>
      <c r="G1785">
        <v>1712.3079834</v>
      </c>
      <c r="H1785">
        <v>1585.5111084</v>
      </c>
      <c r="I1785">
        <v>1000.352478</v>
      </c>
      <c r="J1785">
        <v>806.35729979999996</v>
      </c>
      <c r="K1785">
        <v>2400</v>
      </c>
      <c r="L1785">
        <v>0</v>
      </c>
      <c r="M1785">
        <v>0</v>
      </c>
      <c r="N1785">
        <v>2400</v>
      </c>
    </row>
    <row r="1786" spans="1:14" x14ac:dyDescent="0.25">
      <c r="A1786">
        <v>1471.2442349999999</v>
      </c>
      <c r="B1786" s="1">
        <f>DATE(2014,5,11) + TIME(5,51,41)</f>
        <v>41770.24422453704</v>
      </c>
      <c r="C1786">
        <v>80</v>
      </c>
      <c r="D1786">
        <v>79.977691649999997</v>
      </c>
      <c r="E1786">
        <v>50</v>
      </c>
      <c r="F1786">
        <v>48.682254790999998</v>
      </c>
      <c r="G1786">
        <v>1715.9473877</v>
      </c>
      <c r="H1786">
        <v>1589.1660156</v>
      </c>
      <c r="I1786">
        <v>996.22277831999997</v>
      </c>
      <c r="J1786">
        <v>802.20886229999996</v>
      </c>
      <c r="K1786">
        <v>2400</v>
      </c>
      <c r="L1786">
        <v>0</v>
      </c>
      <c r="M1786">
        <v>0</v>
      </c>
      <c r="N1786">
        <v>2400</v>
      </c>
    </row>
    <row r="1787" spans="1:14" x14ac:dyDescent="0.25">
      <c r="A1787">
        <v>1471.6851489999999</v>
      </c>
      <c r="B1787" s="1">
        <f>DATE(2014,5,11) + TIME(16,26,36)</f>
        <v>41770.68513888889</v>
      </c>
      <c r="C1787">
        <v>80</v>
      </c>
      <c r="D1787">
        <v>79.976539611999996</v>
      </c>
      <c r="E1787">
        <v>50</v>
      </c>
      <c r="F1787">
        <v>48.655086517000001</v>
      </c>
      <c r="G1787">
        <v>1719.4088135</v>
      </c>
      <c r="H1787">
        <v>1592.6417236</v>
      </c>
      <c r="I1787">
        <v>992.27423095999995</v>
      </c>
      <c r="J1787">
        <v>798.24151611000002</v>
      </c>
      <c r="K1787">
        <v>2400</v>
      </c>
      <c r="L1787">
        <v>0</v>
      </c>
      <c r="M1787">
        <v>0</v>
      </c>
      <c r="N1787">
        <v>2400</v>
      </c>
    </row>
    <row r="1788" spans="1:14" x14ac:dyDescent="0.25">
      <c r="A1788">
        <v>1472.131603</v>
      </c>
      <c r="B1788" s="1">
        <f>DATE(2014,5,12) + TIME(3,9,30)</f>
        <v>41771.131597222222</v>
      </c>
      <c r="C1788">
        <v>80</v>
      </c>
      <c r="D1788">
        <v>79.975433350000003</v>
      </c>
      <c r="E1788">
        <v>50</v>
      </c>
      <c r="F1788">
        <v>48.627677917</v>
      </c>
      <c r="G1788">
        <v>1722.7213135</v>
      </c>
      <c r="H1788">
        <v>1595.9674072</v>
      </c>
      <c r="I1788">
        <v>988.47888183999999</v>
      </c>
      <c r="J1788">
        <v>794.42724609000004</v>
      </c>
      <c r="K1788">
        <v>2400</v>
      </c>
      <c r="L1788">
        <v>0</v>
      </c>
      <c r="M1788">
        <v>0</v>
      </c>
      <c r="N1788">
        <v>2400</v>
      </c>
    </row>
    <row r="1789" spans="1:14" x14ac:dyDescent="0.25">
      <c r="A1789">
        <v>1472.5855790000001</v>
      </c>
      <c r="B1789" s="1">
        <f>DATE(2014,5,12) + TIME(14,3,14)</f>
        <v>41771.585578703707</v>
      </c>
      <c r="C1789">
        <v>80</v>
      </c>
      <c r="D1789">
        <v>79.974380492999998</v>
      </c>
      <c r="E1789">
        <v>50</v>
      </c>
      <c r="F1789">
        <v>48.599983215000002</v>
      </c>
      <c r="G1789">
        <v>1725.9072266000001</v>
      </c>
      <c r="H1789">
        <v>1599.1652832</v>
      </c>
      <c r="I1789">
        <v>984.81347656000003</v>
      </c>
      <c r="J1789">
        <v>790.74273682</v>
      </c>
      <c r="K1789">
        <v>2400</v>
      </c>
      <c r="L1789">
        <v>0</v>
      </c>
      <c r="M1789">
        <v>0</v>
      </c>
      <c r="N1789">
        <v>2400</v>
      </c>
    </row>
    <row r="1790" spans="1:14" x14ac:dyDescent="0.25">
      <c r="A1790">
        <v>1473.0491910000001</v>
      </c>
      <c r="B1790" s="1">
        <f>DATE(2014,5,13) + TIME(1,10,50)</f>
        <v>41772.049189814818</v>
      </c>
      <c r="C1790">
        <v>80</v>
      </c>
      <c r="D1790">
        <v>79.973381042</v>
      </c>
      <c r="E1790">
        <v>50</v>
      </c>
      <c r="F1790">
        <v>48.571933745999999</v>
      </c>
      <c r="G1790">
        <v>1728.9854736</v>
      </c>
      <c r="H1790">
        <v>1602.2547606999999</v>
      </c>
      <c r="I1790">
        <v>981.25732421999999</v>
      </c>
      <c r="J1790">
        <v>787.16735840000001</v>
      </c>
      <c r="K1790">
        <v>2400</v>
      </c>
      <c r="L1790">
        <v>0</v>
      </c>
      <c r="M1790">
        <v>0</v>
      </c>
      <c r="N1790">
        <v>2400</v>
      </c>
    </row>
    <row r="1791" spans="1:14" x14ac:dyDescent="0.25">
      <c r="A1791">
        <v>1473.5246790000001</v>
      </c>
      <c r="B1791" s="1">
        <f>DATE(2014,5,13) + TIME(12,35,32)</f>
        <v>41772.524675925924</v>
      </c>
      <c r="C1791">
        <v>80</v>
      </c>
      <c r="D1791">
        <v>79.972419739000003</v>
      </c>
      <c r="E1791">
        <v>50</v>
      </c>
      <c r="F1791">
        <v>48.543434142999999</v>
      </c>
      <c r="G1791">
        <v>1731.9725341999999</v>
      </c>
      <c r="H1791">
        <v>1605.2523193</v>
      </c>
      <c r="I1791">
        <v>977.79229736000002</v>
      </c>
      <c r="J1791">
        <v>783.68298340000001</v>
      </c>
      <c r="K1791">
        <v>2400</v>
      </c>
      <c r="L1791">
        <v>0</v>
      </c>
      <c r="M1791">
        <v>0</v>
      </c>
      <c r="N1791">
        <v>2400</v>
      </c>
    </row>
    <row r="1792" spans="1:14" x14ac:dyDescent="0.25">
      <c r="A1792">
        <v>1474.014068</v>
      </c>
      <c r="B1792" s="1">
        <f>DATE(2014,5,14) + TIME(0,20,15)</f>
        <v>41773.014062499999</v>
      </c>
      <c r="C1792">
        <v>80</v>
      </c>
      <c r="D1792">
        <v>79.971496582</v>
      </c>
      <c r="E1792">
        <v>50</v>
      </c>
      <c r="F1792">
        <v>48.514389037999997</v>
      </c>
      <c r="G1792">
        <v>1734.8804932</v>
      </c>
      <c r="H1792">
        <v>1608.1701660000001</v>
      </c>
      <c r="I1792">
        <v>974.40496826000003</v>
      </c>
      <c r="J1792">
        <v>780.27593993999994</v>
      </c>
      <c r="K1792">
        <v>2400</v>
      </c>
      <c r="L1792">
        <v>0</v>
      </c>
      <c r="M1792">
        <v>0</v>
      </c>
      <c r="N1792">
        <v>2400</v>
      </c>
    </row>
    <row r="1793" spans="1:14" x14ac:dyDescent="0.25">
      <c r="A1793">
        <v>1474.5198290000001</v>
      </c>
      <c r="B1793" s="1">
        <f>DATE(2014,5,14) + TIME(12,28,33)</f>
        <v>41773.519826388889</v>
      </c>
      <c r="C1793">
        <v>80</v>
      </c>
      <c r="D1793">
        <v>79.970619201999995</v>
      </c>
      <c r="E1793">
        <v>50</v>
      </c>
      <c r="F1793">
        <v>48.484687805</v>
      </c>
      <c r="G1793">
        <v>1737.7216797000001</v>
      </c>
      <c r="H1793">
        <v>1611.0205077999999</v>
      </c>
      <c r="I1793">
        <v>971.08135986000002</v>
      </c>
      <c r="J1793">
        <v>776.93231201000003</v>
      </c>
      <c r="K1793">
        <v>2400</v>
      </c>
      <c r="L1793">
        <v>0</v>
      </c>
      <c r="M1793">
        <v>0</v>
      </c>
      <c r="N1793">
        <v>2400</v>
      </c>
    </row>
    <row r="1794" spans="1:14" x14ac:dyDescent="0.25">
      <c r="A1794">
        <v>1475.0447240000001</v>
      </c>
      <c r="B1794" s="1">
        <f>DATE(2014,5,15) + TIME(1,4,24)</f>
        <v>41774.044722222221</v>
      </c>
      <c r="C1794">
        <v>80</v>
      </c>
      <c r="D1794">
        <v>79.969764709000003</v>
      </c>
      <c r="E1794">
        <v>50</v>
      </c>
      <c r="F1794">
        <v>48.454189301</v>
      </c>
      <c r="G1794">
        <v>1740.5072021000001</v>
      </c>
      <c r="H1794">
        <v>1613.8148193</v>
      </c>
      <c r="I1794">
        <v>967.80883788999995</v>
      </c>
      <c r="J1794">
        <v>773.63928223000005</v>
      </c>
      <c r="K1794">
        <v>2400</v>
      </c>
      <c r="L1794">
        <v>0</v>
      </c>
      <c r="M1794">
        <v>0</v>
      </c>
      <c r="N1794">
        <v>2400</v>
      </c>
    </row>
    <row r="1795" spans="1:14" x14ac:dyDescent="0.25">
      <c r="A1795">
        <v>1475.5918959999999</v>
      </c>
      <c r="B1795" s="1">
        <f>DATE(2014,5,15) + TIME(14,12,19)</f>
        <v>41774.591886574075</v>
      </c>
      <c r="C1795">
        <v>80</v>
      </c>
      <c r="D1795">
        <v>79.968948363999999</v>
      </c>
      <c r="E1795">
        <v>50</v>
      </c>
      <c r="F1795">
        <v>48.422752379999999</v>
      </c>
      <c r="G1795">
        <v>1743.2474365</v>
      </c>
      <c r="H1795">
        <v>1616.5633545000001</v>
      </c>
      <c r="I1795">
        <v>964.57543944999998</v>
      </c>
      <c r="J1795">
        <v>770.38482666000004</v>
      </c>
      <c r="K1795">
        <v>2400</v>
      </c>
      <c r="L1795">
        <v>0</v>
      </c>
      <c r="M1795">
        <v>0</v>
      </c>
      <c r="N1795">
        <v>2400</v>
      </c>
    </row>
    <row r="1796" spans="1:14" x14ac:dyDescent="0.25">
      <c r="A1796">
        <v>1476.1649170000001</v>
      </c>
      <c r="B1796" s="1">
        <f>DATE(2014,5,16) + TIME(3,57,28)</f>
        <v>41775.164907407408</v>
      </c>
      <c r="C1796">
        <v>80</v>
      </c>
      <c r="D1796">
        <v>79.968154906999999</v>
      </c>
      <c r="E1796">
        <v>50</v>
      </c>
      <c r="F1796">
        <v>48.390205383000001</v>
      </c>
      <c r="G1796">
        <v>1745.9520264</v>
      </c>
      <c r="H1796">
        <v>1619.2758789</v>
      </c>
      <c r="I1796">
        <v>961.37005614999998</v>
      </c>
      <c r="J1796">
        <v>767.15765381000006</v>
      </c>
      <c r="K1796">
        <v>2400</v>
      </c>
      <c r="L1796">
        <v>0</v>
      </c>
      <c r="M1796">
        <v>0</v>
      </c>
      <c r="N1796">
        <v>2400</v>
      </c>
    </row>
    <row r="1797" spans="1:14" x14ac:dyDescent="0.25">
      <c r="A1797">
        <v>1476.7682420000001</v>
      </c>
      <c r="B1797" s="1">
        <f>DATE(2014,5,16) + TIME(18,26,16)</f>
        <v>41775.768240740741</v>
      </c>
      <c r="C1797">
        <v>80</v>
      </c>
      <c r="D1797">
        <v>79.967391968000001</v>
      </c>
      <c r="E1797">
        <v>50</v>
      </c>
      <c r="F1797">
        <v>48.356353759999998</v>
      </c>
      <c r="G1797">
        <v>1748.6313477000001</v>
      </c>
      <c r="H1797">
        <v>1621.9626464999999</v>
      </c>
      <c r="I1797">
        <v>958.18041991999996</v>
      </c>
      <c r="J1797">
        <v>763.94549560999997</v>
      </c>
      <c r="K1797">
        <v>2400</v>
      </c>
      <c r="L1797">
        <v>0</v>
      </c>
      <c r="M1797">
        <v>0</v>
      </c>
      <c r="N1797">
        <v>2400</v>
      </c>
    </row>
    <row r="1798" spans="1:14" x14ac:dyDescent="0.25">
      <c r="A1798">
        <v>1477.407089</v>
      </c>
      <c r="B1798" s="1">
        <f>DATE(2014,5,17) + TIME(9,46,12)</f>
        <v>41776.407083333332</v>
      </c>
      <c r="C1798">
        <v>80</v>
      </c>
      <c r="D1798">
        <v>79.966644286999994</v>
      </c>
      <c r="E1798">
        <v>50</v>
      </c>
      <c r="F1798">
        <v>48.320964813000003</v>
      </c>
      <c r="G1798">
        <v>1751.2951660000001</v>
      </c>
      <c r="H1798">
        <v>1624.6336670000001</v>
      </c>
      <c r="I1798">
        <v>954.99487305000002</v>
      </c>
      <c r="J1798">
        <v>760.73645020000004</v>
      </c>
      <c r="K1798">
        <v>2400</v>
      </c>
      <c r="L1798">
        <v>0</v>
      </c>
      <c r="M1798">
        <v>0</v>
      </c>
      <c r="N1798">
        <v>2400</v>
      </c>
    </row>
    <row r="1799" spans="1:14" x14ac:dyDescent="0.25">
      <c r="A1799">
        <v>1478.0595760000001</v>
      </c>
      <c r="B1799" s="1">
        <f>DATE(2014,5,18) + TIME(1,25,47)</f>
        <v>41777.059571759259</v>
      </c>
      <c r="C1799">
        <v>80</v>
      </c>
      <c r="D1799">
        <v>79.965927124000004</v>
      </c>
      <c r="E1799">
        <v>50</v>
      </c>
      <c r="F1799">
        <v>48.284576416</v>
      </c>
      <c r="G1799">
        <v>1753.8380127</v>
      </c>
      <c r="H1799">
        <v>1627.1834716999999</v>
      </c>
      <c r="I1799">
        <v>951.92443848000005</v>
      </c>
      <c r="J1799">
        <v>757.64202881000006</v>
      </c>
      <c r="K1799">
        <v>2400</v>
      </c>
      <c r="L1799">
        <v>0</v>
      </c>
      <c r="M1799">
        <v>0</v>
      </c>
      <c r="N1799">
        <v>2400</v>
      </c>
    </row>
    <row r="1800" spans="1:14" x14ac:dyDescent="0.25">
      <c r="A1800">
        <v>1478.71578</v>
      </c>
      <c r="B1800" s="1">
        <f>DATE(2014,5,18) + TIME(17,10,43)</f>
        <v>41777.715775462966</v>
      </c>
      <c r="C1800">
        <v>80</v>
      </c>
      <c r="D1800">
        <v>79.965255737000007</v>
      </c>
      <c r="E1800">
        <v>50</v>
      </c>
      <c r="F1800">
        <v>48.247695923000002</v>
      </c>
      <c r="G1800">
        <v>1756.2315673999999</v>
      </c>
      <c r="H1800">
        <v>1629.5834961</v>
      </c>
      <c r="I1800">
        <v>949.00823975000003</v>
      </c>
      <c r="J1800">
        <v>754.70153808999999</v>
      </c>
      <c r="K1800">
        <v>2400</v>
      </c>
      <c r="L1800">
        <v>0</v>
      </c>
      <c r="M1800">
        <v>0</v>
      </c>
      <c r="N1800">
        <v>2400</v>
      </c>
    </row>
    <row r="1801" spans="1:14" x14ac:dyDescent="0.25">
      <c r="A1801">
        <v>1479.378653</v>
      </c>
      <c r="B1801" s="1">
        <f>DATE(2014,5,19) + TIME(9,5,15)</f>
        <v>41778.378645833334</v>
      </c>
      <c r="C1801">
        <v>80</v>
      </c>
      <c r="D1801">
        <v>79.964637756000002</v>
      </c>
      <c r="E1801">
        <v>50</v>
      </c>
      <c r="F1801">
        <v>48.210479736000003</v>
      </c>
      <c r="G1801">
        <v>1758.5009766000001</v>
      </c>
      <c r="H1801">
        <v>1631.8587646000001</v>
      </c>
      <c r="I1801">
        <v>946.22576904000005</v>
      </c>
      <c r="J1801">
        <v>751.89440918000003</v>
      </c>
      <c r="K1801">
        <v>2400</v>
      </c>
      <c r="L1801">
        <v>0</v>
      </c>
      <c r="M1801">
        <v>0</v>
      </c>
      <c r="N1801">
        <v>2400</v>
      </c>
    </row>
    <row r="1802" spans="1:14" x14ac:dyDescent="0.25">
      <c r="A1802">
        <v>1480.051134</v>
      </c>
      <c r="B1802" s="1">
        <f>DATE(2014,5,20) + TIME(1,13,37)</f>
        <v>41779.051122685189</v>
      </c>
      <c r="C1802">
        <v>80</v>
      </c>
      <c r="D1802">
        <v>79.964065551999994</v>
      </c>
      <c r="E1802">
        <v>50</v>
      </c>
      <c r="F1802">
        <v>48.172931671000001</v>
      </c>
      <c r="G1802">
        <v>1760.6641846</v>
      </c>
      <c r="H1802">
        <v>1634.0272216999999</v>
      </c>
      <c r="I1802">
        <v>943.55932616999996</v>
      </c>
      <c r="J1802">
        <v>749.20306396000001</v>
      </c>
      <c r="K1802">
        <v>2400</v>
      </c>
      <c r="L1802">
        <v>0</v>
      </c>
      <c r="M1802">
        <v>0</v>
      </c>
      <c r="N1802">
        <v>2400</v>
      </c>
    </row>
    <row r="1803" spans="1:14" x14ac:dyDescent="0.25">
      <c r="A1803">
        <v>1480.736355</v>
      </c>
      <c r="B1803" s="1">
        <f>DATE(2014,5,20) + TIME(17,40,21)</f>
        <v>41779.736354166664</v>
      </c>
      <c r="C1803">
        <v>80</v>
      </c>
      <c r="D1803">
        <v>79.963539123999993</v>
      </c>
      <c r="E1803">
        <v>50</v>
      </c>
      <c r="F1803">
        <v>48.134979248</v>
      </c>
      <c r="G1803">
        <v>1762.7352295000001</v>
      </c>
      <c r="H1803">
        <v>1636.1032714999999</v>
      </c>
      <c r="I1803">
        <v>940.99346923999997</v>
      </c>
      <c r="J1803">
        <v>746.61193848000005</v>
      </c>
      <c r="K1803">
        <v>2400</v>
      </c>
      <c r="L1803">
        <v>0</v>
      </c>
      <c r="M1803">
        <v>0</v>
      </c>
      <c r="N1803">
        <v>2400</v>
      </c>
    </row>
    <row r="1804" spans="1:14" x14ac:dyDescent="0.25">
      <c r="A1804">
        <v>1481.4376850000001</v>
      </c>
      <c r="B1804" s="1">
        <f>DATE(2014,5,21) + TIME(10,30,16)</f>
        <v>41780.437685185185</v>
      </c>
      <c r="C1804">
        <v>80</v>
      </c>
      <c r="D1804">
        <v>79.963035583000007</v>
      </c>
      <c r="E1804">
        <v>50</v>
      </c>
      <c r="F1804">
        <v>48.096496582</v>
      </c>
      <c r="G1804">
        <v>1764.7261963000001</v>
      </c>
      <c r="H1804">
        <v>1638.0987548999999</v>
      </c>
      <c r="I1804">
        <v>938.51477050999995</v>
      </c>
      <c r="J1804">
        <v>744.10748291000004</v>
      </c>
      <c r="K1804">
        <v>2400</v>
      </c>
      <c r="L1804">
        <v>0</v>
      </c>
      <c r="M1804">
        <v>0</v>
      </c>
      <c r="N1804">
        <v>2400</v>
      </c>
    </row>
    <row r="1805" spans="1:14" x14ac:dyDescent="0.25">
      <c r="A1805">
        <v>1482.1581120000001</v>
      </c>
      <c r="B1805" s="1">
        <f>DATE(2014,5,22) + TIME(3,47,40)</f>
        <v>41781.158101851855</v>
      </c>
      <c r="C1805">
        <v>80</v>
      </c>
      <c r="D1805">
        <v>79.962570189999994</v>
      </c>
      <c r="E1805">
        <v>50</v>
      </c>
      <c r="F1805">
        <v>48.057346344000003</v>
      </c>
      <c r="G1805">
        <v>1766.6455077999999</v>
      </c>
      <c r="H1805">
        <v>1640.0223389</v>
      </c>
      <c r="I1805">
        <v>936.11328125</v>
      </c>
      <c r="J1805">
        <v>741.6796875</v>
      </c>
      <c r="K1805">
        <v>2400</v>
      </c>
      <c r="L1805">
        <v>0</v>
      </c>
      <c r="M1805">
        <v>0</v>
      </c>
      <c r="N1805">
        <v>2400</v>
      </c>
    </row>
    <row r="1806" spans="1:14" x14ac:dyDescent="0.25">
      <c r="A1806">
        <v>1482.9013070000001</v>
      </c>
      <c r="B1806" s="1">
        <f>DATE(2014,5,22) + TIME(21,37,52)</f>
        <v>41781.901296296295</v>
      </c>
      <c r="C1806">
        <v>80</v>
      </c>
      <c r="D1806">
        <v>79.962127686000002</v>
      </c>
      <c r="E1806">
        <v>50</v>
      </c>
      <c r="F1806">
        <v>48.017368316999999</v>
      </c>
      <c r="G1806">
        <v>1768.5017089999999</v>
      </c>
      <c r="H1806">
        <v>1641.8824463000001</v>
      </c>
      <c r="I1806">
        <v>933.77929687999995</v>
      </c>
      <c r="J1806">
        <v>739.31866454999999</v>
      </c>
      <c r="K1806">
        <v>2400</v>
      </c>
      <c r="L1806">
        <v>0</v>
      </c>
      <c r="M1806">
        <v>0</v>
      </c>
      <c r="N1806">
        <v>2400</v>
      </c>
    </row>
    <row r="1807" spans="1:14" x14ac:dyDescent="0.25">
      <c r="A1807">
        <v>1483.6713810000001</v>
      </c>
      <c r="B1807" s="1">
        <f>DATE(2014,5,23) + TIME(16,6,47)</f>
        <v>41782.671377314815</v>
      </c>
      <c r="C1807">
        <v>80</v>
      </c>
      <c r="D1807">
        <v>79.961708068999997</v>
      </c>
      <c r="E1807">
        <v>50</v>
      </c>
      <c r="F1807">
        <v>47.976371765000003</v>
      </c>
      <c r="G1807">
        <v>1770.3018798999999</v>
      </c>
      <c r="H1807">
        <v>1643.6862793</v>
      </c>
      <c r="I1807">
        <v>931.50408935999997</v>
      </c>
      <c r="J1807">
        <v>737.01556396000001</v>
      </c>
      <c r="K1807">
        <v>2400</v>
      </c>
      <c r="L1807">
        <v>0</v>
      </c>
      <c r="M1807">
        <v>0</v>
      </c>
      <c r="N1807">
        <v>2400</v>
      </c>
    </row>
    <row r="1808" spans="1:14" x14ac:dyDescent="0.25">
      <c r="A1808">
        <v>1484.4730159999999</v>
      </c>
      <c r="B1808" s="1">
        <f>DATE(2014,5,24) + TIME(11,21,8)</f>
        <v>41783.473009259258</v>
      </c>
      <c r="C1808">
        <v>80</v>
      </c>
      <c r="D1808">
        <v>79.961303710999999</v>
      </c>
      <c r="E1808">
        <v>50</v>
      </c>
      <c r="F1808">
        <v>47.934146880999997</v>
      </c>
      <c r="G1808">
        <v>1772.0524902</v>
      </c>
      <c r="H1808">
        <v>1645.4404297000001</v>
      </c>
      <c r="I1808">
        <v>929.27966308999999</v>
      </c>
      <c r="J1808">
        <v>734.76220703000001</v>
      </c>
      <c r="K1808">
        <v>2400</v>
      </c>
      <c r="L1808">
        <v>0</v>
      </c>
      <c r="M1808">
        <v>0</v>
      </c>
      <c r="N1808">
        <v>2400</v>
      </c>
    </row>
    <row r="1809" spans="1:14" x14ac:dyDescent="0.25">
      <c r="A1809">
        <v>1485.3070729999999</v>
      </c>
      <c r="B1809" s="1">
        <f>DATE(2014,5,25) + TIME(7,22,11)</f>
        <v>41784.307071759256</v>
      </c>
      <c r="C1809">
        <v>80</v>
      </c>
      <c r="D1809">
        <v>79.960922241000006</v>
      </c>
      <c r="E1809">
        <v>50</v>
      </c>
      <c r="F1809">
        <v>47.890575409</v>
      </c>
      <c r="G1809">
        <v>1773.7493896000001</v>
      </c>
      <c r="H1809">
        <v>1647.1405029</v>
      </c>
      <c r="I1809">
        <v>927.10968018000005</v>
      </c>
      <c r="J1809">
        <v>732.56213378999996</v>
      </c>
      <c r="K1809">
        <v>2400</v>
      </c>
      <c r="L1809">
        <v>0</v>
      </c>
      <c r="M1809">
        <v>0</v>
      </c>
      <c r="N1809">
        <v>2400</v>
      </c>
    </row>
    <row r="1810" spans="1:14" x14ac:dyDescent="0.25">
      <c r="A1810">
        <v>1485.73578</v>
      </c>
      <c r="B1810" s="1">
        <f>DATE(2014,5,25) + TIME(17,39,31)</f>
        <v>41784.735775462963</v>
      </c>
      <c r="C1810">
        <v>80</v>
      </c>
      <c r="D1810">
        <v>79.960540770999998</v>
      </c>
      <c r="E1810">
        <v>50</v>
      </c>
      <c r="F1810">
        <v>47.860027313000003</v>
      </c>
      <c r="G1810">
        <v>1774.4938964999999</v>
      </c>
      <c r="H1810">
        <v>1647.8879394999999</v>
      </c>
      <c r="I1810">
        <v>926.00518798999997</v>
      </c>
      <c r="J1810">
        <v>731.43878173999997</v>
      </c>
      <c r="K1810">
        <v>2400</v>
      </c>
      <c r="L1810">
        <v>0</v>
      </c>
      <c r="M1810">
        <v>0</v>
      </c>
      <c r="N1810">
        <v>2400</v>
      </c>
    </row>
    <row r="1811" spans="1:14" x14ac:dyDescent="0.25">
      <c r="A1811">
        <v>1486.164487</v>
      </c>
      <c r="B1811" s="1">
        <f>DATE(2014,5,26) + TIME(3,56,51)</f>
        <v>41785.164479166669</v>
      </c>
      <c r="C1811">
        <v>80</v>
      </c>
      <c r="D1811">
        <v>79.96031189</v>
      </c>
      <c r="E1811">
        <v>50</v>
      </c>
      <c r="F1811">
        <v>47.832225800000003</v>
      </c>
      <c r="G1811">
        <v>1775.2478027</v>
      </c>
      <c r="H1811">
        <v>1648.6433105000001</v>
      </c>
      <c r="I1811">
        <v>924.95013428000004</v>
      </c>
      <c r="J1811">
        <v>730.36322021000001</v>
      </c>
      <c r="K1811">
        <v>2400</v>
      </c>
      <c r="L1811">
        <v>0</v>
      </c>
      <c r="M1811">
        <v>0</v>
      </c>
      <c r="N1811">
        <v>2400</v>
      </c>
    </row>
    <row r="1812" spans="1:14" x14ac:dyDescent="0.25">
      <c r="A1812">
        <v>1486.5931929999999</v>
      </c>
      <c r="B1812" s="1">
        <f>DATE(2014,5,26) + TIME(14,14,11)</f>
        <v>41785.593182870369</v>
      </c>
      <c r="C1812">
        <v>80</v>
      </c>
      <c r="D1812">
        <v>79.960151671999995</v>
      </c>
      <c r="E1812">
        <v>50</v>
      </c>
      <c r="F1812">
        <v>47.806190491000002</v>
      </c>
      <c r="G1812">
        <v>1775.9960937999999</v>
      </c>
      <c r="H1812">
        <v>1649.3929443</v>
      </c>
      <c r="I1812">
        <v>923.93145751999998</v>
      </c>
      <c r="J1812">
        <v>729.32543944999998</v>
      </c>
      <c r="K1812">
        <v>2400</v>
      </c>
      <c r="L1812">
        <v>0</v>
      </c>
      <c r="M1812">
        <v>0</v>
      </c>
      <c r="N1812">
        <v>2400</v>
      </c>
    </row>
    <row r="1813" spans="1:14" x14ac:dyDescent="0.25">
      <c r="A1813">
        <v>1487.450607</v>
      </c>
      <c r="B1813" s="1">
        <f>DATE(2014,5,27) + TIME(10,48,52)</f>
        <v>41786.450601851851</v>
      </c>
      <c r="C1813">
        <v>80</v>
      </c>
      <c r="D1813">
        <v>79.960083007999998</v>
      </c>
      <c r="E1813">
        <v>50</v>
      </c>
      <c r="F1813">
        <v>47.769714354999998</v>
      </c>
      <c r="G1813">
        <v>1777.5406493999999</v>
      </c>
      <c r="H1813">
        <v>1650.9388428</v>
      </c>
      <c r="I1813">
        <v>922.06030272999999</v>
      </c>
      <c r="J1813">
        <v>727.42565918000003</v>
      </c>
      <c r="K1813">
        <v>2400</v>
      </c>
      <c r="L1813">
        <v>0</v>
      </c>
      <c r="M1813">
        <v>0</v>
      </c>
      <c r="N1813">
        <v>2400</v>
      </c>
    </row>
    <row r="1814" spans="1:14" x14ac:dyDescent="0.25">
      <c r="A1814">
        <v>1488.3089990000001</v>
      </c>
      <c r="B1814" s="1">
        <f>DATE(2014,5,28) + TIME(7,24,57)</f>
        <v>41787.308993055558</v>
      </c>
      <c r="C1814">
        <v>80</v>
      </c>
      <c r="D1814">
        <v>79.959815978999998</v>
      </c>
      <c r="E1814">
        <v>50</v>
      </c>
      <c r="F1814">
        <v>47.728481293000002</v>
      </c>
      <c r="G1814">
        <v>1778.9195557</v>
      </c>
      <c r="H1814">
        <v>1652.3201904</v>
      </c>
      <c r="I1814">
        <v>920.28613281000003</v>
      </c>
      <c r="J1814">
        <v>725.62243651999995</v>
      </c>
      <c r="K1814">
        <v>2400</v>
      </c>
      <c r="L1814">
        <v>0</v>
      </c>
      <c r="M1814">
        <v>0</v>
      </c>
      <c r="N1814">
        <v>2400</v>
      </c>
    </row>
    <row r="1815" spans="1:14" x14ac:dyDescent="0.25">
      <c r="A1815">
        <v>1489.1779839999999</v>
      </c>
      <c r="B1815" s="1">
        <f>DATE(2014,5,29) + TIME(4,16,17)</f>
        <v>41788.177974537037</v>
      </c>
      <c r="C1815">
        <v>80</v>
      </c>
      <c r="D1815">
        <v>79.959518433</v>
      </c>
      <c r="E1815">
        <v>50</v>
      </c>
      <c r="F1815">
        <v>47.684890746999997</v>
      </c>
      <c r="G1815">
        <v>1780.1968993999999</v>
      </c>
      <c r="H1815">
        <v>1653.5997314000001</v>
      </c>
      <c r="I1815">
        <v>918.59912109000004</v>
      </c>
      <c r="J1815">
        <v>723.90368651999995</v>
      </c>
      <c r="K1815">
        <v>2400</v>
      </c>
      <c r="L1815">
        <v>0</v>
      </c>
      <c r="M1815">
        <v>0</v>
      </c>
      <c r="N1815">
        <v>2400</v>
      </c>
    </row>
    <row r="1816" spans="1:14" x14ac:dyDescent="0.25">
      <c r="A1816">
        <v>1490.062177</v>
      </c>
      <c r="B1816" s="1">
        <f>DATE(2014,5,30) + TIME(1,29,32)</f>
        <v>41789.062175925923</v>
      </c>
      <c r="C1816">
        <v>80</v>
      </c>
      <c r="D1816">
        <v>79.959243774000001</v>
      </c>
      <c r="E1816">
        <v>50</v>
      </c>
      <c r="F1816">
        <v>47.639892578000001</v>
      </c>
      <c r="G1816">
        <v>1781.3974608999999</v>
      </c>
      <c r="H1816">
        <v>1654.8022461</v>
      </c>
      <c r="I1816">
        <v>916.98895263999998</v>
      </c>
      <c r="J1816">
        <v>722.26000977000001</v>
      </c>
      <c r="K1816">
        <v>2400</v>
      </c>
      <c r="L1816">
        <v>0</v>
      </c>
      <c r="M1816">
        <v>0</v>
      </c>
      <c r="N1816">
        <v>2400</v>
      </c>
    </row>
    <row r="1817" spans="1:14" x14ac:dyDescent="0.25">
      <c r="A1817">
        <v>1490.9666130000001</v>
      </c>
      <c r="B1817" s="1">
        <f>DATE(2014,5,30) + TIME(23,11,55)</f>
        <v>41789.966608796298</v>
      </c>
      <c r="C1817">
        <v>80</v>
      </c>
      <c r="D1817">
        <v>79.958992003999995</v>
      </c>
      <c r="E1817">
        <v>50</v>
      </c>
      <c r="F1817">
        <v>47.593799591</v>
      </c>
      <c r="G1817">
        <v>1782.5339355000001</v>
      </c>
      <c r="H1817">
        <v>1655.9404297000001</v>
      </c>
      <c r="I1817">
        <v>915.44616699000005</v>
      </c>
      <c r="J1817">
        <v>720.68218993999994</v>
      </c>
      <c r="K1817">
        <v>2400</v>
      </c>
      <c r="L1817">
        <v>0</v>
      </c>
      <c r="M1817">
        <v>0</v>
      </c>
      <c r="N1817">
        <v>2400</v>
      </c>
    </row>
    <row r="1818" spans="1:14" x14ac:dyDescent="0.25">
      <c r="A1818">
        <v>1491.8967359999999</v>
      </c>
      <c r="B1818" s="1">
        <f>DATE(2014,5,31) + TIME(21,31,18)</f>
        <v>41790.896736111114</v>
      </c>
      <c r="C1818">
        <v>80</v>
      </c>
      <c r="D1818">
        <v>79.958755492999998</v>
      </c>
      <c r="E1818">
        <v>50</v>
      </c>
      <c r="F1818">
        <v>47.546611786</v>
      </c>
      <c r="G1818">
        <v>1783.614624</v>
      </c>
      <c r="H1818">
        <v>1657.0228271000001</v>
      </c>
      <c r="I1818">
        <v>913.96246338000003</v>
      </c>
      <c r="J1818">
        <v>719.16186522999999</v>
      </c>
      <c r="K1818">
        <v>2400</v>
      </c>
      <c r="L1818">
        <v>0</v>
      </c>
      <c r="M1818">
        <v>0</v>
      </c>
      <c r="N1818">
        <v>2400</v>
      </c>
    </row>
    <row r="1819" spans="1:14" x14ac:dyDescent="0.25">
      <c r="A1819">
        <v>1492</v>
      </c>
      <c r="B1819" s="1">
        <f>DATE(2014,6,1) + TIME(0,0,0)</f>
        <v>41791</v>
      </c>
      <c r="C1819">
        <v>80</v>
      </c>
      <c r="D1819">
        <v>79.958633422999995</v>
      </c>
      <c r="E1819">
        <v>50</v>
      </c>
      <c r="F1819">
        <v>47.536182404000002</v>
      </c>
      <c r="G1819">
        <v>1783.6975098</v>
      </c>
      <c r="H1819">
        <v>1657.1069336</v>
      </c>
      <c r="I1819">
        <v>913.76751708999996</v>
      </c>
      <c r="J1819">
        <v>718.96435546999999</v>
      </c>
      <c r="K1819">
        <v>2400</v>
      </c>
      <c r="L1819">
        <v>0</v>
      </c>
      <c r="M1819">
        <v>0</v>
      </c>
      <c r="N1819">
        <v>2400</v>
      </c>
    </row>
    <row r="1820" spans="1:14" x14ac:dyDescent="0.25">
      <c r="A1820">
        <v>1492.9617499999999</v>
      </c>
      <c r="B1820" s="1">
        <f>DATE(2014,6,1) + TIME(23,4,55)</f>
        <v>41791.961747685185</v>
      </c>
      <c r="C1820">
        <v>80</v>
      </c>
      <c r="D1820">
        <v>79.958496093999997</v>
      </c>
      <c r="E1820">
        <v>50</v>
      </c>
      <c r="F1820">
        <v>47.490589141999997</v>
      </c>
      <c r="G1820">
        <v>1784.7336425999999</v>
      </c>
      <c r="H1820">
        <v>1658.1435547000001</v>
      </c>
      <c r="I1820">
        <v>912.37231444999998</v>
      </c>
      <c r="J1820">
        <v>717.52667236000002</v>
      </c>
      <c r="K1820">
        <v>2400</v>
      </c>
      <c r="L1820">
        <v>0</v>
      </c>
      <c r="M1820">
        <v>0</v>
      </c>
      <c r="N1820">
        <v>2400</v>
      </c>
    </row>
    <row r="1821" spans="1:14" x14ac:dyDescent="0.25">
      <c r="A1821">
        <v>1493.966776</v>
      </c>
      <c r="B1821" s="1">
        <f>DATE(2014,6,2) + TIME(23,12,9)</f>
        <v>41792.966770833336</v>
      </c>
      <c r="C1821">
        <v>80</v>
      </c>
      <c r="D1821">
        <v>79.958328246999997</v>
      </c>
      <c r="E1821">
        <v>50</v>
      </c>
      <c r="F1821">
        <v>47.441837311</v>
      </c>
      <c r="G1821">
        <v>1785.7282714999999</v>
      </c>
      <c r="H1821">
        <v>1659.1395264</v>
      </c>
      <c r="I1821">
        <v>910.99285888999998</v>
      </c>
      <c r="J1821">
        <v>716.10760498000002</v>
      </c>
      <c r="K1821">
        <v>2400</v>
      </c>
      <c r="L1821">
        <v>0</v>
      </c>
      <c r="M1821">
        <v>0</v>
      </c>
      <c r="N1821">
        <v>2400</v>
      </c>
    </row>
    <row r="1822" spans="1:14" x14ac:dyDescent="0.25">
      <c r="A1822">
        <v>1494.4800720000001</v>
      </c>
      <c r="B1822" s="1">
        <f>DATE(2014,6,3) + TIME(11,31,18)</f>
        <v>41793.480069444442</v>
      </c>
      <c r="C1822">
        <v>80</v>
      </c>
      <c r="D1822">
        <v>79.958068847999996</v>
      </c>
      <c r="E1822">
        <v>50</v>
      </c>
      <c r="F1822">
        <v>47.406120299999998</v>
      </c>
      <c r="G1822">
        <v>1786.1252440999999</v>
      </c>
      <c r="H1822">
        <v>1659.5378418</v>
      </c>
      <c r="I1822">
        <v>910.27575683999999</v>
      </c>
      <c r="J1822">
        <v>715.36309814000003</v>
      </c>
      <c r="K1822">
        <v>2400</v>
      </c>
      <c r="L1822">
        <v>0</v>
      </c>
      <c r="M1822">
        <v>0</v>
      </c>
      <c r="N1822">
        <v>2400</v>
      </c>
    </row>
    <row r="1823" spans="1:14" x14ac:dyDescent="0.25">
      <c r="A1823">
        <v>1494.993367</v>
      </c>
      <c r="B1823" s="1">
        <f>DATE(2014,6,3) + TIME(23,50,26)</f>
        <v>41793.993356481478</v>
      </c>
      <c r="C1823">
        <v>80</v>
      </c>
      <c r="D1823">
        <v>79.957931518999999</v>
      </c>
      <c r="E1823">
        <v>50</v>
      </c>
      <c r="F1823">
        <v>47.374168396000002</v>
      </c>
      <c r="G1823">
        <v>1786.5303954999999</v>
      </c>
      <c r="H1823">
        <v>1659.9436035000001</v>
      </c>
      <c r="I1823">
        <v>909.60327147999999</v>
      </c>
      <c r="J1823">
        <v>714.66247558999999</v>
      </c>
      <c r="K1823">
        <v>2400</v>
      </c>
      <c r="L1823">
        <v>0</v>
      </c>
      <c r="M1823">
        <v>0</v>
      </c>
      <c r="N1823">
        <v>2400</v>
      </c>
    </row>
    <row r="1824" spans="1:14" x14ac:dyDescent="0.25">
      <c r="A1824">
        <v>1495.5066629999999</v>
      </c>
      <c r="B1824" s="1">
        <f>DATE(2014,6,4) + TIME(12,9,35)</f>
        <v>41794.506655092591</v>
      </c>
      <c r="C1824">
        <v>80</v>
      </c>
      <c r="D1824">
        <v>79.957855225000003</v>
      </c>
      <c r="E1824">
        <v>50</v>
      </c>
      <c r="F1824">
        <v>47.344467162999997</v>
      </c>
      <c r="G1824">
        <v>1786.9361572</v>
      </c>
      <c r="H1824">
        <v>1660.3498535000001</v>
      </c>
      <c r="I1824">
        <v>908.95849609000004</v>
      </c>
      <c r="J1824">
        <v>713.99133300999995</v>
      </c>
      <c r="K1824">
        <v>2400</v>
      </c>
      <c r="L1824">
        <v>0</v>
      </c>
      <c r="M1824">
        <v>0</v>
      </c>
      <c r="N1824">
        <v>2400</v>
      </c>
    </row>
    <row r="1825" spans="1:14" x14ac:dyDescent="0.25">
      <c r="A1825">
        <v>1496.5332539999999</v>
      </c>
      <c r="B1825" s="1">
        <f>DATE(2014,6,5) + TIME(12,47,53)</f>
        <v>41795.533252314817</v>
      </c>
      <c r="C1825">
        <v>80</v>
      </c>
      <c r="D1825">
        <v>79.957901000999996</v>
      </c>
      <c r="E1825">
        <v>50</v>
      </c>
      <c r="F1825">
        <v>47.304122925000001</v>
      </c>
      <c r="G1825">
        <v>1787.8165283000001</v>
      </c>
      <c r="H1825">
        <v>1661.230957</v>
      </c>
      <c r="I1825">
        <v>907.81396484000004</v>
      </c>
      <c r="J1825">
        <v>712.80908203000001</v>
      </c>
      <c r="K1825">
        <v>2400</v>
      </c>
      <c r="L1825">
        <v>0</v>
      </c>
      <c r="M1825">
        <v>0</v>
      </c>
      <c r="N1825">
        <v>2400</v>
      </c>
    </row>
    <row r="1826" spans="1:14" x14ac:dyDescent="0.25">
      <c r="A1826">
        <v>1497.562126</v>
      </c>
      <c r="B1826" s="1">
        <f>DATE(2014,6,6) + TIME(13,29,27)</f>
        <v>41796.562118055554</v>
      </c>
      <c r="C1826">
        <v>80</v>
      </c>
      <c r="D1826">
        <v>79.957778931000007</v>
      </c>
      <c r="E1826">
        <v>50</v>
      </c>
      <c r="F1826">
        <v>47.256851196</v>
      </c>
      <c r="G1826">
        <v>1788.5731201000001</v>
      </c>
      <c r="H1826">
        <v>1661.9886475000001</v>
      </c>
      <c r="I1826">
        <v>906.71942138999998</v>
      </c>
      <c r="J1826">
        <v>711.67279053000004</v>
      </c>
      <c r="K1826">
        <v>2400</v>
      </c>
      <c r="L1826">
        <v>0</v>
      </c>
      <c r="M1826">
        <v>0</v>
      </c>
      <c r="N1826">
        <v>2400</v>
      </c>
    </row>
    <row r="1827" spans="1:14" x14ac:dyDescent="0.25">
      <c r="A1827">
        <v>1498.6049439999999</v>
      </c>
      <c r="B1827" s="1">
        <f>DATE(2014,6,7) + TIME(14,31,7)</f>
        <v>41797.604942129627</v>
      </c>
      <c r="C1827">
        <v>80</v>
      </c>
      <c r="D1827">
        <v>79.957618713000002</v>
      </c>
      <c r="E1827">
        <v>50</v>
      </c>
      <c r="F1827">
        <v>47.206390380999999</v>
      </c>
      <c r="G1827">
        <v>1789.2514647999999</v>
      </c>
      <c r="H1827">
        <v>1662.6679687999999</v>
      </c>
      <c r="I1827">
        <v>905.68103026999995</v>
      </c>
      <c r="J1827">
        <v>710.58795166000004</v>
      </c>
      <c r="K1827">
        <v>2400</v>
      </c>
      <c r="L1827">
        <v>0</v>
      </c>
      <c r="M1827">
        <v>0</v>
      </c>
      <c r="N1827">
        <v>2400</v>
      </c>
    </row>
    <row r="1828" spans="1:14" x14ac:dyDescent="0.25">
      <c r="A1828">
        <v>1499.667743</v>
      </c>
      <c r="B1828" s="1">
        <f>DATE(2014,6,8) + TIME(16,1,33)</f>
        <v>41798.667743055557</v>
      </c>
      <c r="C1828">
        <v>80</v>
      </c>
      <c r="D1828">
        <v>79.957473754999995</v>
      </c>
      <c r="E1828">
        <v>50</v>
      </c>
      <c r="F1828">
        <v>47.154094696000001</v>
      </c>
      <c r="G1828">
        <v>1789.8713379000001</v>
      </c>
      <c r="H1828">
        <v>1663.2886963000001</v>
      </c>
      <c r="I1828">
        <v>904.69335937999995</v>
      </c>
      <c r="J1828">
        <v>709.55047606999995</v>
      </c>
      <c r="K1828">
        <v>2400</v>
      </c>
      <c r="L1828">
        <v>0</v>
      </c>
      <c r="M1828">
        <v>0</v>
      </c>
      <c r="N1828">
        <v>2400</v>
      </c>
    </row>
    <row r="1829" spans="1:14" x14ac:dyDescent="0.25">
      <c r="A1829">
        <v>1500.756985</v>
      </c>
      <c r="B1829" s="1">
        <f>DATE(2014,6,9) + TIME(18,10,3)</f>
        <v>41799.756979166668</v>
      </c>
      <c r="C1829">
        <v>80</v>
      </c>
      <c r="D1829">
        <v>79.957344054999993</v>
      </c>
      <c r="E1829">
        <v>50</v>
      </c>
      <c r="F1829">
        <v>47.100345611999998</v>
      </c>
      <c r="G1829">
        <v>1790.4418945</v>
      </c>
      <c r="H1829">
        <v>1663.8599853999999</v>
      </c>
      <c r="I1829">
        <v>903.75067138999998</v>
      </c>
      <c r="J1829">
        <v>708.55480956999997</v>
      </c>
      <c r="K1829">
        <v>2400</v>
      </c>
      <c r="L1829">
        <v>0</v>
      </c>
      <c r="M1829">
        <v>0</v>
      </c>
      <c r="N1829">
        <v>2400</v>
      </c>
    </row>
    <row r="1830" spans="1:14" x14ac:dyDescent="0.25">
      <c r="A1830">
        <v>1501.879747</v>
      </c>
      <c r="B1830" s="1">
        <f>DATE(2014,6,10) + TIME(21,6,50)</f>
        <v>41800.879745370374</v>
      </c>
      <c r="C1830">
        <v>80</v>
      </c>
      <c r="D1830">
        <v>79.957229613999999</v>
      </c>
      <c r="E1830">
        <v>50</v>
      </c>
      <c r="F1830">
        <v>47.045112609999997</v>
      </c>
      <c r="G1830">
        <v>1790.9682617000001</v>
      </c>
      <c r="H1830">
        <v>1664.3870850000001</v>
      </c>
      <c r="I1830">
        <v>902.84747314000003</v>
      </c>
      <c r="J1830">
        <v>707.59533691000001</v>
      </c>
      <c r="K1830">
        <v>2400</v>
      </c>
      <c r="L1830">
        <v>0</v>
      </c>
      <c r="M1830">
        <v>0</v>
      </c>
      <c r="N1830">
        <v>2400</v>
      </c>
    </row>
    <row r="1831" spans="1:14" x14ac:dyDescent="0.25">
      <c r="A1831">
        <v>1503.0438280000001</v>
      </c>
      <c r="B1831" s="1">
        <f>DATE(2014,6,12) + TIME(1,3,6)</f>
        <v>41802.043819444443</v>
      </c>
      <c r="C1831">
        <v>80</v>
      </c>
      <c r="D1831">
        <v>79.957130432</v>
      </c>
      <c r="E1831">
        <v>50</v>
      </c>
      <c r="F1831">
        <v>46.988162994</v>
      </c>
      <c r="G1831">
        <v>1791.4537353999999</v>
      </c>
      <c r="H1831">
        <v>1664.8732910000001</v>
      </c>
      <c r="I1831">
        <v>901.97875977000001</v>
      </c>
      <c r="J1831">
        <v>706.66662598000005</v>
      </c>
      <c r="K1831">
        <v>2400</v>
      </c>
      <c r="L1831">
        <v>0</v>
      </c>
      <c r="M1831">
        <v>0</v>
      </c>
      <c r="N1831">
        <v>2400</v>
      </c>
    </row>
    <row r="1832" spans="1:14" x14ac:dyDescent="0.25">
      <c r="A1832">
        <v>1504.2427270000001</v>
      </c>
      <c r="B1832" s="1">
        <f>DATE(2014,6,13) + TIME(5,49,31)</f>
        <v>41803.242719907408</v>
      </c>
      <c r="C1832">
        <v>80</v>
      </c>
      <c r="D1832">
        <v>79.957038878999995</v>
      </c>
      <c r="E1832">
        <v>50</v>
      </c>
      <c r="F1832">
        <v>46.929431915000002</v>
      </c>
      <c r="G1832">
        <v>1791.8924560999999</v>
      </c>
      <c r="H1832">
        <v>1665.3126221</v>
      </c>
      <c r="I1832">
        <v>901.14801024999997</v>
      </c>
      <c r="J1832">
        <v>705.77172852000001</v>
      </c>
      <c r="K1832">
        <v>2400</v>
      </c>
      <c r="L1832">
        <v>0</v>
      </c>
      <c r="M1832">
        <v>0</v>
      </c>
      <c r="N1832">
        <v>2400</v>
      </c>
    </row>
    <row r="1833" spans="1:14" x14ac:dyDescent="0.25">
      <c r="A1833">
        <v>1505.4559529999999</v>
      </c>
      <c r="B1833" s="1">
        <f>DATE(2014,6,14) + TIME(10,56,34)</f>
        <v>41804.455949074072</v>
      </c>
      <c r="C1833">
        <v>80</v>
      </c>
      <c r="D1833">
        <v>79.956947326999995</v>
      </c>
      <c r="E1833">
        <v>50</v>
      </c>
      <c r="F1833">
        <v>46.869335175000003</v>
      </c>
      <c r="G1833">
        <v>1792.2750243999999</v>
      </c>
      <c r="H1833">
        <v>1665.6958007999999</v>
      </c>
      <c r="I1833">
        <v>900.36462401999995</v>
      </c>
      <c r="J1833">
        <v>704.92034911999997</v>
      </c>
      <c r="K1833">
        <v>2400</v>
      </c>
      <c r="L1833">
        <v>0</v>
      </c>
      <c r="M1833">
        <v>0</v>
      </c>
      <c r="N1833">
        <v>2400</v>
      </c>
    </row>
    <row r="1834" spans="1:14" x14ac:dyDescent="0.25">
      <c r="A1834">
        <v>1506.6715850000001</v>
      </c>
      <c r="B1834" s="1">
        <f>DATE(2014,6,15) + TIME(16,7,4)</f>
        <v>41805.671574074076</v>
      </c>
      <c r="C1834">
        <v>80</v>
      </c>
      <c r="D1834">
        <v>79.956871032999999</v>
      </c>
      <c r="E1834">
        <v>50</v>
      </c>
      <c r="F1834">
        <v>46.808486938000001</v>
      </c>
      <c r="G1834">
        <v>1792.6016846</v>
      </c>
      <c r="H1834">
        <v>1666.0229492000001</v>
      </c>
      <c r="I1834">
        <v>899.63177489999998</v>
      </c>
      <c r="J1834">
        <v>704.11602783000001</v>
      </c>
      <c r="K1834">
        <v>2400</v>
      </c>
      <c r="L1834">
        <v>0</v>
      </c>
      <c r="M1834">
        <v>0</v>
      </c>
      <c r="N1834">
        <v>2400</v>
      </c>
    </row>
    <row r="1835" spans="1:14" x14ac:dyDescent="0.25">
      <c r="A1835">
        <v>1507.89744</v>
      </c>
      <c r="B1835" s="1">
        <f>DATE(2014,6,16) + TIME(21,32,18)</f>
        <v>41806.897430555553</v>
      </c>
      <c r="C1835">
        <v>80</v>
      </c>
      <c r="D1835">
        <v>79.956802367999998</v>
      </c>
      <c r="E1835">
        <v>50</v>
      </c>
      <c r="F1835">
        <v>46.747104645</v>
      </c>
      <c r="G1835">
        <v>1792.8815918</v>
      </c>
      <c r="H1835">
        <v>1666.3033447</v>
      </c>
      <c r="I1835">
        <v>898.94287109000004</v>
      </c>
      <c r="J1835">
        <v>703.35217284999999</v>
      </c>
      <c r="K1835">
        <v>2400</v>
      </c>
      <c r="L1835">
        <v>0</v>
      </c>
      <c r="M1835">
        <v>0</v>
      </c>
      <c r="N1835">
        <v>2400</v>
      </c>
    </row>
    <row r="1836" spans="1:14" x14ac:dyDescent="0.25">
      <c r="A1836">
        <v>1509.1403130000001</v>
      </c>
      <c r="B1836" s="1">
        <f>DATE(2014,6,18) + TIME(3,22,3)</f>
        <v>41808.1403125</v>
      </c>
      <c r="C1836">
        <v>80</v>
      </c>
      <c r="D1836">
        <v>79.956748962000006</v>
      </c>
      <c r="E1836">
        <v>50</v>
      </c>
      <c r="F1836">
        <v>46.685035706000001</v>
      </c>
      <c r="G1836">
        <v>1793.119751</v>
      </c>
      <c r="H1836">
        <v>1666.5419922000001</v>
      </c>
      <c r="I1836">
        <v>898.29156493999994</v>
      </c>
      <c r="J1836">
        <v>702.62213135000002</v>
      </c>
      <c r="K1836">
        <v>2400</v>
      </c>
      <c r="L1836">
        <v>0</v>
      </c>
      <c r="M1836">
        <v>0</v>
      </c>
      <c r="N1836">
        <v>2400</v>
      </c>
    </row>
    <row r="1837" spans="1:14" x14ac:dyDescent="0.25">
      <c r="A1837">
        <v>1510.4063309999999</v>
      </c>
      <c r="B1837" s="1">
        <f>DATE(2014,6,19) + TIME(9,45,7)</f>
        <v>41809.406331018516</v>
      </c>
      <c r="C1837">
        <v>80</v>
      </c>
      <c r="D1837">
        <v>79.956703185999999</v>
      </c>
      <c r="E1837">
        <v>50</v>
      </c>
      <c r="F1837">
        <v>46.622020720999998</v>
      </c>
      <c r="G1837">
        <v>1793.3194579999999</v>
      </c>
      <c r="H1837">
        <v>1666.7420654</v>
      </c>
      <c r="I1837">
        <v>897.67236328000001</v>
      </c>
      <c r="J1837">
        <v>701.91992187999995</v>
      </c>
      <c r="K1837">
        <v>2400</v>
      </c>
      <c r="L1837">
        <v>0</v>
      </c>
      <c r="M1837">
        <v>0</v>
      </c>
      <c r="N1837">
        <v>2400</v>
      </c>
    </row>
    <row r="1838" spans="1:14" x14ac:dyDescent="0.25">
      <c r="A1838">
        <v>1511.6931729999999</v>
      </c>
      <c r="B1838" s="1">
        <f>DATE(2014,6,20) + TIME(16,38,10)</f>
        <v>41810.693171296298</v>
      </c>
      <c r="C1838">
        <v>80</v>
      </c>
      <c r="D1838">
        <v>79.956657410000005</v>
      </c>
      <c r="E1838">
        <v>50</v>
      </c>
      <c r="F1838">
        <v>46.557903289999999</v>
      </c>
      <c r="G1838">
        <v>1793.4804687999999</v>
      </c>
      <c r="H1838">
        <v>1666.9034423999999</v>
      </c>
      <c r="I1838">
        <v>897.08300781000003</v>
      </c>
      <c r="J1838">
        <v>701.24285888999998</v>
      </c>
      <c r="K1838">
        <v>2400</v>
      </c>
      <c r="L1838">
        <v>0</v>
      </c>
      <c r="M1838">
        <v>0</v>
      </c>
      <c r="N1838">
        <v>2400</v>
      </c>
    </row>
    <row r="1839" spans="1:14" x14ac:dyDescent="0.25">
      <c r="A1839">
        <v>1513.007795</v>
      </c>
      <c r="B1839" s="1">
        <f>DATE(2014,6,22) + TIME(0,11,13)</f>
        <v>41812.007789351854</v>
      </c>
      <c r="C1839">
        <v>80</v>
      </c>
      <c r="D1839">
        <v>79.956626892000003</v>
      </c>
      <c r="E1839">
        <v>50</v>
      </c>
      <c r="F1839">
        <v>46.492515564000001</v>
      </c>
      <c r="G1839">
        <v>1793.6058350000001</v>
      </c>
      <c r="H1839">
        <v>1667.0291748</v>
      </c>
      <c r="I1839">
        <v>896.51916503999996</v>
      </c>
      <c r="J1839">
        <v>700.58618163999995</v>
      </c>
      <c r="K1839">
        <v>2400</v>
      </c>
      <c r="L1839">
        <v>0</v>
      </c>
      <c r="M1839">
        <v>0</v>
      </c>
      <c r="N1839">
        <v>2400</v>
      </c>
    </row>
    <row r="1840" spans="1:14" x14ac:dyDescent="0.25">
      <c r="A1840">
        <v>1514.358066</v>
      </c>
      <c r="B1840" s="1">
        <f>DATE(2014,6,23) + TIME(8,35,36)</f>
        <v>41813.358055555553</v>
      </c>
      <c r="C1840">
        <v>80</v>
      </c>
      <c r="D1840">
        <v>79.956596375000004</v>
      </c>
      <c r="E1840">
        <v>50</v>
      </c>
      <c r="F1840">
        <v>46.425540924000003</v>
      </c>
      <c r="G1840">
        <v>1793.6972656</v>
      </c>
      <c r="H1840">
        <v>1667.1208495999999</v>
      </c>
      <c r="I1840">
        <v>895.97637939000003</v>
      </c>
      <c r="J1840">
        <v>699.94458008000004</v>
      </c>
      <c r="K1840">
        <v>2400</v>
      </c>
      <c r="L1840">
        <v>0</v>
      </c>
      <c r="M1840">
        <v>0</v>
      </c>
      <c r="N1840">
        <v>2400</v>
      </c>
    </row>
    <row r="1841" spans="1:14" x14ac:dyDescent="0.25">
      <c r="A1841">
        <v>1515.7527620000001</v>
      </c>
      <c r="B1841" s="1">
        <f>DATE(2014,6,24) + TIME(18,3,58)</f>
        <v>41814.752754629626</v>
      </c>
      <c r="C1841">
        <v>80</v>
      </c>
      <c r="D1841">
        <v>79.956581115999995</v>
      </c>
      <c r="E1841">
        <v>50</v>
      </c>
      <c r="F1841">
        <v>46.356571197999997</v>
      </c>
      <c r="G1841">
        <v>1793.7558594</v>
      </c>
      <c r="H1841">
        <v>1667.1796875</v>
      </c>
      <c r="I1841">
        <v>895.45019531000003</v>
      </c>
      <c r="J1841">
        <v>699.31274413999995</v>
      </c>
      <c r="K1841">
        <v>2400</v>
      </c>
      <c r="L1841">
        <v>0</v>
      </c>
      <c r="M1841">
        <v>0</v>
      </c>
      <c r="N1841">
        <v>2400</v>
      </c>
    </row>
    <row r="1842" spans="1:14" x14ac:dyDescent="0.25">
      <c r="A1842">
        <v>1517.1637840000001</v>
      </c>
      <c r="B1842" s="1">
        <f>DATE(2014,6,26) + TIME(3,55,50)</f>
        <v>41816.163773148146</v>
      </c>
      <c r="C1842">
        <v>80</v>
      </c>
      <c r="D1842">
        <v>79.956558228000006</v>
      </c>
      <c r="E1842">
        <v>50</v>
      </c>
      <c r="F1842">
        <v>46.285804749</v>
      </c>
      <c r="G1842">
        <v>1793.776001</v>
      </c>
      <c r="H1842">
        <v>1667.2001952999999</v>
      </c>
      <c r="I1842">
        <v>894.94354248000002</v>
      </c>
      <c r="J1842">
        <v>698.69348145000004</v>
      </c>
      <c r="K1842">
        <v>2400</v>
      </c>
      <c r="L1842">
        <v>0</v>
      </c>
      <c r="M1842">
        <v>0</v>
      </c>
      <c r="N1842">
        <v>2400</v>
      </c>
    </row>
    <row r="1843" spans="1:14" x14ac:dyDescent="0.25">
      <c r="A1843">
        <v>1518.5749029999999</v>
      </c>
      <c r="B1843" s="1">
        <f>DATE(2014,6,27) + TIME(13,47,51)</f>
        <v>41817.574895833335</v>
      </c>
      <c r="C1843">
        <v>80</v>
      </c>
      <c r="D1843">
        <v>79.956542968999997</v>
      </c>
      <c r="E1843">
        <v>50</v>
      </c>
      <c r="F1843">
        <v>46.213989257999998</v>
      </c>
      <c r="G1843">
        <v>1793.7598877</v>
      </c>
      <c r="H1843">
        <v>1667.1842041</v>
      </c>
      <c r="I1843">
        <v>894.45880126999998</v>
      </c>
      <c r="J1843">
        <v>698.09008788999995</v>
      </c>
      <c r="K1843">
        <v>2400</v>
      </c>
      <c r="L1843">
        <v>0</v>
      </c>
      <c r="M1843">
        <v>0</v>
      </c>
      <c r="N1843">
        <v>2400</v>
      </c>
    </row>
    <row r="1844" spans="1:14" x14ac:dyDescent="0.25">
      <c r="A1844">
        <v>1519.993653</v>
      </c>
      <c r="B1844" s="1">
        <f>DATE(2014,6,28) + TIME(23,50,51)</f>
        <v>41818.993645833332</v>
      </c>
      <c r="C1844">
        <v>80</v>
      </c>
      <c r="D1844">
        <v>79.956535338999998</v>
      </c>
      <c r="E1844">
        <v>50</v>
      </c>
      <c r="F1844">
        <v>46.141494751000003</v>
      </c>
      <c r="G1844">
        <v>1793.7130127</v>
      </c>
      <c r="H1844">
        <v>1667.1376952999999</v>
      </c>
      <c r="I1844">
        <v>893.99395751999998</v>
      </c>
      <c r="J1844">
        <v>697.50079345999995</v>
      </c>
      <c r="K1844">
        <v>2400</v>
      </c>
      <c r="L1844">
        <v>0</v>
      </c>
      <c r="M1844">
        <v>0</v>
      </c>
      <c r="N1844">
        <v>2400</v>
      </c>
    </row>
    <row r="1845" spans="1:14" x14ac:dyDescent="0.25">
      <c r="A1845">
        <v>1521.4281329999999</v>
      </c>
      <c r="B1845" s="1">
        <f>DATE(2014,6,30) + TIME(10,16,30)</f>
        <v>41820.428124999999</v>
      </c>
      <c r="C1845">
        <v>80</v>
      </c>
      <c r="D1845">
        <v>79.956527710000003</v>
      </c>
      <c r="E1845">
        <v>50</v>
      </c>
      <c r="F1845">
        <v>46.068180083999998</v>
      </c>
      <c r="G1845">
        <v>1793.6389160000001</v>
      </c>
      <c r="H1845">
        <v>1667.0637207</v>
      </c>
      <c r="I1845">
        <v>893.54473876999998</v>
      </c>
      <c r="J1845">
        <v>696.92102050999995</v>
      </c>
      <c r="K1845">
        <v>2400</v>
      </c>
      <c r="L1845">
        <v>0</v>
      </c>
      <c r="M1845">
        <v>0</v>
      </c>
      <c r="N1845">
        <v>2400</v>
      </c>
    </row>
    <row r="1846" spans="1:14" x14ac:dyDescent="0.25">
      <c r="A1846">
        <v>1522</v>
      </c>
      <c r="B1846" s="1">
        <f>DATE(2014,7,1) + TIME(0,0,0)</f>
        <v>41821</v>
      </c>
      <c r="C1846">
        <v>80</v>
      </c>
      <c r="D1846">
        <v>79.956413268999995</v>
      </c>
      <c r="E1846">
        <v>50</v>
      </c>
      <c r="F1846">
        <v>46.019626617</v>
      </c>
      <c r="G1846">
        <v>1793.5396728999999</v>
      </c>
      <c r="H1846">
        <v>1666.9645995999999</v>
      </c>
      <c r="I1846">
        <v>893.25225829999999</v>
      </c>
      <c r="J1846">
        <v>696.53936768000005</v>
      </c>
      <c r="K1846">
        <v>2400</v>
      </c>
      <c r="L1846">
        <v>0</v>
      </c>
      <c r="M1846">
        <v>0</v>
      </c>
      <c r="N1846">
        <v>2400</v>
      </c>
    </row>
    <row r="1847" spans="1:14" x14ac:dyDescent="0.25">
      <c r="A1847">
        <v>1523.4582829999999</v>
      </c>
      <c r="B1847" s="1">
        <f>DATE(2014,7,2) + TIME(10,59,55)</f>
        <v>41822.458275462966</v>
      </c>
      <c r="C1847">
        <v>80</v>
      </c>
      <c r="D1847">
        <v>79.956527710000003</v>
      </c>
      <c r="E1847">
        <v>50</v>
      </c>
      <c r="F1847">
        <v>45.957328795999999</v>
      </c>
      <c r="G1847">
        <v>1793.4578856999999</v>
      </c>
      <c r="H1847">
        <v>1666.8830565999999</v>
      </c>
      <c r="I1847">
        <v>892.91247558999999</v>
      </c>
      <c r="J1847">
        <v>696.08135986000002</v>
      </c>
      <c r="K1847">
        <v>2400</v>
      </c>
      <c r="L1847">
        <v>0</v>
      </c>
      <c r="M1847">
        <v>0</v>
      </c>
      <c r="N1847">
        <v>2400</v>
      </c>
    </row>
    <row r="1848" spans="1:14" x14ac:dyDescent="0.25">
      <c r="A1848">
        <v>1524.963833</v>
      </c>
      <c r="B1848" s="1">
        <f>DATE(2014,7,3) + TIME(23,7,55)</f>
        <v>41823.963831018518</v>
      </c>
      <c r="C1848">
        <v>80</v>
      </c>
      <c r="D1848">
        <v>79.956565857000001</v>
      </c>
      <c r="E1848">
        <v>50</v>
      </c>
      <c r="F1848">
        <v>45.885231017999999</v>
      </c>
      <c r="G1848">
        <v>1793.3427733999999</v>
      </c>
      <c r="H1848">
        <v>1666.7681885</v>
      </c>
      <c r="I1848">
        <v>892.50048828000001</v>
      </c>
      <c r="J1848">
        <v>695.52984618999994</v>
      </c>
      <c r="K1848">
        <v>2400</v>
      </c>
      <c r="L1848">
        <v>0</v>
      </c>
      <c r="M1848">
        <v>0</v>
      </c>
      <c r="N1848">
        <v>2400</v>
      </c>
    </row>
    <row r="1849" spans="1:14" x14ac:dyDescent="0.25">
      <c r="A1849">
        <v>1526.5134640000001</v>
      </c>
      <c r="B1849" s="1">
        <f>DATE(2014,7,5) + TIME(12,19,23)</f>
        <v>41825.513460648152</v>
      </c>
      <c r="C1849">
        <v>80</v>
      </c>
      <c r="D1849">
        <v>79.956581115999995</v>
      </c>
      <c r="E1849">
        <v>50</v>
      </c>
      <c r="F1849">
        <v>45.807888030999997</v>
      </c>
      <c r="G1849">
        <v>1793.1911620999999</v>
      </c>
      <c r="H1849">
        <v>1666.6166992000001</v>
      </c>
      <c r="I1849">
        <v>892.07940673999997</v>
      </c>
      <c r="J1849">
        <v>694.95367432</v>
      </c>
      <c r="K1849">
        <v>2400</v>
      </c>
      <c r="L1849">
        <v>0</v>
      </c>
      <c r="M1849">
        <v>0</v>
      </c>
      <c r="N1849">
        <v>2400</v>
      </c>
    </row>
    <row r="1850" spans="1:14" x14ac:dyDescent="0.25">
      <c r="A1850">
        <v>1527.313024</v>
      </c>
      <c r="B1850" s="1">
        <f>DATE(2014,7,6) + TIME(7,30,45)</f>
        <v>41826.313020833331</v>
      </c>
      <c r="C1850">
        <v>80</v>
      </c>
      <c r="D1850">
        <v>79.956481933999996</v>
      </c>
      <c r="E1850">
        <v>50</v>
      </c>
      <c r="F1850">
        <v>45.746707915999998</v>
      </c>
      <c r="G1850">
        <v>1793.0380858999999</v>
      </c>
      <c r="H1850">
        <v>1666.4636230000001</v>
      </c>
      <c r="I1850">
        <v>891.73846435999997</v>
      </c>
      <c r="J1850">
        <v>694.48559569999998</v>
      </c>
      <c r="K1850">
        <v>2400</v>
      </c>
      <c r="L1850">
        <v>0</v>
      </c>
      <c r="M1850">
        <v>0</v>
      </c>
      <c r="N1850">
        <v>2400</v>
      </c>
    </row>
    <row r="1851" spans="1:14" x14ac:dyDescent="0.25">
      <c r="A1851">
        <v>1528.112584</v>
      </c>
      <c r="B1851" s="1">
        <f>DATE(2014,7,7) + TIME(2,42,7)</f>
        <v>41827.112581018519</v>
      </c>
      <c r="C1851">
        <v>80</v>
      </c>
      <c r="D1851">
        <v>79.956459045000003</v>
      </c>
      <c r="E1851">
        <v>50</v>
      </c>
      <c r="F1851">
        <v>45.695064545000001</v>
      </c>
      <c r="G1851">
        <v>1792.8956298999999</v>
      </c>
      <c r="H1851">
        <v>1666.3211670000001</v>
      </c>
      <c r="I1851">
        <v>891.48333739999998</v>
      </c>
      <c r="J1851">
        <v>694.12017821999996</v>
      </c>
      <c r="K1851">
        <v>2400</v>
      </c>
      <c r="L1851">
        <v>0</v>
      </c>
      <c r="M1851">
        <v>0</v>
      </c>
      <c r="N1851">
        <v>2400</v>
      </c>
    </row>
    <row r="1852" spans="1:14" x14ac:dyDescent="0.25">
      <c r="A1852">
        <v>1528.9121439999999</v>
      </c>
      <c r="B1852" s="1">
        <f>DATE(2014,7,7) + TIME(21,53,29)</f>
        <v>41827.912141203706</v>
      </c>
      <c r="C1852">
        <v>80</v>
      </c>
      <c r="D1852">
        <v>79.956481933999996</v>
      </c>
      <c r="E1852">
        <v>50</v>
      </c>
      <c r="F1852">
        <v>45.648033142000003</v>
      </c>
      <c r="G1852">
        <v>1792.7648925999999</v>
      </c>
      <c r="H1852">
        <v>1666.1905518000001</v>
      </c>
      <c r="I1852">
        <v>891.24761963000003</v>
      </c>
      <c r="J1852">
        <v>693.78234863</v>
      </c>
      <c r="K1852">
        <v>2400</v>
      </c>
      <c r="L1852">
        <v>0</v>
      </c>
      <c r="M1852">
        <v>0</v>
      </c>
      <c r="N1852">
        <v>2400</v>
      </c>
    </row>
    <row r="1853" spans="1:14" x14ac:dyDescent="0.25">
      <c r="A1853">
        <v>1529.7117029999999</v>
      </c>
      <c r="B1853" s="1">
        <f>DATE(2014,7,8) + TIME(17,4,51)</f>
        <v>41828.711701388886</v>
      </c>
      <c r="C1853">
        <v>80</v>
      </c>
      <c r="D1853">
        <v>79.956512450999995</v>
      </c>
      <c r="E1853">
        <v>50</v>
      </c>
      <c r="F1853">
        <v>45.603221892999997</v>
      </c>
      <c r="G1853">
        <v>1792.6392822</v>
      </c>
      <c r="H1853">
        <v>1666.0649414</v>
      </c>
      <c r="I1853">
        <v>891.02105713000003</v>
      </c>
      <c r="J1853">
        <v>693.45678711000005</v>
      </c>
      <c r="K1853">
        <v>2400</v>
      </c>
      <c r="L1853">
        <v>0</v>
      </c>
      <c r="M1853">
        <v>0</v>
      </c>
      <c r="N1853">
        <v>2400</v>
      </c>
    </row>
    <row r="1854" spans="1:14" x14ac:dyDescent="0.25">
      <c r="A1854">
        <v>1530.5112630000001</v>
      </c>
      <c r="B1854" s="1">
        <f>DATE(2014,7,9) + TIME(12,16,13)</f>
        <v>41829.511261574073</v>
      </c>
      <c r="C1854">
        <v>80</v>
      </c>
      <c r="D1854">
        <v>79.956550598000007</v>
      </c>
      <c r="E1854">
        <v>50</v>
      </c>
      <c r="F1854">
        <v>45.559448242000002</v>
      </c>
      <c r="G1854">
        <v>1792.5146483999999</v>
      </c>
      <c r="H1854">
        <v>1665.9404297000001</v>
      </c>
      <c r="I1854">
        <v>890.79986571999996</v>
      </c>
      <c r="J1854">
        <v>693.13714600000003</v>
      </c>
      <c r="K1854">
        <v>2400</v>
      </c>
      <c r="L1854">
        <v>0</v>
      </c>
      <c r="M1854">
        <v>0</v>
      </c>
      <c r="N1854">
        <v>2400</v>
      </c>
    </row>
    <row r="1855" spans="1:14" x14ac:dyDescent="0.25">
      <c r="A1855">
        <v>1532.110383</v>
      </c>
      <c r="B1855" s="1">
        <f>DATE(2014,7,11) + TIME(2,38,57)</f>
        <v>41831.110381944447</v>
      </c>
      <c r="C1855">
        <v>80</v>
      </c>
      <c r="D1855">
        <v>79.956703185999999</v>
      </c>
      <c r="E1855">
        <v>50</v>
      </c>
      <c r="F1855">
        <v>45.502071381</v>
      </c>
      <c r="G1855">
        <v>1792.3572998</v>
      </c>
      <c r="H1855">
        <v>1665.7833252</v>
      </c>
      <c r="I1855">
        <v>890.53417968999997</v>
      </c>
      <c r="J1855">
        <v>692.74096680000002</v>
      </c>
      <c r="K1855">
        <v>2400</v>
      </c>
      <c r="L1855">
        <v>0</v>
      </c>
      <c r="M1855">
        <v>0</v>
      </c>
      <c r="N1855">
        <v>2400</v>
      </c>
    </row>
    <row r="1856" spans="1:14" x14ac:dyDescent="0.25">
      <c r="A1856">
        <v>1533.7149460000001</v>
      </c>
      <c r="B1856" s="1">
        <f>DATE(2014,7,12) + TIME(17,9,31)</f>
        <v>41832.714942129627</v>
      </c>
      <c r="C1856">
        <v>80</v>
      </c>
      <c r="D1856">
        <v>79.956726074000002</v>
      </c>
      <c r="E1856">
        <v>50</v>
      </c>
      <c r="F1856">
        <v>45.425582886000001</v>
      </c>
      <c r="G1856">
        <v>1792.1416016000001</v>
      </c>
      <c r="H1856">
        <v>1665.5678711</v>
      </c>
      <c r="I1856">
        <v>890.14666748000002</v>
      </c>
      <c r="J1856">
        <v>692.17510986000002</v>
      </c>
      <c r="K1856">
        <v>2400</v>
      </c>
      <c r="L1856">
        <v>0</v>
      </c>
      <c r="M1856">
        <v>0</v>
      </c>
      <c r="N1856">
        <v>2400</v>
      </c>
    </row>
    <row r="1857" spans="1:14" x14ac:dyDescent="0.25">
      <c r="A1857">
        <v>1535.3482509999999</v>
      </c>
      <c r="B1857" s="1">
        <f>DATE(2014,7,14) + TIME(8,21,28)</f>
        <v>41834.348240740743</v>
      </c>
      <c r="C1857">
        <v>80</v>
      </c>
      <c r="D1857">
        <v>79.956741332999997</v>
      </c>
      <c r="E1857">
        <v>50</v>
      </c>
      <c r="F1857">
        <v>45.341938018999997</v>
      </c>
      <c r="G1857">
        <v>1791.8863524999999</v>
      </c>
      <c r="H1857">
        <v>1665.3126221</v>
      </c>
      <c r="I1857">
        <v>889.73760986000002</v>
      </c>
      <c r="J1857">
        <v>691.56500243999994</v>
      </c>
      <c r="K1857">
        <v>2400</v>
      </c>
      <c r="L1857">
        <v>0</v>
      </c>
      <c r="M1857">
        <v>0</v>
      </c>
      <c r="N1857">
        <v>2400</v>
      </c>
    </row>
    <row r="1858" spans="1:14" x14ac:dyDescent="0.25">
      <c r="A1858">
        <v>1537.018376</v>
      </c>
      <c r="B1858" s="1">
        <f>DATE(2014,7,16) + TIME(0,26,27)</f>
        <v>41836.018368055556</v>
      </c>
      <c r="C1858">
        <v>80</v>
      </c>
      <c r="D1858">
        <v>79.956756592000005</v>
      </c>
      <c r="E1858">
        <v>50</v>
      </c>
      <c r="F1858">
        <v>45.254455565999997</v>
      </c>
      <c r="G1858">
        <v>1791.6036377</v>
      </c>
      <c r="H1858">
        <v>1665.0299072</v>
      </c>
      <c r="I1858">
        <v>889.31597899999997</v>
      </c>
      <c r="J1858">
        <v>690.92681885000002</v>
      </c>
      <c r="K1858">
        <v>2400</v>
      </c>
      <c r="L1858">
        <v>0</v>
      </c>
      <c r="M1858">
        <v>0</v>
      </c>
      <c r="N1858">
        <v>2400</v>
      </c>
    </row>
    <row r="1859" spans="1:14" x14ac:dyDescent="0.25">
      <c r="A1859">
        <v>1538.7352659999999</v>
      </c>
      <c r="B1859" s="1">
        <f>DATE(2014,7,17) + TIME(17,38,47)</f>
        <v>41837.735266203701</v>
      </c>
      <c r="C1859">
        <v>80</v>
      </c>
      <c r="D1859">
        <v>79.956787109000004</v>
      </c>
      <c r="E1859">
        <v>50</v>
      </c>
      <c r="F1859">
        <v>45.163928986000002</v>
      </c>
      <c r="G1859">
        <v>1791.2972411999999</v>
      </c>
      <c r="H1859">
        <v>1664.7237548999999</v>
      </c>
      <c r="I1859">
        <v>888.88226318</v>
      </c>
      <c r="J1859">
        <v>690.26251220999995</v>
      </c>
      <c r="K1859">
        <v>2400</v>
      </c>
      <c r="L1859">
        <v>0</v>
      </c>
      <c r="M1859">
        <v>0</v>
      </c>
      <c r="N1859">
        <v>2400</v>
      </c>
    </row>
    <row r="1860" spans="1:14" x14ac:dyDescent="0.25">
      <c r="A1860">
        <v>1540.494868</v>
      </c>
      <c r="B1860" s="1">
        <f>DATE(2014,7,19) + TIME(11,52,36)</f>
        <v>41839.49486111111</v>
      </c>
      <c r="C1860">
        <v>80</v>
      </c>
      <c r="D1860">
        <v>79.956825256000002</v>
      </c>
      <c r="E1860">
        <v>50</v>
      </c>
      <c r="F1860">
        <v>45.070491791000002</v>
      </c>
      <c r="G1860">
        <v>1790.9692382999999</v>
      </c>
      <c r="H1860">
        <v>1664.3957519999999</v>
      </c>
      <c r="I1860">
        <v>888.43475341999999</v>
      </c>
      <c r="J1860">
        <v>689.56994628999996</v>
      </c>
      <c r="K1860">
        <v>2400</v>
      </c>
      <c r="L1860">
        <v>0</v>
      </c>
      <c r="M1860">
        <v>0</v>
      </c>
      <c r="N1860">
        <v>2400</v>
      </c>
    </row>
    <row r="1861" spans="1:14" x14ac:dyDescent="0.25">
      <c r="A1861">
        <v>1542.2964629999999</v>
      </c>
      <c r="B1861" s="1">
        <f>DATE(2014,7,21) + TIME(7,6,54)</f>
        <v>41841.296458333331</v>
      </c>
      <c r="C1861">
        <v>80</v>
      </c>
      <c r="D1861">
        <v>79.956863403</v>
      </c>
      <c r="E1861">
        <v>50</v>
      </c>
      <c r="F1861">
        <v>44.974273682000003</v>
      </c>
      <c r="G1861">
        <v>1790.6208495999999</v>
      </c>
      <c r="H1861">
        <v>1664.0474853999999</v>
      </c>
      <c r="I1861">
        <v>887.97302246000004</v>
      </c>
      <c r="J1861">
        <v>688.84863281000003</v>
      </c>
      <c r="K1861">
        <v>2400</v>
      </c>
      <c r="L1861">
        <v>0</v>
      </c>
      <c r="M1861">
        <v>0</v>
      </c>
      <c r="N1861">
        <v>2400</v>
      </c>
    </row>
    <row r="1862" spans="1:14" x14ac:dyDescent="0.25">
      <c r="A1862">
        <v>1544.118019</v>
      </c>
      <c r="B1862" s="1">
        <f>DATE(2014,7,23) + TIME(2,49,56)</f>
        <v>41843.118009259262</v>
      </c>
      <c r="C1862">
        <v>80</v>
      </c>
      <c r="D1862">
        <v>79.956901549999998</v>
      </c>
      <c r="E1862">
        <v>50</v>
      </c>
      <c r="F1862">
        <v>44.875667571999998</v>
      </c>
      <c r="G1862">
        <v>1790.255249</v>
      </c>
      <c r="H1862">
        <v>1663.6820068</v>
      </c>
      <c r="I1862">
        <v>887.49688720999995</v>
      </c>
      <c r="J1862">
        <v>688.09887694999998</v>
      </c>
      <c r="K1862">
        <v>2400</v>
      </c>
      <c r="L1862">
        <v>0</v>
      </c>
      <c r="M1862">
        <v>0</v>
      </c>
      <c r="N1862">
        <v>2400</v>
      </c>
    </row>
    <row r="1863" spans="1:14" x14ac:dyDescent="0.25">
      <c r="A1863">
        <v>1545.9477939999999</v>
      </c>
      <c r="B1863" s="1">
        <f>DATE(2014,7,24) + TIME(22,44,49)</f>
        <v>41844.947789351849</v>
      </c>
      <c r="C1863">
        <v>80</v>
      </c>
      <c r="D1863">
        <v>79.956947326999995</v>
      </c>
      <c r="E1863">
        <v>50</v>
      </c>
      <c r="F1863">
        <v>44.775493621999999</v>
      </c>
      <c r="G1863">
        <v>1789.8759766000001</v>
      </c>
      <c r="H1863">
        <v>1663.3028564000001</v>
      </c>
      <c r="I1863">
        <v>887.01000977000001</v>
      </c>
      <c r="J1863">
        <v>687.32623291000004</v>
      </c>
      <c r="K1863">
        <v>2400</v>
      </c>
      <c r="L1863">
        <v>0</v>
      </c>
      <c r="M1863">
        <v>0</v>
      </c>
      <c r="N1863">
        <v>2400</v>
      </c>
    </row>
    <row r="1864" spans="1:14" x14ac:dyDescent="0.25">
      <c r="A1864">
        <v>1547.7963749999999</v>
      </c>
      <c r="B1864" s="1">
        <f>DATE(2014,7,26) + TIME(19,6,46)</f>
        <v>41846.796365740738</v>
      </c>
      <c r="C1864">
        <v>80</v>
      </c>
      <c r="D1864">
        <v>79.956993103000002</v>
      </c>
      <c r="E1864">
        <v>50</v>
      </c>
      <c r="F1864">
        <v>44.674114226999997</v>
      </c>
      <c r="G1864">
        <v>1789.484375</v>
      </c>
      <c r="H1864">
        <v>1662.9112548999999</v>
      </c>
      <c r="I1864">
        <v>886.51470946999996</v>
      </c>
      <c r="J1864">
        <v>686.53393555000002</v>
      </c>
      <c r="K1864">
        <v>2400</v>
      </c>
      <c r="L1864">
        <v>0</v>
      </c>
      <c r="M1864">
        <v>0</v>
      </c>
      <c r="N1864">
        <v>2400</v>
      </c>
    </row>
    <row r="1865" spans="1:14" x14ac:dyDescent="0.25">
      <c r="A1865">
        <v>1549.6693110000001</v>
      </c>
      <c r="B1865" s="1">
        <f>DATE(2014,7,28) + TIME(16,3,48)</f>
        <v>41848.669305555559</v>
      </c>
      <c r="C1865">
        <v>80</v>
      </c>
      <c r="D1865">
        <v>79.957046508999994</v>
      </c>
      <c r="E1865">
        <v>50</v>
      </c>
      <c r="F1865">
        <v>44.571350098000003</v>
      </c>
      <c r="G1865">
        <v>1789.0805664</v>
      </c>
      <c r="H1865">
        <v>1662.5075684000001</v>
      </c>
      <c r="I1865">
        <v>886.00866699000005</v>
      </c>
      <c r="J1865">
        <v>685.71899413999995</v>
      </c>
      <c r="K1865">
        <v>2400</v>
      </c>
      <c r="L1865">
        <v>0</v>
      </c>
      <c r="M1865">
        <v>0</v>
      </c>
      <c r="N1865">
        <v>2400</v>
      </c>
    </row>
    <row r="1866" spans="1:14" x14ac:dyDescent="0.25">
      <c r="A1866">
        <v>1551.5624829999999</v>
      </c>
      <c r="B1866" s="1">
        <f>DATE(2014,7,30) + TIME(13,29,58)</f>
        <v>41850.562476851854</v>
      </c>
      <c r="C1866">
        <v>80</v>
      </c>
      <c r="D1866">
        <v>79.957092285000002</v>
      </c>
      <c r="E1866">
        <v>50</v>
      </c>
      <c r="F1866">
        <v>44.467121124000002</v>
      </c>
      <c r="G1866">
        <v>1788.6657714999999</v>
      </c>
      <c r="H1866">
        <v>1662.0927733999999</v>
      </c>
      <c r="I1866">
        <v>885.49029541000004</v>
      </c>
      <c r="J1866">
        <v>684.87927246000004</v>
      </c>
      <c r="K1866">
        <v>2400</v>
      </c>
      <c r="L1866">
        <v>0</v>
      </c>
      <c r="M1866">
        <v>0</v>
      </c>
      <c r="N1866">
        <v>2400</v>
      </c>
    </row>
    <row r="1867" spans="1:14" x14ac:dyDescent="0.25">
      <c r="A1867">
        <v>1553</v>
      </c>
      <c r="B1867" s="1">
        <f>DATE(2014,8,1) + TIME(0,0,0)</f>
        <v>41852</v>
      </c>
      <c r="C1867">
        <v>80</v>
      </c>
      <c r="D1867">
        <v>79.957092285000002</v>
      </c>
      <c r="E1867">
        <v>50</v>
      </c>
      <c r="F1867">
        <v>44.370677948000001</v>
      </c>
      <c r="G1867">
        <v>1788.3076172000001</v>
      </c>
      <c r="H1867">
        <v>1661.7347411999999</v>
      </c>
      <c r="I1867">
        <v>884.97351074000005</v>
      </c>
      <c r="J1867">
        <v>684.05633545000001</v>
      </c>
      <c r="K1867">
        <v>2400</v>
      </c>
      <c r="L1867">
        <v>0</v>
      </c>
      <c r="M1867">
        <v>0</v>
      </c>
      <c r="N1867">
        <v>2400</v>
      </c>
    </row>
    <row r="1868" spans="1:14" x14ac:dyDescent="0.25">
      <c r="A1868">
        <v>1554.9233360000001</v>
      </c>
      <c r="B1868" s="1">
        <f>DATE(2014,8,2) + TIME(22,9,36)</f>
        <v>41853.923333333332</v>
      </c>
      <c r="C1868">
        <v>80</v>
      </c>
      <c r="D1868">
        <v>79.957191467000001</v>
      </c>
      <c r="E1868">
        <v>50</v>
      </c>
      <c r="F1868">
        <v>44.276340484999999</v>
      </c>
      <c r="G1868">
        <v>1787.8923339999999</v>
      </c>
      <c r="H1868">
        <v>1661.3194579999999</v>
      </c>
      <c r="I1868">
        <v>884.53588866999996</v>
      </c>
      <c r="J1868">
        <v>683.31579590000001</v>
      </c>
      <c r="K1868">
        <v>2400</v>
      </c>
      <c r="L1868">
        <v>0</v>
      </c>
      <c r="M1868">
        <v>0</v>
      </c>
      <c r="N1868">
        <v>2400</v>
      </c>
    </row>
    <row r="1869" spans="1:14" x14ac:dyDescent="0.25">
      <c r="A1869">
        <v>1556.9278959999999</v>
      </c>
      <c r="B1869" s="1">
        <f>DATE(2014,8,4) + TIME(22,16,10)</f>
        <v>41855.927893518521</v>
      </c>
      <c r="C1869">
        <v>80</v>
      </c>
      <c r="D1869">
        <v>79.957260132000002</v>
      </c>
      <c r="E1869">
        <v>50</v>
      </c>
      <c r="F1869">
        <v>44.171466827000003</v>
      </c>
      <c r="G1869">
        <v>1787.4543457</v>
      </c>
      <c r="H1869">
        <v>1660.8815918</v>
      </c>
      <c r="I1869">
        <v>883.99810791000004</v>
      </c>
      <c r="J1869">
        <v>682.43261718999997</v>
      </c>
      <c r="K1869">
        <v>2400</v>
      </c>
      <c r="L1869">
        <v>0</v>
      </c>
      <c r="M1869">
        <v>0</v>
      </c>
      <c r="N1869">
        <v>2400</v>
      </c>
    </row>
    <row r="1870" spans="1:14" x14ac:dyDescent="0.25">
      <c r="A1870">
        <v>1558.957083</v>
      </c>
      <c r="B1870" s="1">
        <f>DATE(2014,8,6) + TIME(22,58,11)</f>
        <v>41857.957071759258</v>
      </c>
      <c r="C1870">
        <v>80</v>
      </c>
      <c r="D1870">
        <v>79.957313537999994</v>
      </c>
      <c r="E1870">
        <v>50</v>
      </c>
      <c r="F1870">
        <v>44.061145781999997</v>
      </c>
      <c r="G1870">
        <v>1786.9985352000001</v>
      </c>
      <c r="H1870">
        <v>1660.4259033000001</v>
      </c>
      <c r="I1870">
        <v>883.42401123000002</v>
      </c>
      <c r="J1870">
        <v>681.48638916000004</v>
      </c>
      <c r="K1870">
        <v>2400</v>
      </c>
      <c r="L1870">
        <v>0</v>
      </c>
      <c r="M1870">
        <v>0</v>
      </c>
      <c r="N1870">
        <v>2400</v>
      </c>
    </row>
    <row r="1871" spans="1:14" x14ac:dyDescent="0.25">
      <c r="A1871">
        <v>1561.0069920000001</v>
      </c>
      <c r="B1871" s="1">
        <f>DATE(2014,8,9) + TIME(0,10,4)</f>
        <v>41860.006990740738</v>
      </c>
      <c r="C1871">
        <v>80</v>
      </c>
      <c r="D1871">
        <v>79.957374572999996</v>
      </c>
      <c r="E1871">
        <v>50</v>
      </c>
      <c r="F1871">
        <v>43.948474883999999</v>
      </c>
      <c r="G1871">
        <v>1786.5301514</v>
      </c>
      <c r="H1871">
        <v>1659.9575195</v>
      </c>
      <c r="I1871">
        <v>882.83264159999999</v>
      </c>
      <c r="J1871">
        <v>680.50628661999997</v>
      </c>
      <c r="K1871">
        <v>2400</v>
      </c>
      <c r="L1871">
        <v>0</v>
      </c>
      <c r="M1871">
        <v>0</v>
      </c>
      <c r="N1871">
        <v>2400</v>
      </c>
    </row>
    <row r="1872" spans="1:14" x14ac:dyDescent="0.25">
      <c r="A1872">
        <v>1563.06591</v>
      </c>
      <c r="B1872" s="1">
        <f>DATE(2014,8,11) + TIME(1,34,54)</f>
        <v>41862.06590277778</v>
      </c>
      <c r="C1872">
        <v>80</v>
      </c>
      <c r="D1872">
        <v>79.957427979000002</v>
      </c>
      <c r="E1872">
        <v>50</v>
      </c>
      <c r="F1872">
        <v>43.834709167</v>
      </c>
      <c r="G1872">
        <v>1786.0535889</v>
      </c>
      <c r="H1872">
        <v>1659.4810791</v>
      </c>
      <c r="I1872">
        <v>882.22833251999998</v>
      </c>
      <c r="J1872">
        <v>679.50054932</v>
      </c>
      <c r="K1872">
        <v>2400</v>
      </c>
      <c r="L1872">
        <v>0</v>
      </c>
      <c r="M1872">
        <v>0</v>
      </c>
      <c r="N1872">
        <v>2400</v>
      </c>
    </row>
    <row r="1873" spans="1:14" x14ac:dyDescent="0.25">
      <c r="A1873">
        <v>1565.139664</v>
      </c>
      <c r="B1873" s="1">
        <f>DATE(2014,8,13) + TIME(3,21,6)</f>
        <v>41864.139652777776</v>
      </c>
      <c r="C1873">
        <v>80</v>
      </c>
      <c r="D1873">
        <v>79.957489014000004</v>
      </c>
      <c r="E1873">
        <v>50</v>
      </c>
      <c r="F1873">
        <v>43.720508574999997</v>
      </c>
      <c r="G1873">
        <v>1785.5703125</v>
      </c>
      <c r="H1873">
        <v>1658.9978027</v>
      </c>
      <c r="I1873">
        <v>881.61541748000002</v>
      </c>
      <c r="J1873">
        <v>678.47558593999997</v>
      </c>
      <c r="K1873">
        <v>2400</v>
      </c>
      <c r="L1873">
        <v>0</v>
      </c>
      <c r="M1873">
        <v>0</v>
      </c>
      <c r="N1873">
        <v>2400</v>
      </c>
    </row>
    <row r="1874" spans="1:14" x14ac:dyDescent="0.25">
      <c r="A1874">
        <v>1567.23891</v>
      </c>
      <c r="B1874" s="1">
        <f>DATE(2014,8,15) + TIME(5,44,1)</f>
        <v>41866.238900462966</v>
      </c>
      <c r="C1874">
        <v>80</v>
      </c>
      <c r="D1874">
        <v>79.957550049000005</v>
      </c>
      <c r="E1874">
        <v>50</v>
      </c>
      <c r="F1874">
        <v>43.605861664000003</v>
      </c>
      <c r="G1874">
        <v>1785.0793457</v>
      </c>
      <c r="H1874">
        <v>1658.5069579999999</v>
      </c>
      <c r="I1874">
        <v>880.99353026999995</v>
      </c>
      <c r="J1874">
        <v>677.43121338000003</v>
      </c>
      <c r="K1874">
        <v>2400</v>
      </c>
      <c r="L1874">
        <v>0</v>
      </c>
      <c r="M1874">
        <v>0</v>
      </c>
      <c r="N1874">
        <v>2400</v>
      </c>
    </row>
    <row r="1875" spans="1:14" x14ac:dyDescent="0.25">
      <c r="A1875">
        <v>1569.374896</v>
      </c>
      <c r="B1875" s="1">
        <f>DATE(2014,8,17) + TIME(8,59,51)</f>
        <v>41868.374895833331</v>
      </c>
      <c r="C1875">
        <v>80</v>
      </c>
      <c r="D1875">
        <v>79.957611084000007</v>
      </c>
      <c r="E1875">
        <v>50</v>
      </c>
      <c r="F1875">
        <v>43.490451813</v>
      </c>
      <c r="G1875">
        <v>1784.5794678</v>
      </c>
      <c r="H1875">
        <v>1658.0072021000001</v>
      </c>
      <c r="I1875">
        <v>880.36065673999997</v>
      </c>
      <c r="J1875">
        <v>676.36401366999996</v>
      </c>
      <c r="K1875">
        <v>2400</v>
      </c>
      <c r="L1875">
        <v>0</v>
      </c>
      <c r="M1875">
        <v>0</v>
      </c>
      <c r="N1875">
        <v>2400</v>
      </c>
    </row>
    <row r="1876" spans="1:14" x14ac:dyDescent="0.25">
      <c r="A1876">
        <v>1571.5605700000001</v>
      </c>
      <c r="B1876" s="1">
        <f>DATE(2014,8,19) + TIME(13,27,13)</f>
        <v>41870.560567129629</v>
      </c>
      <c r="C1876">
        <v>80</v>
      </c>
      <c r="D1876">
        <v>79.957679748999993</v>
      </c>
      <c r="E1876">
        <v>50</v>
      </c>
      <c r="F1876">
        <v>43.373874663999999</v>
      </c>
      <c r="G1876">
        <v>1784.0684814000001</v>
      </c>
      <c r="H1876">
        <v>1657.4962158000001</v>
      </c>
      <c r="I1876">
        <v>879.71441649999997</v>
      </c>
      <c r="J1876">
        <v>675.26983643000005</v>
      </c>
      <c r="K1876">
        <v>2400</v>
      </c>
      <c r="L1876">
        <v>0</v>
      </c>
      <c r="M1876">
        <v>0</v>
      </c>
      <c r="N1876">
        <v>2400</v>
      </c>
    </row>
    <row r="1877" spans="1:14" x14ac:dyDescent="0.25">
      <c r="A1877">
        <v>1573.7744499999999</v>
      </c>
      <c r="B1877" s="1">
        <f>DATE(2014,8,21) + TIME(18,35,12)</f>
        <v>41872.774444444447</v>
      </c>
      <c r="C1877">
        <v>80</v>
      </c>
      <c r="D1877">
        <v>79.957740783999995</v>
      </c>
      <c r="E1877">
        <v>50</v>
      </c>
      <c r="F1877">
        <v>43.256118774000001</v>
      </c>
      <c r="G1877">
        <v>1783.5490723</v>
      </c>
      <c r="H1877">
        <v>1656.9768065999999</v>
      </c>
      <c r="I1877">
        <v>879.05230713000003</v>
      </c>
      <c r="J1877">
        <v>674.14593506000006</v>
      </c>
      <c r="K1877">
        <v>2400</v>
      </c>
      <c r="L1877">
        <v>0</v>
      </c>
      <c r="M1877">
        <v>0</v>
      </c>
      <c r="N1877">
        <v>2400</v>
      </c>
    </row>
    <row r="1878" spans="1:14" x14ac:dyDescent="0.25">
      <c r="A1878">
        <v>1576.0129629999999</v>
      </c>
      <c r="B1878" s="1">
        <f>DATE(2014,8,24) + TIME(0,18,40)</f>
        <v>41875.012962962966</v>
      </c>
      <c r="C1878">
        <v>80</v>
      </c>
      <c r="D1878">
        <v>79.957809448000006</v>
      </c>
      <c r="E1878">
        <v>50</v>
      </c>
      <c r="F1878">
        <v>43.137950897000003</v>
      </c>
      <c r="G1878">
        <v>1783.0223389</v>
      </c>
      <c r="H1878">
        <v>1656.4503173999999</v>
      </c>
      <c r="I1878">
        <v>878.38067626999998</v>
      </c>
      <c r="J1878">
        <v>673.00152588000003</v>
      </c>
      <c r="K1878">
        <v>2400</v>
      </c>
      <c r="L1878">
        <v>0</v>
      </c>
      <c r="M1878">
        <v>0</v>
      </c>
      <c r="N1878">
        <v>2400</v>
      </c>
    </row>
    <row r="1879" spans="1:14" x14ac:dyDescent="0.25">
      <c r="A1879">
        <v>1578.279186</v>
      </c>
      <c r="B1879" s="1">
        <f>DATE(2014,8,26) + TIME(6,42,1)</f>
        <v>41877.279178240744</v>
      </c>
      <c r="C1879">
        <v>80</v>
      </c>
      <c r="D1879">
        <v>79.957878113000007</v>
      </c>
      <c r="E1879">
        <v>50</v>
      </c>
      <c r="F1879">
        <v>43.019805908000002</v>
      </c>
      <c r="G1879">
        <v>1782.4888916</v>
      </c>
      <c r="H1879">
        <v>1655.9167480000001</v>
      </c>
      <c r="I1879">
        <v>877.70239258000004</v>
      </c>
      <c r="J1879">
        <v>671.84136963000003</v>
      </c>
      <c r="K1879">
        <v>2400</v>
      </c>
      <c r="L1879">
        <v>0</v>
      </c>
      <c r="M1879">
        <v>0</v>
      </c>
      <c r="N1879">
        <v>2400</v>
      </c>
    </row>
    <row r="1880" spans="1:14" x14ac:dyDescent="0.25">
      <c r="A1880">
        <v>1580.5565220000001</v>
      </c>
      <c r="B1880" s="1">
        <f>DATE(2014,8,28) + TIME(13,21,23)</f>
        <v>41879.556516203702</v>
      </c>
      <c r="C1880">
        <v>80</v>
      </c>
      <c r="D1880">
        <v>79.957939147999994</v>
      </c>
      <c r="E1880">
        <v>50</v>
      </c>
      <c r="F1880">
        <v>42.902141571000001</v>
      </c>
      <c r="G1880">
        <v>1781.9514160000001</v>
      </c>
      <c r="H1880">
        <v>1655.3793945</v>
      </c>
      <c r="I1880">
        <v>877.01873779000005</v>
      </c>
      <c r="J1880">
        <v>670.66833496000004</v>
      </c>
      <c r="K1880">
        <v>2400</v>
      </c>
      <c r="L1880">
        <v>0</v>
      </c>
      <c r="M1880">
        <v>0</v>
      </c>
      <c r="N1880">
        <v>2400</v>
      </c>
    </row>
    <row r="1881" spans="1:14" x14ac:dyDescent="0.25">
      <c r="A1881">
        <v>1582.8565129999999</v>
      </c>
      <c r="B1881" s="1">
        <f>DATE(2014,8,30) + TIME(20,33,22)</f>
        <v>41881.856504629628</v>
      </c>
      <c r="C1881">
        <v>80</v>
      </c>
      <c r="D1881">
        <v>79.958007812000005</v>
      </c>
      <c r="E1881">
        <v>50</v>
      </c>
      <c r="F1881">
        <v>42.785556792999998</v>
      </c>
      <c r="G1881">
        <v>1781.4091797000001</v>
      </c>
      <c r="H1881">
        <v>1654.8371582</v>
      </c>
      <c r="I1881">
        <v>876.33569336000005</v>
      </c>
      <c r="J1881">
        <v>669.49108887</v>
      </c>
      <c r="K1881">
        <v>2400</v>
      </c>
      <c r="L1881">
        <v>0</v>
      </c>
      <c r="M1881">
        <v>0</v>
      </c>
      <c r="N1881">
        <v>2400</v>
      </c>
    </row>
    <row r="1882" spans="1:14" x14ac:dyDescent="0.25">
      <c r="A1882">
        <v>1584</v>
      </c>
      <c r="B1882" s="1">
        <f>DATE(2014,9,1) + TIME(0,0,0)</f>
        <v>41883</v>
      </c>
      <c r="C1882">
        <v>80</v>
      </c>
      <c r="D1882">
        <v>79.957977295000006</v>
      </c>
      <c r="E1882">
        <v>50</v>
      </c>
      <c r="F1882">
        <v>42.693496703999998</v>
      </c>
      <c r="G1882">
        <v>1781.0859375</v>
      </c>
      <c r="H1882">
        <v>1654.5139160000001</v>
      </c>
      <c r="I1882">
        <v>875.69177246000004</v>
      </c>
      <c r="J1882">
        <v>668.44219970999995</v>
      </c>
      <c r="K1882">
        <v>2400</v>
      </c>
      <c r="L1882">
        <v>0</v>
      </c>
      <c r="M1882">
        <v>0</v>
      </c>
      <c r="N1882">
        <v>2400</v>
      </c>
    </row>
    <row r="1883" spans="1:14" x14ac:dyDescent="0.25">
      <c r="A1883">
        <v>1586.334891</v>
      </c>
      <c r="B1883" s="1">
        <f>DATE(2014,9,3) + TIME(8,2,14)</f>
        <v>41885.33488425926</v>
      </c>
      <c r="C1883">
        <v>80</v>
      </c>
      <c r="D1883">
        <v>79.958106994999994</v>
      </c>
      <c r="E1883">
        <v>50</v>
      </c>
      <c r="F1883">
        <v>42.605140685999999</v>
      </c>
      <c r="G1883">
        <v>1780.5548096</v>
      </c>
      <c r="H1883">
        <v>1653.9829102000001</v>
      </c>
      <c r="I1883">
        <v>875.28900146000001</v>
      </c>
      <c r="J1883">
        <v>667.66137694999998</v>
      </c>
      <c r="K1883">
        <v>2400</v>
      </c>
      <c r="L1883">
        <v>0</v>
      </c>
      <c r="M1883">
        <v>0</v>
      </c>
      <c r="N1883">
        <v>2400</v>
      </c>
    </row>
    <row r="1884" spans="1:14" x14ac:dyDescent="0.25">
      <c r="A1884">
        <v>1588.741923</v>
      </c>
      <c r="B1884" s="1">
        <f>DATE(2014,9,5) + TIME(17,48,22)</f>
        <v>41887.7419212963</v>
      </c>
      <c r="C1884">
        <v>80</v>
      </c>
      <c r="D1884">
        <v>79.958198546999995</v>
      </c>
      <c r="E1884">
        <v>50</v>
      </c>
      <c r="F1884">
        <v>42.498210907000001</v>
      </c>
      <c r="G1884">
        <v>1780.0092772999999</v>
      </c>
      <c r="H1884">
        <v>1653.4375</v>
      </c>
      <c r="I1884">
        <v>874.63446045000001</v>
      </c>
      <c r="J1884">
        <v>666.53063965000001</v>
      </c>
      <c r="K1884">
        <v>2400</v>
      </c>
      <c r="L1884">
        <v>0</v>
      </c>
      <c r="M1884">
        <v>0</v>
      </c>
      <c r="N1884">
        <v>2400</v>
      </c>
    </row>
    <row r="1885" spans="1:14" x14ac:dyDescent="0.25">
      <c r="A1885">
        <v>1591.168813</v>
      </c>
      <c r="B1885" s="1">
        <f>DATE(2014,9,8) + TIME(4,3,5)</f>
        <v>41890.168807870374</v>
      </c>
      <c r="C1885">
        <v>80</v>
      </c>
      <c r="D1885">
        <v>79.958267211999996</v>
      </c>
      <c r="E1885">
        <v>50</v>
      </c>
      <c r="F1885">
        <v>42.386940002000003</v>
      </c>
      <c r="G1885">
        <v>1779.4505615</v>
      </c>
      <c r="H1885">
        <v>1652.8787841999999</v>
      </c>
      <c r="I1885">
        <v>873.95056151999995</v>
      </c>
      <c r="J1885">
        <v>665.34210204999999</v>
      </c>
      <c r="K1885">
        <v>2400</v>
      </c>
      <c r="L1885">
        <v>0</v>
      </c>
      <c r="M1885">
        <v>0</v>
      </c>
      <c r="N1885">
        <v>2400</v>
      </c>
    </row>
    <row r="1886" spans="1:14" x14ac:dyDescent="0.25">
      <c r="A1886">
        <v>1593.6232460000001</v>
      </c>
      <c r="B1886" s="1">
        <f>DATE(2014,9,10) + TIME(14,57,28)</f>
        <v>41892.623240740744</v>
      </c>
      <c r="C1886">
        <v>80</v>
      </c>
      <c r="D1886">
        <v>79.958335876000007</v>
      </c>
      <c r="E1886">
        <v>50</v>
      </c>
      <c r="F1886">
        <v>42.276737212999997</v>
      </c>
      <c r="G1886">
        <v>1778.8823242000001</v>
      </c>
      <c r="H1886">
        <v>1652.3106689000001</v>
      </c>
      <c r="I1886">
        <v>873.27044678000004</v>
      </c>
      <c r="J1886">
        <v>664.15222168000003</v>
      </c>
      <c r="K1886">
        <v>2400</v>
      </c>
      <c r="L1886">
        <v>0</v>
      </c>
      <c r="M1886">
        <v>0</v>
      </c>
      <c r="N1886">
        <v>2400</v>
      </c>
    </row>
    <row r="1887" spans="1:14" x14ac:dyDescent="0.25">
      <c r="A1887">
        <v>1596.0926589999999</v>
      </c>
      <c r="B1887" s="1">
        <f>DATE(2014,9,13) + TIME(2,13,25)</f>
        <v>41895.092650462961</v>
      </c>
      <c r="C1887">
        <v>80</v>
      </c>
      <c r="D1887">
        <v>79.958396911999998</v>
      </c>
      <c r="E1887">
        <v>50</v>
      </c>
      <c r="F1887">
        <v>42.169231414999999</v>
      </c>
      <c r="G1887">
        <v>1778.3093262</v>
      </c>
      <c r="H1887">
        <v>1651.7376709</v>
      </c>
      <c r="I1887">
        <v>872.59893798999997</v>
      </c>
      <c r="J1887">
        <v>662.97302246000004</v>
      </c>
      <c r="K1887">
        <v>2400</v>
      </c>
      <c r="L1887">
        <v>0</v>
      </c>
      <c r="M1887">
        <v>0</v>
      </c>
      <c r="N1887">
        <v>2400</v>
      </c>
    </row>
    <row r="1888" spans="1:14" x14ac:dyDescent="0.25">
      <c r="A1888">
        <v>1598.586871</v>
      </c>
      <c r="B1888" s="1">
        <f>DATE(2014,9,15) + TIME(14,5,5)</f>
        <v>41897.586863425924</v>
      </c>
      <c r="C1888">
        <v>80</v>
      </c>
      <c r="D1888">
        <v>79.958473205999994</v>
      </c>
      <c r="E1888">
        <v>50</v>
      </c>
      <c r="F1888">
        <v>42.065402984999999</v>
      </c>
      <c r="G1888">
        <v>1777.7315673999999</v>
      </c>
      <c r="H1888">
        <v>1651.1600341999999</v>
      </c>
      <c r="I1888">
        <v>871.94256591999999</v>
      </c>
      <c r="J1888">
        <v>661.81536864999998</v>
      </c>
      <c r="K1888">
        <v>2400</v>
      </c>
      <c r="L1888">
        <v>0</v>
      </c>
      <c r="M1888">
        <v>0</v>
      </c>
      <c r="N1888">
        <v>2400</v>
      </c>
    </row>
    <row r="1889" spans="1:14" x14ac:dyDescent="0.25">
      <c r="A1889">
        <v>1601.1176310000001</v>
      </c>
      <c r="B1889" s="1">
        <f>DATE(2014,9,18) + TIME(2,49,23)</f>
        <v>41900.117627314816</v>
      </c>
      <c r="C1889">
        <v>80</v>
      </c>
      <c r="D1889">
        <v>79.958541870000005</v>
      </c>
      <c r="E1889">
        <v>50</v>
      </c>
      <c r="F1889">
        <v>41.965610503999997</v>
      </c>
      <c r="G1889">
        <v>1777.1477050999999</v>
      </c>
      <c r="H1889">
        <v>1650.5761719</v>
      </c>
      <c r="I1889">
        <v>871.30206298999997</v>
      </c>
      <c r="J1889">
        <v>660.68157958999996</v>
      </c>
      <c r="K1889">
        <v>2400</v>
      </c>
      <c r="L1889">
        <v>0</v>
      </c>
      <c r="M1889">
        <v>0</v>
      </c>
      <c r="N1889">
        <v>2400</v>
      </c>
    </row>
    <row r="1890" spans="1:14" x14ac:dyDescent="0.25">
      <c r="A1890">
        <v>1603.6887139999999</v>
      </c>
      <c r="B1890" s="1">
        <f>DATE(2014,9,20) + TIME(16,31,44)</f>
        <v>41902.688703703701</v>
      </c>
      <c r="C1890">
        <v>80</v>
      </c>
      <c r="D1890">
        <v>79.958618164000001</v>
      </c>
      <c r="E1890">
        <v>50</v>
      </c>
      <c r="F1890">
        <v>41.870178223000003</v>
      </c>
      <c r="G1890">
        <v>1776.557251</v>
      </c>
      <c r="H1890">
        <v>1649.9857178</v>
      </c>
      <c r="I1890">
        <v>870.67773437999995</v>
      </c>
      <c r="J1890">
        <v>659.57312012</v>
      </c>
      <c r="K1890">
        <v>2400</v>
      </c>
      <c r="L1890">
        <v>0</v>
      </c>
      <c r="M1890">
        <v>0</v>
      </c>
      <c r="N1890">
        <v>2400</v>
      </c>
    </row>
    <row r="1891" spans="1:14" x14ac:dyDescent="0.25">
      <c r="A1891">
        <v>1606.293388</v>
      </c>
      <c r="B1891" s="1">
        <f>DATE(2014,9,23) + TIME(7,2,28)</f>
        <v>41905.293379629627</v>
      </c>
      <c r="C1891">
        <v>80</v>
      </c>
      <c r="D1891">
        <v>79.958686829000001</v>
      </c>
      <c r="E1891">
        <v>50</v>
      </c>
      <c r="F1891">
        <v>41.779785156000003</v>
      </c>
      <c r="G1891">
        <v>1775.9611815999999</v>
      </c>
      <c r="H1891">
        <v>1649.3897704999999</v>
      </c>
      <c r="I1891">
        <v>870.07189941000001</v>
      </c>
      <c r="J1891">
        <v>658.49505614999998</v>
      </c>
      <c r="K1891">
        <v>2400</v>
      </c>
      <c r="L1891">
        <v>0</v>
      </c>
      <c r="M1891">
        <v>0</v>
      </c>
      <c r="N1891">
        <v>2400</v>
      </c>
    </row>
    <row r="1892" spans="1:14" x14ac:dyDescent="0.25">
      <c r="A1892">
        <v>1608.9245880000001</v>
      </c>
      <c r="B1892" s="1">
        <f>DATE(2014,9,25) + TIME(22,11,24)</f>
        <v>41907.924583333333</v>
      </c>
      <c r="C1892">
        <v>80</v>
      </c>
      <c r="D1892">
        <v>79.958763122999997</v>
      </c>
      <c r="E1892">
        <v>50</v>
      </c>
      <c r="F1892">
        <v>41.695423126000001</v>
      </c>
      <c r="G1892">
        <v>1775.3608397999999</v>
      </c>
      <c r="H1892">
        <v>1648.7894286999999</v>
      </c>
      <c r="I1892">
        <v>869.48956298999997</v>
      </c>
      <c r="J1892">
        <v>657.45666503999996</v>
      </c>
      <c r="K1892">
        <v>2400</v>
      </c>
      <c r="L1892">
        <v>0</v>
      </c>
      <c r="M1892">
        <v>0</v>
      </c>
      <c r="N1892">
        <v>2400</v>
      </c>
    </row>
    <row r="1893" spans="1:14" x14ac:dyDescent="0.25">
      <c r="A1893">
        <v>1611.582298</v>
      </c>
      <c r="B1893" s="1">
        <f>DATE(2014,9,28) + TIME(13,58,30)</f>
        <v>41910.582291666666</v>
      </c>
      <c r="C1893">
        <v>80</v>
      </c>
      <c r="D1893">
        <v>79.958839416999993</v>
      </c>
      <c r="E1893">
        <v>50</v>
      </c>
      <c r="F1893">
        <v>41.618114470999998</v>
      </c>
      <c r="G1893">
        <v>1774.7567139</v>
      </c>
      <c r="H1893">
        <v>1648.1854248</v>
      </c>
      <c r="I1893">
        <v>868.93566895000004</v>
      </c>
      <c r="J1893">
        <v>656.46746826000003</v>
      </c>
      <c r="K1893">
        <v>2400</v>
      </c>
      <c r="L1893">
        <v>0</v>
      </c>
      <c r="M1893">
        <v>0</v>
      </c>
      <c r="N1893">
        <v>2400</v>
      </c>
    </row>
    <row r="1894" spans="1:14" x14ac:dyDescent="0.25">
      <c r="A1894">
        <v>1614</v>
      </c>
      <c r="B1894" s="1">
        <f>DATE(2014,10,1) + TIME(0,0,0)</f>
        <v>41913</v>
      </c>
      <c r="C1894">
        <v>80</v>
      </c>
      <c r="D1894">
        <v>79.958892821999996</v>
      </c>
      <c r="E1894">
        <v>50</v>
      </c>
      <c r="F1894">
        <v>41.550453185999999</v>
      </c>
      <c r="G1894">
        <v>1774.1933594</v>
      </c>
      <c r="H1894">
        <v>1647.6220702999999</v>
      </c>
      <c r="I1894">
        <v>868.41302489999998</v>
      </c>
      <c r="J1894">
        <v>655.54260253999996</v>
      </c>
      <c r="K1894">
        <v>2400</v>
      </c>
      <c r="L1894">
        <v>0</v>
      </c>
      <c r="M1894">
        <v>0</v>
      </c>
      <c r="N1894">
        <v>2400</v>
      </c>
    </row>
    <row r="1895" spans="1:14" x14ac:dyDescent="0.25">
      <c r="A1895">
        <v>1616.673286</v>
      </c>
      <c r="B1895" s="1">
        <f>DATE(2014,10,3) + TIME(16,9,31)</f>
        <v>41915.673275462963</v>
      </c>
      <c r="C1895">
        <v>80</v>
      </c>
      <c r="D1895">
        <v>79.958976746000005</v>
      </c>
      <c r="E1895">
        <v>50</v>
      </c>
      <c r="F1895">
        <v>41.493362427000001</v>
      </c>
      <c r="G1895">
        <v>1773.5939940999999</v>
      </c>
      <c r="H1895">
        <v>1647.0227050999999</v>
      </c>
      <c r="I1895">
        <v>867.97210693</v>
      </c>
      <c r="J1895">
        <v>654.74310303000004</v>
      </c>
      <c r="K1895">
        <v>2400</v>
      </c>
      <c r="L1895">
        <v>0</v>
      </c>
      <c r="M1895">
        <v>0</v>
      </c>
      <c r="N1895">
        <v>2400</v>
      </c>
    </row>
    <row r="1896" spans="1:14" x14ac:dyDescent="0.25">
      <c r="A1896">
        <v>1619.4061280000001</v>
      </c>
      <c r="B1896" s="1">
        <f>DATE(2014,10,6) + TIME(9,44,49)</f>
        <v>41918.406122685185</v>
      </c>
      <c r="C1896">
        <v>80</v>
      </c>
      <c r="D1896">
        <v>79.959053040000001</v>
      </c>
      <c r="E1896">
        <v>50</v>
      </c>
      <c r="F1896">
        <v>41.443119049000003</v>
      </c>
      <c r="G1896">
        <v>1772.9858397999999</v>
      </c>
      <c r="H1896">
        <v>1646.4146728999999</v>
      </c>
      <c r="I1896">
        <v>867.52844238</v>
      </c>
      <c r="J1896">
        <v>653.95330810999997</v>
      </c>
      <c r="K1896">
        <v>2400</v>
      </c>
      <c r="L1896">
        <v>0</v>
      </c>
      <c r="M1896">
        <v>0</v>
      </c>
      <c r="N1896">
        <v>2400</v>
      </c>
    </row>
    <row r="1897" spans="1:14" x14ac:dyDescent="0.25">
      <c r="A1897">
        <v>1622.187169</v>
      </c>
      <c r="B1897" s="1">
        <f>DATE(2014,10,9) + TIME(4,29,31)</f>
        <v>41921.187164351853</v>
      </c>
      <c r="C1897">
        <v>80</v>
      </c>
      <c r="D1897">
        <v>79.959129333000007</v>
      </c>
      <c r="E1897">
        <v>50</v>
      </c>
      <c r="F1897">
        <v>41.402477263999998</v>
      </c>
      <c r="G1897">
        <v>1772.3695068</v>
      </c>
      <c r="H1897">
        <v>1645.7983397999999</v>
      </c>
      <c r="I1897">
        <v>867.11572265999996</v>
      </c>
      <c r="J1897">
        <v>653.22290038999995</v>
      </c>
      <c r="K1897">
        <v>2400</v>
      </c>
      <c r="L1897">
        <v>0</v>
      </c>
      <c r="M1897">
        <v>0</v>
      </c>
      <c r="N1897">
        <v>2400</v>
      </c>
    </row>
    <row r="1898" spans="1:14" x14ac:dyDescent="0.25">
      <c r="A1898">
        <v>1625.0086659999999</v>
      </c>
      <c r="B1898" s="1">
        <f>DATE(2014,10,12) + TIME(0,12,28)</f>
        <v>41924.008657407408</v>
      </c>
      <c r="C1898">
        <v>80</v>
      </c>
      <c r="D1898">
        <v>79.959205627000003</v>
      </c>
      <c r="E1898">
        <v>50</v>
      </c>
      <c r="F1898">
        <v>41.373226166000002</v>
      </c>
      <c r="G1898">
        <v>1771.7467041</v>
      </c>
      <c r="H1898">
        <v>1645.1756591999999</v>
      </c>
      <c r="I1898">
        <v>866.74139404000005</v>
      </c>
      <c r="J1898">
        <v>652.56665038999995</v>
      </c>
      <c r="K1898">
        <v>2400</v>
      </c>
      <c r="L1898">
        <v>0</v>
      </c>
      <c r="M1898">
        <v>0</v>
      </c>
      <c r="N1898">
        <v>2400</v>
      </c>
    </row>
    <row r="1899" spans="1:14" x14ac:dyDescent="0.25">
      <c r="A1899">
        <v>1627.8498179999999</v>
      </c>
      <c r="B1899" s="1">
        <f>DATE(2014,10,14) + TIME(20,23,44)</f>
        <v>41926.849814814814</v>
      </c>
      <c r="C1899">
        <v>80</v>
      </c>
      <c r="D1899">
        <v>79.959281920999999</v>
      </c>
      <c r="E1899">
        <v>50</v>
      </c>
      <c r="F1899">
        <v>41.356796265</v>
      </c>
      <c r="G1899">
        <v>1771.1217041</v>
      </c>
      <c r="H1899">
        <v>1644.5506591999999</v>
      </c>
      <c r="I1899">
        <v>866.40948486000002</v>
      </c>
      <c r="J1899">
        <v>651.99432373000002</v>
      </c>
      <c r="K1899">
        <v>2400</v>
      </c>
      <c r="L1899">
        <v>0</v>
      </c>
      <c r="M1899">
        <v>0</v>
      </c>
      <c r="N1899">
        <v>2400</v>
      </c>
    </row>
    <row r="1900" spans="1:14" x14ac:dyDescent="0.25">
      <c r="A1900">
        <v>1630.7249420000001</v>
      </c>
      <c r="B1900" s="1">
        <f>DATE(2014,10,17) + TIME(17,23,54)</f>
        <v>41929.724930555552</v>
      </c>
      <c r="C1900">
        <v>80</v>
      </c>
      <c r="D1900">
        <v>79.959358214999995</v>
      </c>
      <c r="E1900">
        <v>50</v>
      </c>
      <c r="F1900">
        <v>41.354320526000002</v>
      </c>
      <c r="G1900">
        <v>1770.4930420000001</v>
      </c>
      <c r="H1900">
        <v>1643.9221190999999</v>
      </c>
      <c r="I1900">
        <v>866.12445068</v>
      </c>
      <c r="J1900">
        <v>651.51470946999996</v>
      </c>
      <c r="K1900">
        <v>2400</v>
      </c>
      <c r="L1900">
        <v>0</v>
      </c>
      <c r="M1900">
        <v>0</v>
      </c>
      <c r="N1900">
        <v>2400</v>
      </c>
    </row>
    <row r="1901" spans="1:14" x14ac:dyDescent="0.25">
      <c r="A1901">
        <v>1633.624879</v>
      </c>
      <c r="B1901" s="1">
        <f>DATE(2014,10,20) + TIME(14,59,49)</f>
        <v>41932.624872685185</v>
      </c>
      <c r="C1901">
        <v>80</v>
      </c>
      <c r="D1901">
        <v>79.959434509000005</v>
      </c>
      <c r="E1901">
        <v>50</v>
      </c>
      <c r="F1901">
        <v>41.366691588999998</v>
      </c>
      <c r="G1901">
        <v>1769.8626709</v>
      </c>
      <c r="H1901">
        <v>1643.2917480000001</v>
      </c>
      <c r="I1901">
        <v>865.88519286999997</v>
      </c>
      <c r="J1901">
        <v>651.12878418000003</v>
      </c>
      <c r="K1901">
        <v>2400</v>
      </c>
      <c r="L1901">
        <v>0</v>
      </c>
      <c r="M1901">
        <v>0</v>
      </c>
      <c r="N1901">
        <v>2400</v>
      </c>
    </row>
    <row r="1902" spans="1:14" x14ac:dyDescent="0.25">
      <c r="A1902">
        <v>1636.549121</v>
      </c>
      <c r="B1902" s="1">
        <f>DATE(2014,10,23) + TIME(13,10,44)</f>
        <v>41935.549120370371</v>
      </c>
      <c r="C1902">
        <v>80</v>
      </c>
      <c r="D1902">
        <v>79.959510803000001</v>
      </c>
      <c r="E1902">
        <v>50</v>
      </c>
      <c r="F1902">
        <v>41.394699097</v>
      </c>
      <c r="G1902">
        <v>1769.2312012</v>
      </c>
      <c r="H1902">
        <v>1642.6604004000001</v>
      </c>
      <c r="I1902">
        <v>865.69250488</v>
      </c>
      <c r="J1902">
        <v>650.83941649999997</v>
      </c>
      <c r="K1902">
        <v>2400</v>
      </c>
      <c r="L1902">
        <v>0</v>
      </c>
      <c r="M1902">
        <v>0</v>
      </c>
      <c r="N1902">
        <v>2400</v>
      </c>
    </row>
    <row r="1903" spans="1:14" x14ac:dyDescent="0.25">
      <c r="A1903">
        <v>1639.5090769999999</v>
      </c>
      <c r="B1903" s="1">
        <f>DATE(2014,10,26) + TIME(12,13,4)</f>
        <v>41938.509074074071</v>
      </c>
      <c r="C1903">
        <v>80</v>
      </c>
      <c r="D1903">
        <v>79.959594726999995</v>
      </c>
      <c r="E1903">
        <v>50</v>
      </c>
      <c r="F1903">
        <v>41.439044952000003</v>
      </c>
      <c r="G1903">
        <v>1768.5972899999999</v>
      </c>
      <c r="H1903">
        <v>1642.0264893000001</v>
      </c>
      <c r="I1903">
        <v>865.54553223000005</v>
      </c>
      <c r="J1903">
        <v>650.64666748000002</v>
      </c>
      <c r="K1903">
        <v>2400</v>
      </c>
      <c r="L1903">
        <v>0</v>
      </c>
      <c r="M1903">
        <v>0</v>
      </c>
      <c r="N1903">
        <v>2400</v>
      </c>
    </row>
    <row r="1904" spans="1:14" x14ac:dyDescent="0.25">
      <c r="A1904">
        <v>1642.517908</v>
      </c>
      <c r="B1904" s="1">
        <f>DATE(2014,10,29) + TIME(12,25,47)</f>
        <v>41941.517905092594</v>
      </c>
      <c r="C1904">
        <v>80</v>
      </c>
      <c r="D1904">
        <v>79.959671021000005</v>
      </c>
      <c r="E1904">
        <v>50</v>
      </c>
      <c r="F1904">
        <v>41.500278473000002</v>
      </c>
      <c r="G1904">
        <v>1767.9593506000001</v>
      </c>
      <c r="H1904">
        <v>1641.3885498</v>
      </c>
      <c r="I1904">
        <v>865.44201659999999</v>
      </c>
      <c r="J1904">
        <v>650.54833984000004</v>
      </c>
      <c r="K1904">
        <v>2400</v>
      </c>
      <c r="L1904">
        <v>0</v>
      </c>
      <c r="M1904">
        <v>0</v>
      </c>
      <c r="N1904">
        <v>2400</v>
      </c>
    </row>
    <row r="1905" spans="1:14" x14ac:dyDescent="0.25">
      <c r="A1905">
        <v>1645</v>
      </c>
      <c r="B1905" s="1">
        <f>DATE(2014,11,1) + TIME(0,0,0)</f>
        <v>41944</v>
      </c>
      <c r="C1905">
        <v>80</v>
      </c>
      <c r="D1905">
        <v>79.959716796999999</v>
      </c>
      <c r="E1905">
        <v>50</v>
      </c>
      <c r="F1905">
        <v>41.575828551999997</v>
      </c>
      <c r="G1905">
        <v>1767.4106445</v>
      </c>
      <c r="H1905">
        <v>1640.8399658000001</v>
      </c>
      <c r="I1905">
        <v>865.37170409999999</v>
      </c>
      <c r="J1905">
        <v>650.52905272999999</v>
      </c>
      <c r="K1905">
        <v>2400</v>
      </c>
      <c r="L1905">
        <v>0</v>
      </c>
      <c r="M1905">
        <v>0</v>
      </c>
      <c r="N1905">
        <v>2400</v>
      </c>
    </row>
    <row r="1906" spans="1:14" x14ac:dyDescent="0.25">
      <c r="A1906">
        <v>1645.0000010000001</v>
      </c>
      <c r="B1906" s="1">
        <f>DATE(2014,11,1) + TIME(0,0,0)</f>
        <v>41944</v>
      </c>
      <c r="C1906">
        <v>80</v>
      </c>
      <c r="D1906">
        <v>79.959686278999996</v>
      </c>
      <c r="E1906">
        <v>50</v>
      </c>
      <c r="F1906">
        <v>41.575851440000001</v>
      </c>
      <c r="G1906">
        <v>1640.8298339999999</v>
      </c>
      <c r="H1906">
        <v>1514.2597656</v>
      </c>
      <c r="I1906">
        <v>1080.4338379000001</v>
      </c>
      <c r="J1906">
        <v>865.38122558999999</v>
      </c>
      <c r="K1906">
        <v>0</v>
      </c>
      <c r="L1906">
        <v>2400</v>
      </c>
      <c r="M1906">
        <v>2400</v>
      </c>
      <c r="N1906">
        <v>0</v>
      </c>
    </row>
    <row r="1907" spans="1:14" x14ac:dyDescent="0.25">
      <c r="A1907">
        <v>1645.000004</v>
      </c>
      <c r="B1907" s="1">
        <f>DATE(2014,11,1) + TIME(0,0,0)</f>
        <v>41944</v>
      </c>
      <c r="C1907">
        <v>80</v>
      </c>
      <c r="D1907">
        <v>79.959594726999995</v>
      </c>
      <c r="E1907">
        <v>50</v>
      </c>
      <c r="F1907">
        <v>41.575923920000001</v>
      </c>
      <c r="G1907">
        <v>1640.7998047000001</v>
      </c>
      <c r="H1907">
        <v>1514.2296143000001</v>
      </c>
      <c r="I1907">
        <v>1080.4631348</v>
      </c>
      <c r="J1907">
        <v>865.40979003999996</v>
      </c>
      <c r="K1907">
        <v>0</v>
      </c>
      <c r="L1907">
        <v>2400</v>
      </c>
      <c r="M1907">
        <v>2400</v>
      </c>
      <c r="N1907">
        <v>0</v>
      </c>
    </row>
    <row r="1908" spans="1:14" x14ac:dyDescent="0.25">
      <c r="A1908">
        <v>1645.0000130000001</v>
      </c>
      <c r="B1908" s="1">
        <f>DATE(2014,11,1) + TIME(0,0,1)</f>
        <v>41944.000011574077</v>
      </c>
      <c r="C1908">
        <v>80</v>
      </c>
      <c r="D1908">
        <v>79.959320067999997</v>
      </c>
      <c r="E1908">
        <v>50</v>
      </c>
      <c r="F1908">
        <v>41.576133728000002</v>
      </c>
      <c r="G1908">
        <v>1640.7097168</v>
      </c>
      <c r="H1908">
        <v>1514.1391602000001</v>
      </c>
      <c r="I1908">
        <v>1080.5509033000001</v>
      </c>
      <c r="J1908">
        <v>865.49548340000001</v>
      </c>
      <c r="K1908">
        <v>0</v>
      </c>
      <c r="L1908">
        <v>2400</v>
      </c>
      <c r="M1908">
        <v>2400</v>
      </c>
      <c r="N1908">
        <v>0</v>
      </c>
    </row>
    <row r="1909" spans="1:14" x14ac:dyDescent="0.25">
      <c r="A1909">
        <v>1645.0000399999999</v>
      </c>
      <c r="B1909" s="1">
        <f>DATE(2014,11,1) + TIME(0,0,3)</f>
        <v>41944.000034722223</v>
      </c>
      <c r="C1909">
        <v>80</v>
      </c>
      <c r="D1909">
        <v>79.958488463999998</v>
      </c>
      <c r="E1909">
        <v>50</v>
      </c>
      <c r="F1909">
        <v>41.576770781999997</v>
      </c>
      <c r="G1909">
        <v>1640.4400635</v>
      </c>
      <c r="H1909">
        <v>1513.8680420000001</v>
      </c>
      <c r="I1909">
        <v>1080.8139647999999</v>
      </c>
      <c r="J1909">
        <v>865.75238036999997</v>
      </c>
      <c r="K1909">
        <v>0</v>
      </c>
      <c r="L1909">
        <v>2400</v>
      </c>
      <c r="M1909">
        <v>2400</v>
      </c>
      <c r="N1909">
        <v>0</v>
      </c>
    </row>
    <row r="1910" spans="1:14" x14ac:dyDescent="0.25">
      <c r="A1910">
        <v>1645.000121</v>
      </c>
      <c r="B1910" s="1">
        <f>DATE(2014,11,1) + TIME(0,0,10)</f>
        <v>41944.000115740739</v>
      </c>
      <c r="C1910">
        <v>80</v>
      </c>
      <c r="D1910">
        <v>79.956016540999997</v>
      </c>
      <c r="E1910">
        <v>50</v>
      </c>
      <c r="F1910">
        <v>41.578678130999997</v>
      </c>
      <c r="G1910">
        <v>1639.6357422000001</v>
      </c>
      <c r="H1910">
        <v>1513.0596923999999</v>
      </c>
      <c r="I1910">
        <v>1081.6003418</v>
      </c>
      <c r="J1910">
        <v>866.52239989999998</v>
      </c>
      <c r="K1910">
        <v>0</v>
      </c>
      <c r="L1910">
        <v>2400</v>
      </c>
      <c r="M1910">
        <v>2400</v>
      </c>
      <c r="N1910">
        <v>0</v>
      </c>
    </row>
    <row r="1911" spans="1:14" x14ac:dyDescent="0.25">
      <c r="A1911">
        <v>1645.000364</v>
      </c>
      <c r="B1911" s="1">
        <f>DATE(2014,11,1) + TIME(0,0,31)</f>
        <v>41944.000358796293</v>
      </c>
      <c r="C1911">
        <v>80</v>
      </c>
      <c r="D1911">
        <v>79.948738098000007</v>
      </c>
      <c r="E1911">
        <v>50</v>
      </c>
      <c r="F1911">
        <v>41.584400176999999</v>
      </c>
      <c r="G1911">
        <v>1637.2644043</v>
      </c>
      <c r="H1911">
        <v>1510.6766356999999</v>
      </c>
      <c r="I1911">
        <v>1083.9356689000001</v>
      </c>
      <c r="J1911">
        <v>868.82299805000002</v>
      </c>
      <c r="K1911">
        <v>0</v>
      </c>
      <c r="L1911">
        <v>2400</v>
      </c>
      <c r="M1911">
        <v>2400</v>
      </c>
      <c r="N1911">
        <v>0</v>
      </c>
    </row>
    <row r="1912" spans="1:14" x14ac:dyDescent="0.25">
      <c r="A1912">
        <v>1645.0010930000001</v>
      </c>
      <c r="B1912" s="1">
        <f>DATE(2014,11,1) + TIME(0,1,34)</f>
        <v>41944.001087962963</v>
      </c>
      <c r="C1912">
        <v>80</v>
      </c>
      <c r="D1912">
        <v>79.927955627000003</v>
      </c>
      <c r="E1912">
        <v>50</v>
      </c>
      <c r="F1912">
        <v>41.601470947000003</v>
      </c>
      <c r="G1912">
        <v>1630.5009766000001</v>
      </c>
      <c r="H1912">
        <v>1503.8806152</v>
      </c>
      <c r="I1912">
        <v>1090.7354736</v>
      </c>
      <c r="J1912">
        <v>875.60650635000002</v>
      </c>
      <c r="K1912">
        <v>0</v>
      </c>
      <c r="L1912">
        <v>2400</v>
      </c>
      <c r="M1912">
        <v>2400</v>
      </c>
      <c r="N1912">
        <v>0</v>
      </c>
    </row>
    <row r="1913" spans="1:14" x14ac:dyDescent="0.25">
      <c r="A1913">
        <v>1645.0032799999999</v>
      </c>
      <c r="B1913" s="1">
        <f>DATE(2014,11,1) + TIME(0,4,43)</f>
        <v>41944.003275462965</v>
      </c>
      <c r="C1913">
        <v>80</v>
      </c>
      <c r="D1913">
        <v>79.873664856000005</v>
      </c>
      <c r="E1913">
        <v>50</v>
      </c>
      <c r="F1913">
        <v>41.651103972999998</v>
      </c>
      <c r="G1913">
        <v>1612.8316649999999</v>
      </c>
      <c r="H1913">
        <v>1486.1290283000001</v>
      </c>
      <c r="I1913">
        <v>1109.4826660000001</v>
      </c>
      <c r="J1913">
        <v>894.62451171999999</v>
      </c>
      <c r="K1913">
        <v>0</v>
      </c>
      <c r="L1913">
        <v>2400</v>
      </c>
      <c r="M1913">
        <v>2400</v>
      </c>
      <c r="N1913">
        <v>0</v>
      </c>
    </row>
    <row r="1914" spans="1:14" x14ac:dyDescent="0.25">
      <c r="A1914">
        <v>1645.0098410000001</v>
      </c>
      <c r="B1914" s="1">
        <f>DATE(2014,11,1) + TIME(0,14,10)</f>
        <v>41944.009837962964</v>
      </c>
      <c r="C1914">
        <v>80</v>
      </c>
      <c r="D1914">
        <v>79.756683350000003</v>
      </c>
      <c r="E1914">
        <v>50</v>
      </c>
      <c r="F1914">
        <v>41.785236359000002</v>
      </c>
      <c r="G1914">
        <v>1574.7973632999999</v>
      </c>
      <c r="H1914">
        <v>1447.9223632999999</v>
      </c>
      <c r="I1914">
        <v>1154.7000731999999</v>
      </c>
      <c r="J1914">
        <v>940.93701171999999</v>
      </c>
      <c r="K1914">
        <v>0</v>
      </c>
      <c r="L1914">
        <v>2400</v>
      </c>
      <c r="M1914">
        <v>2400</v>
      </c>
      <c r="N1914">
        <v>0</v>
      </c>
    </row>
    <row r="1915" spans="1:14" x14ac:dyDescent="0.25">
      <c r="A1915">
        <v>1645.029524</v>
      </c>
      <c r="B1915" s="1">
        <f>DATE(2014,11,1) + TIME(0,42,30)</f>
        <v>41944.029513888891</v>
      </c>
      <c r="C1915">
        <v>80</v>
      </c>
      <c r="D1915">
        <v>79.572944641000007</v>
      </c>
      <c r="E1915">
        <v>50</v>
      </c>
      <c r="F1915">
        <v>42.103496552000003</v>
      </c>
      <c r="G1915">
        <v>1514.5942382999999</v>
      </c>
      <c r="H1915">
        <v>1387.4564209</v>
      </c>
      <c r="I1915">
        <v>1238.7775879000001</v>
      </c>
      <c r="J1915">
        <v>1026.6993408000001</v>
      </c>
      <c r="K1915">
        <v>0</v>
      </c>
      <c r="L1915">
        <v>2400</v>
      </c>
      <c r="M1915">
        <v>2400</v>
      </c>
      <c r="N1915">
        <v>0</v>
      </c>
    </row>
    <row r="1916" spans="1:14" x14ac:dyDescent="0.25">
      <c r="A1916">
        <v>1645.081813</v>
      </c>
      <c r="B1916" s="1">
        <f>DATE(2014,11,1) + TIME(1,57,48)</f>
        <v>41944.081805555557</v>
      </c>
      <c r="C1916">
        <v>80</v>
      </c>
      <c r="D1916">
        <v>79.382873535000002</v>
      </c>
      <c r="E1916">
        <v>50</v>
      </c>
      <c r="F1916">
        <v>42.734584808000001</v>
      </c>
      <c r="G1916">
        <v>1448.3099365</v>
      </c>
      <c r="H1916">
        <v>1320.9031981999999</v>
      </c>
      <c r="I1916">
        <v>1343.3735352000001</v>
      </c>
      <c r="J1916">
        <v>1133.0300293</v>
      </c>
      <c r="K1916">
        <v>0</v>
      </c>
      <c r="L1916">
        <v>2400</v>
      </c>
      <c r="M1916">
        <v>2400</v>
      </c>
      <c r="N1916">
        <v>0</v>
      </c>
    </row>
    <row r="1917" spans="1:14" x14ac:dyDescent="0.25">
      <c r="A1917">
        <v>1645.145804</v>
      </c>
      <c r="B1917" s="1">
        <f>DATE(2014,11,1) + TIME(3,29,57)</f>
        <v>41944.145798611113</v>
      </c>
      <c r="C1917">
        <v>80</v>
      </c>
      <c r="D1917">
        <v>79.273239136000001</v>
      </c>
      <c r="E1917">
        <v>50</v>
      </c>
      <c r="F1917">
        <v>43.362705231</v>
      </c>
      <c r="G1917">
        <v>1406.6468506000001</v>
      </c>
      <c r="H1917">
        <v>1279.0865478999999</v>
      </c>
      <c r="I1917">
        <v>1411.3283690999999</v>
      </c>
      <c r="J1917">
        <v>1202.4538574000001</v>
      </c>
      <c r="K1917">
        <v>0</v>
      </c>
      <c r="L1917">
        <v>2400</v>
      </c>
      <c r="M1917">
        <v>2400</v>
      </c>
      <c r="N1917">
        <v>0</v>
      </c>
    </row>
    <row r="1918" spans="1:14" x14ac:dyDescent="0.25">
      <c r="A1918">
        <v>1645.220264</v>
      </c>
      <c r="B1918" s="1">
        <f>DATE(2014,11,1) + TIME(5,17,10)</f>
        <v>41944.220254629632</v>
      </c>
      <c r="C1918">
        <v>80</v>
      </c>
      <c r="D1918">
        <v>79.202468871999997</v>
      </c>
      <c r="E1918">
        <v>50</v>
      </c>
      <c r="F1918">
        <v>43.987129211000003</v>
      </c>
      <c r="G1918">
        <v>1376.9919434000001</v>
      </c>
      <c r="H1918">
        <v>1249.3404541</v>
      </c>
      <c r="I1918">
        <v>1459.4760742000001</v>
      </c>
      <c r="J1918">
        <v>1252.1075439000001</v>
      </c>
      <c r="K1918">
        <v>0</v>
      </c>
      <c r="L1918">
        <v>2400</v>
      </c>
      <c r="M1918">
        <v>2400</v>
      </c>
      <c r="N1918">
        <v>0</v>
      </c>
    </row>
    <row r="1919" spans="1:14" x14ac:dyDescent="0.25">
      <c r="A1919">
        <v>1645.3040530000001</v>
      </c>
      <c r="B1919" s="1">
        <f>DATE(2014,11,1) + TIME(7,17,50)</f>
        <v>41944.304050925923</v>
      </c>
      <c r="C1919">
        <v>80</v>
      </c>
      <c r="D1919">
        <v>79.152595520000006</v>
      </c>
      <c r="E1919">
        <v>50</v>
      </c>
      <c r="F1919">
        <v>44.598526001000003</v>
      </c>
      <c r="G1919">
        <v>1354.0794678</v>
      </c>
      <c r="H1919">
        <v>1226.3699951000001</v>
      </c>
      <c r="I1919">
        <v>1496.2315673999999</v>
      </c>
      <c r="J1919">
        <v>1290.3797606999999</v>
      </c>
      <c r="K1919">
        <v>0</v>
      </c>
      <c r="L1919">
        <v>2400</v>
      </c>
      <c r="M1919">
        <v>2400</v>
      </c>
      <c r="N1919">
        <v>0</v>
      </c>
    </row>
    <row r="1920" spans="1:14" x14ac:dyDescent="0.25">
      <c r="A1920">
        <v>1645.3972220000001</v>
      </c>
      <c r="B1920" s="1">
        <f>DATE(2014,11,1) + TIME(9,31,59)</f>
        <v>41944.397210648145</v>
      </c>
      <c r="C1920">
        <v>80</v>
      </c>
      <c r="D1920">
        <v>79.114700317</v>
      </c>
      <c r="E1920">
        <v>50</v>
      </c>
      <c r="F1920">
        <v>45.192222594999997</v>
      </c>
      <c r="G1920">
        <v>1335.2719727000001</v>
      </c>
      <c r="H1920">
        <v>1207.5236815999999</v>
      </c>
      <c r="I1920">
        <v>1526.0697021000001</v>
      </c>
      <c r="J1920">
        <v>1321.7081298999999</v>
      </c>
      <c r="K1920">
        <v>0</v>
      </c>
      <c r="L1920">
        <v>2400</v>
      </c>
      <c r="M1920">
        <v>2400</v>
      </c>
      <c r="N1920">
        <v>0</v>
      </c>
    </row>
    <row r="1921" spans="1:14" x14ac:dyDescent="0.25">
      <c r="A1921">
        <v>1645.500689</v>
      </c>
      <c r="B1921" s="1">
        <f>DATE(2014,11,1) + TIME(12,0,59)</f>
        <v>41944.50068287037</v>
      </c>
      <c r="C1921">
        <v>80</v>
      </c>
      <c r="D1921">
        <v>79.083847046000002</v>
      </c>
      <c r="E1921">
        <v>50</v>
      </c>
      <c r="F1921">
        <v>45.765830993999998</v>
      </c>
      <c r="G1921">
        <v>1319.1118164</v>
      </c>
      <c r="H1921">
        <v>1191.3369141000001</v>
      </c>
      <c r="I1921">
        <v>1551.4807129000001</v>
      </c>
      <c r="J1921">
        <v>1348.5637207</v>
      </c>
      <c r="K1921">
        <v>0</v>
      </c>
      <c r="L1921">
        <v>2400</v>
      </c>
      <c r="M1921">
        <v>2400</v>
      </c>
      <c r="N1921">
        <v>0</v>
      </c>
    </row>
    <row r="1922" spans="1:14" x14ac:dyDescent="0.25">
      <c r="A1922">
        <v>1645.616149</v>
      </c>
      <c r="B1922" s="1">
        <f>DATE(2014,11,1) + TIME(14,47,15)</f>
        <v>41944.61614583333</v>
      </c>
      <c r="C1922">
        <v>80</v>
      </c>
      <c r="D1922">
        <v>79.057037354000002</v>
      </c>
      <c r="E1922">
        <v>50</v>
      </c>
      <c r="F1922">
        <v>46.317897797000001</v>
      </c>
      <c r="G1922">
        <v>1304.7105713000001</v>
      </c>
      <c r="H1922">
        <v>1176.9165039</v>
      </c>
      <c r="I1922">
        <v>1573.9720459</v>
      </c>
      <c r="J1922">
        <v>1372.4451904</v>
      </c>
      <c r="K1922">
        <v>0</v>
      </c>
      <c r="L1922">
        <v>2400</v>
      </c>
      <c r="M1922">
        <v>2400</v>
      </c>
      <c r="N1922">
        <v>0</v>
      </c>
    </row>
    <row r="1923" spans="1:14" x14ac:dyDescent="0.25">
      <c r="A1923">
        <v>1645.7460590000001</v>
      </c>
      <c r="B1923" s="1">
        <f>DATE(2014,11,1) + TIME(17,54,19)</f>
        <v>41944.746053240742</v>
      </c>
      <c r="C1923">
        <v>80</v>
      </c>
      <c r="D1923">
        <v>79.032188415999997</v>
      </c>
      <c r="E1923">
        <v>50</v>
      </c>
      <c r="F1923">
        <v>46.846813202</v>
      </c>
      <c r="G1923">
        <v>1291.4818115</v>
      </c>
      <c r="H1923">
        <v>1163.6733397999999</v>
      </c>
      <c r="I1923">
        <v>1594.5310059000001</v>
      </c>
      <c r="J1923">
        <v>1394.3347168</v>
      </c>
      <c r="K1923">
        <v>0</v>
      </c>
      <c r="L1923">
        <v>2400</v>
      </c>
      <c r="M1923">
        <v>2400</v>
      </c>
      <c r="N1923">
        <v>0</v>
      </c>
    </row>
    <row r="1924" spans="1:14" x14ac:dyDescent="0.25">
      <c r="A1924">
        <v>1645.8940230000001</v>
      </c>
      <c r="B1924" s="1">
        <f>DATE(2014,11,1) + TIME(21,27,23)</f>
        <v>41944.894016203703</v>
      </c>
      <c r="C1924">
        <v>80</v>
      </c>
      <c r="D1924">
        <v>79.007690429999997</v>
      </c>
      <c r="E1924">
        <v>50</v>
      </c>
      <c r="F1924">
        <v>47.350944519000002</v>
      </c>
      <c r="G1924">
        <v>1278.9908447</v>
      </c>
      <c r="H1924">
        <v>1151.1707764</v>
      </c>
      <c r="I1924">
        <v>1613.8790283000001</v>
      </c>
      <c r="J1924">
        <v>1414.9508057</v>
      </c>
      <c r="K1924">
        <v>0</v>
      </c>
      <c r="L1924">
        <v>2400</v>
      </c>
      <c r="M1924">
        <v>2400</v>
      </c>
      <c r="N1924">
        <v>0</v>
      </c>
    </row>
    <row r="1925" spans="1:14" x14ac:dyDescent="0.25">
      <c r="A1925">
        <v>1646.0653279999999</v>
      </c>
      <c r="B1925" s="1">
        <f>DATE(2014,11,2) + TIME(1,34,4)</f>
        <v>41945.065324074072</v>
      </c>
      <c r="C1925">
        <v>80</v>
      </c>
      <c r="D1925">
        <v>78.982109070000007</v>
      </c>
      <c r="E1925">
        <v>50</v>
      </c>
      <c r="F1925">
        <v>47.828227996999999</v>
      </c>
      <c r="G1925">
        <v>1266.8790283000001</v>
      </c>
      <c r="H1925">
        <v>1139.0484618999999</v>
      </c>
      <c r="I1925">
        <v>1632.6007079999999</v>
      </c>
      <c r="J1925">
        <v>1434.875</v>
      </c>
      <c r="K1925">
        <v>0</v>
      </c>
      <c r="L1925">
        <v>2400</v>
      </c>
      <c r="M1925">
        <v>2400</v>
      </c>
      <c r="N1925">
        <v>0</v>
      </c>
    </row>
    <row r="1926" spans="1:14" x14ac:dyDescent="0.25">
      <c r="A1926">
        <v>1646.2679760000001</v>
      </c>
      <c r="B1926" s="1">
        <f>DATE(2014,11,2) + TIME(6,25,53)</f>
        <v>41945.267974537041</v>
      </c>
      <c r="C1926">
        <v>80</v>
      </c>
      <c r="D1926">
        <v>78.953948975000003</v>
      </c>
      <c r="E1926">
        <v>50</v>
      </c>
      <c r="F1926">
        <v>48.275859832999998</v>
      </c>
      <c r="G1926">
        <v>1254.8095702999999</v>
      </c>
      <c r="H1926">
        <v>1126.9682617000001</v>
      </c>
      <c r="I1926">
        <v>1651.2329102000001</v>
      </c>
      <c r="J1926">
        <v>1454.6395264</v>
      </c>
      <c r="K1926">
        <v>0</v>
      </c>
      <c r="L1926">
        <v>2400</v>
      </c>
      <c r="M1926">
        <v>2400</v>
      </c>
      <c r="N1926">
        <v>0</v>
      </c>
    </row>
    <row r="1927" spans="1:14" x14ac:dyDescent="0.25">
      <c r="A1927">
        <v>1646.5147119999999</v>
      </c>
      <c r="B1927" s="1">
        <f>DATE(2014,11,2) + TIME(12,21,11)</f>
        <v>41945.514710648145</v>
      </c>
      <c r="C1927">
        <v>80</v>
      </c>
      <c r="D1927">
        <v>78.921470642000003</v>
      </c>
      <c r="E1927">
        <v>50</v>
      </c>
      <c r="F1927">
        <v>48.689945221000002</v>
      </c>
      <c r="G1927">
        <v>1242.4180908000001</v>
      </c>
      <c r="H1927">
        <v>1114.5645752</v>
      </c>
      <c r="I1927">
        <v>1670.3421631000001</v>
      </c>
      <c r="J1927">
        <v>1474.8045654</v>
      </c>
      <c r="K1927">
        <v>0</v>
      </c>
      <c r="L1927">
        <v>2400</v>
      </c>
      <c r="M1927">
        <v>2400</v>
      </c>
      <c r="N1927">
        <v>0</v>
      </c>
    </row>
    <row r="1928" spans="1:14" x14ac:dyDescent="0.25">
      <c r="A1928">
        <v>1646.7774569999999</v>
      </c>
      <c r="B1928" s="1">
        <f>DATE(2014,11,2) + TIME(18,39,32)</f>
        <v>41945.777453703704</v>
      </c>
      <c r="C1928">
        <v>80</v>
      </c>
      <c r="D1928">
        <v>78.886329650999997</v>
      </c>
      <c r="E1928">
        <v>50</v>
      </c>
      <c r="F1928">
        <v>49.019973755000002</v>
      </c>
      <c r="G1928">
        <v>1231.0838623</v>
      </c>
      <c r="H1928">
        <v>1103.2163086</v>
      </c>
      <c r="I1928">
        <v>1687.7425536999999</v>
      </c>
      <c r="J1928">
        <v>1493.0563964999999</v>
      </c>
      <c r="K1928">
        <v>0</v>
      </c>
      <c r="L1928">
        <v>2400</v>
      </c>
      <c r="M1928">
        <v>2400</v>
      </c>
      <c r="N1928">
        <v>0</v>
      </c>
    </row>
    <row r="1929" spans="1:14" x14ac:dyDescent="0.25">
      <c r="A1929">
        <v>1647.046891</v>
      </c>
      <c r="B1929" s="1">
        <f>DATE(2014,11,3) + TIME(1,7,31)</f>
        <v>41946.046886574077</v>
      </c>
      <c r="C1929">
        <v>80</v>
      </c>
      <c r="D1929">
        <v>78.849464416999993</v>
      </c>
      <c r="E1929">
        <v>50</v>
      </c>
      <c r="F1929">
        <v>49.271827698000003</v>
      </c>
      <c r="G1929">
        <v>1220.9221190999999</v>
      </c>
      <c r="H1929">
        <v>1093.0388184000001</v>
      </c>
      <c r="I1929">
        <v>1703.2702637</v>
      </c>
      <c r="J1929">
        <v>1509.2451172000001</v>
      </c>
      <c r="K1929">
        <v>0</v>
      </c>
      <c r="L1929">
        <v>2400</v>
      </c>
      <c r="M1929">
        <v>2400</v>
      </c>
      <c r="N1929">
        <v>0</v>
      </c>
    </row>
    <row r="1930" spans="1:14" x14ac:dyDescent="0.25">
      <c r="A1930">
        <v>1647.3280589999999</v>
      </c>
      <c r="B1930" s="1">
        <f>DATE(2014,11,3) + TIME(7,52,24)</f>
        <v>41946.328055555554</v>
      </c>
      <c r="C1930">
        <v>80</v>
      </c>
      <c r="D1930">
        <v>78.810783385999997</v>
      </c>
      <c r="E1930">
        <v>50</v>
      </c>
      <c r="F1930">
        <v>49.465362548999998</v>
      </c>
      <c r="G1930">
        <v>1211.5429687999999</v>
      </c>
      <c r="H1930">
        <v>1083.6423339999999</v>
      </c>
      <c r="I1930">
        <v>1717.5456543</v>
      </c>
      <c r="J1930">
        <v>1524.0394286999999</v>
      </c>
      <c r="K1930">
        <v>0</v>
      </c>
      <c r="L1930">
        <v>2400</v>
      </c>
      <c r="M1930">
        <v>2400</v>
      </c>
      <c r="N1930">
        <v>0</v>
      </c>
    </row>
    <row r="1931" spans="1:14" x14ac:dyDescent="0.25">
      <c r="A1931">
        <v>1647.624898</v>
      </c>
      <c r="B1931" s="1">
        <f>DATE(2014,11,3) + TIME(14,59,51)</f>
        <v>41946.624895833331</v>
      </c>
      <c r="C1931">
        <v>80</v>
      </c>
      <c r="D1931">
        <v>78.770164489999999</v>
      </c>
      <c r="E1931">
        <v>50</v>
      </c>
      <c r="F1931">
        <v>49.613647460999999</v>
      </c>
      <c r="G1931">
        <v>1202.7152100000001</v>
      </c>
      <c r="H1931">
        <v>1074.7957764</v>
      </c>
      <c r="I1931">
        <v>1730.9217529</v>
      </c>
      <c r="J1931">
        <v>1537.8233643000001</v>
      </c>
      <c r="K1931">
        <v>0</v>
      </c>
      <c r="L1931">
        <v>2400</v>
      </c>
      <c r="M1931">
        <v>2400</v>
      </c>
      <c r="N1931">
        <v>0</v>
      </c>
    </row>
    <row r="1932" spans="1:14" x14ac:dyDescent="0.25">
      <c r="A1932">
        <v>1647.9419459999999</v>
      </c>
      <c r="B1932" s="1">
        <f>DATE(2014,11,3) + TIME(22,36,24)</f>
        <v>41946.941944444443</v>
      </c>
      <c r="C1932">
        <v>80</v>
      </c>
      <c r="D1932">
        <v>78.727386475000003</v>
      </c>
      <c r="E1932">
        <v>50</v>
      </c>
      <c r="F1932">
        <v>49.726425171000002</v>
      </c>
      <c r="G1932">
        <v>1194.2669678</v>
      </c>
      <c r="H1932">
        <v>1066.3275146000001</v>
      </c>
      <c r="I1932">
        <v>1743.6555175999999</v>
      </c>
      <c r="J1932">
        <v>1550.8771973</v>
      </c>
      <c r="K1932">
        <v>0</v>
      </c>
      <c r="L1932">
        <v>2400</v>
      </c>
      <c r="M1932">
        <v>2400</v>
      </c>
      <c r="N1932">
        <v>0</v>
      </c>
    </row>
    <row r="1933" spans="1:14" x14ac:dyDescent="0.25">
      <c r="A1933">
        <v>1648.2848019999999</v>
      </c>
      <c r="B1933" s="1">
        <f>DATE(2014,11,4) + TIME(6,50,6)</f>
        <v>41947.284791666665</v>
      </c>
      <c r="C1933">
        <v>80</v>
      </c>
      <c r="D1933">
        <v>78.682098389000004</v>
      </c>
      <c r="E1933">
        <v>50</v>
      </c>
      <c r="F1933">
        <v>49.811168670999997</v>
      </c>
      <c r="G1933">
        <v>1186.0589600000001</v>
      </c>
      <c r="H1933">
        <v>1058.0982666</v>
      </c>
      <c r="I1933">
        <v>1755.9495850000001</v>
      </c>
      <c r="J1933">
        <v>1563.4215088000001</v>
      </c>
      <c r="K1933">
        <v>0</v>
      </c>
      <c r="L1933">
        <v>2400</v>
      </c>
      <c r="M1933">
        <v>2400</v>
      </c>
      <c r="N1933">
        <v>0</v>
      </c>
    </row>
    <row r="1934" spans="1:14" x14ac:dyDescent="0.25">
      <c r="A1934">
        <v>1648.6604500000001</v>
      </c>
      <c r="B1934" s="1">
        <f>DATE(2014,11,4) + TIME(15,51,2)</f>
        <v>41947.660439814812</v>
      </c>
      <c r="C1934">
        <v>80</v>
      </c>
      <c r="D1934">
        <v>78.633796692000004</v>
      </c>
      <c r="E1934">
        <v>50</v>
      </c>
      <c r="F1934">
        <v>49.873706818000002</v>
      </c>
      <c r="G1934">
        <v>1177.9741211</v>
      </c>
      <c r="H1934">
        <v>1049.9910889</v>
      </c>
      <c r="I1934">
        <v>1767.9703368999999</v>
      </c>
      <c r="J1934">
        <v>1575.6365966999999</v>
      </c>
      <c r="K1934">
        <v>0</v>
      </c>
      <c r="L1934">
        <v>2400</v>
      </c>
      <c r="M1934">
        <v>2400</v>
      </c>
      <c r="N1934">
        <v>0</v>
      </c>
    </row>
    <row r="1935" spans="1:14" x14ac:dyDescent="0.25">
      <c r="A1935">
        <v>1649.078107</v>
      </c>
      <c r="B1935" s="1">
        <f>DATE(2014,11,5) + TIME(1,52,28)</f>
        <v>41948.078101851854</v>
      </c>
      <c r="C1935">
        <v>80</v>
      </c>
      <c r="D1935">
        <v>78.581802367999998</v>
      </c>
      <c r="E1935">
        <v>50</v>
      </c>
      <c r="F1935">
        <v>49.918689727999997</v>
      </c>
      <c r="G1935">
        <v>1169.902832</v>
      </c>
      <c r="H1935">
        <v>1041.8959961</v>
      </c>
      <c r="I1935">
        <v>1779.8676757999999</v>
      </c>
      <c r="J1935">
        <v>1587.6833495999999</v>
      </c>
      <c r="K1935">
        <v>0</v>
      </c>
      <c r="L1935">
        <v>2400</v>
      </c>
      <c r="M1935">
        <v>2400</v>
      </c>
      <c r="N1935">
        <v>0</v>
      </c>
    </row>
    <row r="1936" spans="1:14" x14ac:dyDescent="0.25">
      <c r="A1936">
        <v>1649.5504450000001</v>
      </c>
      <c r="B1936" s="1">
        <f>DATE(2014,11,5) + TIME(13,12,38)</f>
        <v>41948.550439814811</v>
      </c>
      <c r="C1936">
        <v>80</v>
      </c>
      <c r="D1936">
        <v>78.525138854999994</v>
      </c>
      <c r="E1936">
        <v>50</v>
      </c>
      <c r="F1936">
        <v>49.949882506999998</v>
      </c>
      <c r="G1936">
        <v>1161.7319336</v>
      </c>
      <c r="H1936">
        <v>1033.6999512</v>
      </c>
      <c r="I1936">
        <v>1791.7896728999999</v>
      </c>
      <c r="J1936">
        <v>1599.7192382999999</v>
      </c>
      <c r="K1936">
        <v>0</v>
      </c>
      <c r="L1936">
        <v>2400</v>
      </c>
      <c r="M1936">
        <v>2400</v>
      </c>
      <c r="N1936">
        <v>0</v>
      </c>
    </row>
    <row r="1937" spans="1:14" x14ac:dyDescent="0.25">
      <c r="A1937">
        <v>1650.0854979999999</v>
      </c>
      <c r="B1937" s="1">
        <f>DATE(2014,11,6) + TIME(2,3,7)</f>
        <v>41949.085497685184</v>
      </c>
      <c r="C1937">
        <v>80</v>
      </c>
      <c r="D1937">
        <v>78.463088988999999</v>
      </c>
      <c r="E1937">
        <v>50</v>
      </c>
      <c r="F1937">
        <v>49.970169067</v>
      </c>
      <c r="G1937">
        <v>1153.4742432</v>
      </c>
      <c r="H1937">
        <v>1025.4152832</v>
      </c>
      <c r="I1937">
        <v>1803.6876221</v>
      </c>
      <c r="J1937">
        <v>1611.7023925999999</v>
      </c>
      <c r="K1937">
        <v>0</v>
      </c>
      <c r="L1937">
        <v>2400</v>
      </c>
      <c r="M1937">
        <v>2400</v>
      </c>
      <c r="N1937">
        <v>0</v>
      </c>
    </row>
    <row r="1938" spans="1:14" x14ac:dyDescent="0.25">
      <c r="A1938">
        <v>1650.6262260000001</v>
      </c>
      <c r="B1938" s="1">
        <f>DATE(2014,11,6) + TIME(15,1,45)</f>
        <v>41949.626215277778</v>
      </c>
      <c r="C1938">
        <v>80</v>
      </c>
      <c r="D1938">
        <v>78.399040221999996</v>
      </c>
      <c r="E1938">
        <v>50</v>
      </c>
      <c r="F1938">
        <v>49.981525421000001</v>
      </c>
      <c r="G1938">
        <v>1145.9649658000001</v>
      </c>
      <c r="H1938">
        <v>1017.8791504</v>
      </c>
      <c r="I1938">
        <v>1814.3093262</v>
      </c>
      <c r="J1938">
        <v>1622.3850098</v>
      </c>
      <c r="K1938">
        <v>0</v>
      </c>
      <c r="L1938">
        <v>2400</v>
      </c>
      <c r="M1938">
        <v>2400</v>
      </c>
      <c r="N1938">
        <v>0</v>
      </c>
    </row>
    <row r="1939" spans="1:14" x14ac:dyDescent="0.25">
      <c r="A1939">
        <v>1651.18281</v>
      </c>
      <c r="B1939" s="1">
        <f>DATE(2014,11,7) + TIME(4,23,14)</f>
        <v>41950.182800925926</v>
      </c>
      <c r="C1939">
        <v>80</v>
      </c>
      <c r="D1939">
        <v>78.333335876000007</v>
      </c>
      <c r="E1939">
        <v>50</v>
      </c>
      <c r="F1939">
        <v>49.987636565999999</v>
      </c>
      <c r="G1939">
        <v>1138.9797363</v>
      </c>
      <c r="H1939">
        <v>1010.8668213</v>
      </c>
      <c r="I1939">
        <v>1824.0529785000001</v>
      </c>
      <c r="J1939">
        <v>1632.1717529</v>
      </c>
      <c r="K1939">
        <v>0</v>
      </c>
      <c r="L1939">
        <v>2400</v>
      </c>
      <c r="M1939">
        <v>2400</v>
      </c>
      <c r="N1939">
        <v>0</v>
      </c>
    </row>
    <row r="1940" spans="1:14" x14ac:dyDescent="0.25">
      <c r="A1940">
        <v>1651.7657300000001</v>
      </c>
      <c r="B1940" s="1">
        <f>DATE(2014,11,7) + TIME(18,22,39)</f>
        <v>41950.765729166669</v>
      </c>
      <c r="C1940">
        <v>80</v>
      </c>
      <c r="D1940">
        <v>78.265678406000006</v>
      </c>
      <c r="E1940">
        <v>50</v>
      </c>
      <c r="F1940">
        <v>49.990585326999998</v>
      </c>
      <c r="G1940">
        <v>1132.3514404</v>
      </c>
      <c r="H1940">
        <v>1004.2109375</v>
      </c>
      <c r="I1940">
        <v>1833.1749268000001</v>
      </c>
      <c r="J1940">
        <v>1641.3254394999999</v>
      </c>
      <c r="K1940">
        <v>0</v>
      </c>
      <c r="L1940">
        <v>2400</v>
      </c>
      <c r="M1940">
        <v>2400</v>
      </c>
      <c r="N1940">
        <v>0</v>
      </c>
    </row>
    <row r="1941" spans="1:14" x14ac:dyDescent="0.25">
      <c r="A1941">
        <v>1652.385933</v>
      </c>
      <c r="B1941" s="1">
        <f>DATE(2014,11,8) + TIME(9,15,44)</f>
        <v>41951.385925925926</v>
      </c>
      <c r="C1941">
        <v>80</v>
      </c>
      <c r="D1941">
        <v>78.195404053000004</v>
      </c>
      <c r="E1941">
        <v>50</v>
      </c>
      <c r="F1941">
        <v>49.991615295000003</v>
      </c>
      <c r="G1941">
        <v>1125.9562988</v>
      </c>
      <c r="H1941">
        <v>997.78759765999996</v>
      </c>
      <c r="I1941">
        <v>1841.8537598</v>
      </c>
      <c r="J1941">
        <v>1650.0283202999999</v>
      </c>
      <c r="K1941">
        <v>0</v>
      </c>
      <c r="L1941">
        <v>2400</v>
      </c>
      <c r="M1941">
        <v>2400</v>
      </c>
      <c r="N1941">
        <v>0</v>
      </c>
    </row>
    <row r="1942" spans="1:14" x14ac:dyDescent="0.25">
      <c r="A1942">
        <v>1653.05602</v>
      </c>
      <c r="B1942" s="1">
        <f>DATE(2014,11,9) + TIME(1,20,40)</f>
        <v>41952.056018518517</v>
      </c>
      <c r="C1942">
        <v>80</v>
      </c>
      <c r="D1942">
        <v>78.121604919000006</v>
      </c>
      <c r="E1942">
        <v>50</v>
      </c>
      <c r="F1942">
        <v>49.991493224999999</v>
      </c>
      <c r="G1942">
        <v>1119.6947021000001</v>
      </c>
      <c r="H1942">
        <v>991.49694824000005</v>
      </c>
      <c r="I1942">
        <v>1850.2259521000001</v>
      </c>
      <c r="J1942">
        <v>1658.4195557</v>
      </c>
      <c r="K1942">
        <v>0</v>
      </c>
      <c r="L1942">
        <v>2400</v>
      </c>
      <c r="M1942">
        <v>2400</v>
      </c>
      <c r="N1942">
        <v>0</v>
      </c>
    </row>
    <row r="1943" spans="1:14" x14ac:dyDescent="0.25">
      <c r="A1943">
        <v>1653.7893650000001</v>
      </c>
      <c r="B1943" s="1">
        <f>DATE(2014,11,9) + TIME(18,56,41)</f>
        <v>41952.789363425924</v>
      </c>
      <c r="C1943">
        <v>80</v>
      </c>
      <c r="D1943">
        <v>78.043197632000002</v>
      </c>
      <c r="E1943">
        <v>50</v>
      </c>
      <c r="F1943">
        <v>49.990688323999997</v>
      </c>
      <c r="G1943">
        <v>1113.496582</v>
      </c>
      <c r="H1943">
        <v>985.26855468999997</v>
      </c>
      <c r="I1943">
        <v>1858.3812256000001</v>
      </c>
      <c r="J1943">
        <v>1666.5906981999999</v>
      </c>
      <c r="K1943">
        <v>0</v>
      </c>
      <c r="L1943">
        <v>2400</v>
      </c>
      <c r="M1943">
        <v>2400</v>
      </c>
      <c r="N1943">
        <v>0</v>
      </c>
    </row>
    <row r="1944" spans="1:14" x14ac:dyDescent="0.25">
      <c r="A1944">
        <v>1654.589352</v>
      </c>
      <c r="B1944" s="1">
        <f>DATE(2014,11,10) + TIME(14,8,40)</f>
        <v>41953.58935185185</v>
      </c>
      <c r="C1944">
        <v>80</v>
      </c>
      <c r="D1944">
        <v>77.959533691000004</v>
      </c>
      <c r="E1944">
        <v>50</v>
      </c>
      <c r="F1944">
        <v>49.989524840999998</v>
      </c>
      <c r="G1944">
        <v>1107.3903809000001</v>
      </c>
      <c r="H1944">
        <v>979.13055420000001</v>
      </c>
      <c r="I1944">
        <v>1866.2714844</v>
      </c>
      <c r="J1944">
        <v>1674.4943848</v>
      </c>
      <c r="K1944">
        <v>0</v>
      </c>
      <c r="L1944">
        <v>2400</v>
      </c>
      <c r="M1944">
        <v>2400</v>
      </c>
      <c r="N1944">
        <v>0</v>
      </c>
    </row>
    <row r="1945" spans="1:14" x14ac:dyDescent="0.25">
      <c r="A1945">
        <v>1655.4616109999999</v>
      </c>
      <c r="B1945" s="1">
        <f>DATE(2014,11,11) + TIME(11,4,43)</f>
        <v>41954.461608796293</v>
      </c>
      <c r="C1945">
        <v>80</v>
      </c>
      <c r="D1945">
        <v>77.870040893999999</v>
      </c>
      <c r="E1945">
        <v>50</v>
      </c>
      <c r="F1945">
        <v>49.988208770999996</v>
      </c>
      <c r="G1945">
        <v>1101.3879394999999</v>
      </c>
      <c r="H1945">
        <v>973.09442138999998</v>
      </c>
      <c r="I1945">
        <v>1873.8791504000001</v>
      </c>
      <c r="J1945">
        <v>1682.1137695</v>
      </c>
      <c r="K1945">
        <v>0</v>
      </c>
      <c r="L1945">
        <v>2400</v>
      </c>
      <c r="M1945">
        <v>2400</v>
      </c>
      <c r="N1945">
        <v>0</v>
      </c>
    </row>
    <row r="1946" spans="1:14" x14ac:dyDescent="0.25">
      <c r="A1946">
        <v>1656.3435870000001</v>
      </c>
      <c r="B1946" s="1">
        <f>DATE(2014,11,12) + TIME(8,14,45)</f>
        <v>41955.343576388892</v>
      </c>
      <c r="C1946">
        <v>80</v>
      </c>
      <c r="D1946">
        <v>77.777320861999996</v>
      </c>
      <c r="E1946">
        <v>50</v>
      </c>
      <c r="F1946">
        <v>49.986942290999998</v>
      </c>
      <c r="G1946">
        <v>1095.8814697</v>
      </c>
      <c r="H1946">
        <v>967.55383300999995</v>
      </c>
      <c r="I1946">
        <v>1880.6907959</v>
      </c>
      <c r="J1946">
        <v>1688.9360352000001</v>
      </c>
      <c r="K1946">
        <v>0</v>
      </c>
      <c r="L1946">
        <v>2400</v>
      </c>
      <c r="M1946">
        <v>2400</v>
      </c>
      <c r="N1946">
        <v>0</v>
      </c>
    </row>
    <row r="1947" spans="1:14" x14ac:dyDescent="0.25">
      <c r="A1947">
        <v>1657.2504779999999</v>
      </c>
      <c r="B1947" s="1">
        <f>DATE(2014,11,13) + TIME(6,0,41)</f>
        <v>41956.250474537039</v>
      </c>
      <c r="C1947">
        <v>80</v>
      </c>
      <c r="D1947">
        <v>77.682518005000006</v>
      </c>
      <c r="E1947">
        <v>50</v>
      </c>
      <c r="F1947">
        <v>49.985778809000003</v>
      </c>
      <c r="G1947">
        <v>1090.7331543</v>
      </c>
      <c r="H1947">
        <v>962.37054443</v>
      </c>
      <c r="I1947">
        <v>1886.9351807</v>
      </c>
      <c r="J1947">
        <v>1695.1889647999999</v>
      </c>
      <c r="K1947">
        <v>0</v>
      </c>
      <c r="L1947">
        <v>2400</v>
      </c>
      <c r="M1947">
        <v>2400</v>
      </c>
      <c r="N1947">
        <v>0</v>
      </c>
    </row>
    <row r="1948" spans="1:14" x14ac:dyDescent="0.25">
      <c r="A1948">
        <v>1658.198032</v>
      </c>
      <c r="B1948" s="1">
        <f>DATE(2014,11,14) + TIME(4,45,9)</f>
        <v>41957.198020833333</v>
      </c>
      <c r="C1948">
        <v>80</v>
      </c>
      <c r="D1948">
        <v>77.585342406999999</v>
      </c>
      <c r="E1948">
        <v>50</v>
      </c>
      <c r="F1948">
        <v>49.984722136999999</v>
      </c>
      <c r="G1948">
        <v>1085.8365478999999</v>
      </c>
      <c r="H1948">
        <v>957.43811034999999</v>
      </c>
      <c r="I1948">
        <v>1892.7604980000001</v>
      </c>
      <c r="J1948">
        <v>1701.0216064000001</v>
      </c>
      <c r="K1948">
        <v>0</v>
      </c>
      <c r="L1948">
        <v>2400</v>
      </c>
      <c r="M1948">
        <v>2400</v>
      </c>
      <c r="N1948">
        <v>0</v>
      </c>
    </row>
    <row r="1949" spans="1:14" x14ac:dyDescent="0.25">
      <c r="A1949">
        <v>1659.2033140000001</v>
      </c>
      <c r="B1949" s="1">
        <f>DATE(2014,11,15) + TIME(4,52,46)</f>
        <v>41958.203310185185</v>
      </c>
      <c r="C1949">
        <v>80</v>
      </c>
      <c r="D1949">
        <v>77.484786987000007</v>
      </c>
      <c r="E1949">
        <v>50</v>
      </c>
      <c r="F1949">
        <v>49.983757019000002</v>
      </c>
      <c r="G1949">
        <v>1081.1088867000001</v>
      </c>
      <c r="H1949">
        <v>952.67358397999999</v>
      </c>
      <c r="I1949">
        <v>1898.2725829999999</v>
      </c>
      <c r="J1949">
        <v>1706.5397949000001</v>
      </c>
      <c r="K1949">
        <v>0</v>
      </c>
      <c r="L1949">
        <v>2400</v>
      </c>
      <c r="M1949">
        <v>2400</v>
      </c>
      <c r="N1949">
        <v>0</v>
      </c>
    </row>
    <row r="1950" spans="1:14" x14ac:dyDescent="0.25">
      <c r="A1950">
        <v>1660.2863480000001</v>
      </c>
      <c r="B1950" s="1">
        <f>DATE(2014,11,16) + TIME(6,52,20)</f>
        <v>41959.28634259259</v>
      </c>
      <c r="C1950">
        <v>80</v>
      </c>
      <c r="D1950">
        <v>77.379440308</v>
      </c>
      <c r="E1950">
        <v>50</v>
      </c>
      <c r="F1950">
        <v>49.982872008999998</v>
      </c>
      <c r="G1950">
        <v>1076.4821777</v>
      </c>
      <c r="H1950">
        <v>948.00830078000001</v>
      </c>
      <c r="I1950">
        <v>1903.5518798999999</v>
      </c>
      <c r="J1950">
        <v>1711.8245850000001</v>
      </c>
      <c r="K1950">
        <v>0</v>
      </c>
      <c r="L1950">
        <v>2400</v>
      </c>
      <c r="M1950">
        <v>2400</v>
      </c>
      <c r="N1950">
        <v>0</v>
      </c>
    </row>
    <row r="1951" spans="1:14" x14ac:dyDescent="0.25">
      <c r="A1951">
        <v>1661.4726579999999</v>
      </c>
      <c r="B1951" s="1">
        <f>DATE(2014,11,17) + TIME(11,20,37)</f>
        <v>41960.472650462965</v>
      </c>
      <c r="C1951">
        <v>80</v>
      </c>
      <c r="D1951">
        <v>77.267494201999995</v>
      </c>
      <c r="E1951">
        <v>50</v>
      </c>
      <c r="F1951">
        <v>49.982055664000001</v>
      </c>
      <c r="G1951">
        <v>1071.8944091999999</v>
      </c>
      <c r="H1951">
        <v>943.37951659999999</v>
      </c>
      <c r="I1951">
        <v>1908.6649170000001</v>
      </c>
      <c r="J1951">
        <v>1716.9425048999999</v>
      </c>
      <c r="K1951">
        <v>0</v>
      </c>
      <c r="L1951">
        <v>2400</v>
      </c>
      <c r="M1951">
        <v>2400</v>
      </c>
      <c r="N1951">
        <v>0</v>
      </c>
    </row>
    <row r="1952" spans="1:14" x14ac:dyDescent="0.25">
      <c r="A1952">
        <v>1662.758106</v>
      </c>
      <c r="B1952" s="1">
        <f>DATE(2014,11,18) + TIME(18,11,40)</f>
        <v>41961.758101851854</v>
      </c>
      <c r="C1952">
        <v>80</v>
      </c>
      <c r="D1952">
        <v>77.147903442</v>
      </c>
      <c r="E1952">
        <v>50</v>
      </c>
      <c r="F1952">
        <v>49.981304168999998</v>
      </c>
      <c r="G1952">
        <v>1067.4025879000001</v>
      </c>
      <c r="H1952">
        <v>938.84387206999997</v>
      </c>
      <c r="I1952">
        <v>1913.5321045000001</v>
      </c>
      <c r="J1952">
        <v>1721.8140868999999</v>
      </c>
      <c r="K1952">
        <v>0</v>
      </c>
      <c r="L1952">
        <v>2400</v>
      </c>
      <c r="M1952">
        <v>2400</v>
      </c>
      <c r="N1952">
        <v>0</v>
      </c>
    </row>
    <row r="1953" spans="1:14" x14ac:dyDescent="0.25">
      <c r="A1953">
        <v>1664.058282</v>
      </c>
      <c r="B1953" s="1">
        <f>DATE(2014,11,20) + TIME(1,23,55)</f>
        <v>41963.058275462965</v>
      </c>
      <c r="C1953">
        <v>80</v>
      </c>
      <c r="D1953">
        <v>77.023254394999995</v>
      </c>
      <c r="E1953">
        <v>50</v>
      </c>
      <c r="F1953">
        <v>49.980651854999998</v>
      </c>
      <c r="G1953">
        <v>1063.2731934000001</v>
      </c>
      <c r="H1953">
        <v>934.66876220999995</v>
      </c>
      <c r="I1953">
        <v>1917.8499756000001</v>
      </c>
      <c r="J1953">
        <v>1726.1359863</v>
      </c>
      <c r="K1953">
        <v>0</v>
      </c>
      <c r="L1953">
        <v>2400</v>
      </c>
      <c r="M1953">
        <v>2400</v>
      </c>
      <c r="N1953">
        <v>0</v>
      </c>
    </row>
    <row r="1954" spans="1:14" x14ac:dyDescent="0.25">
      <c r="A1954">
        <v>1665.3953469999999</v>
      </c>
      <c r="B1954" s="1">
        <f>DATE(2014,11,21) + TIME(9,29,17)</f>
        <v>41964.395335648151</v>
      </c>
      <c r="C1954">
        <v>80</v>
      </c>
      <c r="D1954">
        <v>76.896064757999994</v>
      </c>
      <c r="E1954">
        <v>50</v>
      </c>
      <c r="F1954">
        <v>49.980091094999999</v>
      </c>
      <c r="G1954">
        <v>1059.4125977000001</v>
      </c>
      <c r="H1954">
        <v>930.76068114999998</v>
      </c>
      <c r="I1954">
        <v>1921.7641602000001</v>
      </c>
      <c r="J1954">
        <v>1730.0533447</v>
      </c>
      <c r="K1954">
        <v>0</v>
      </c>
      <c r="L1954">
        <v>2400</v>
      </c>
      <c r="M1954">
        <v>2400</v>
      </c>
      <c r="N1954">
        <v>0</v>
      </c>
    </row>
    <row r="1955" spans="1:14" x14ac:dyDescent="0.25">
      <c r="A1955">
        <v>1666.7929610000001</v>
      </c>
      <c r="B1955" s="1">
        <f>DATE(2014,11,22) + TIME(19,1,51)</f>
        <v>41965.792951388888</v>
      </c>
      <c r="C1955">
        <v>80</v>
      </c>
      <c r="D1955">
        <v>76.765953064000001</v>
      </c>
      <c r="E1955">
        <v>50</v>
      </c>
      <c r="F1955">
        <v>49.979598998999997</v>
      </c>
      <c r="G1955">
        <v>1055.7454834</v>
      </c>
      <c r="H1955">
        <v>927.04412841999999</v>
      </c>
      <c r="I1955">
        <v>1925.3669434000001</v>
      </c>
      <c r="J1955">
        <v>1733.6588135</v>
      </c>
      <c r="K1955">
        <v>0</v>
      </c>
      <c r="L1955">
        <v>2400</v>
      </c>
      <c r="M1955">
        <v>2400</v>
      </c>
      <c r="N1955">
        <v>0</v>
      </c>
    </row>
    <row r="1956" spans="1:14" x14ac:dyDescent="0.25">
      <c r="A1956">
        <v>1668.277525</v>
      </c>
      <c r="B1956" s="1">
        <f>DATE(2014,11,24) + TIME(6,39,38)</f>
        <v>41967.27752314815</v>
      </c>
      <c r="C1956">
        <v>80</v>
      </c>
      <c r="D1956">
        <v>76.631355286000002</v>
      </c>
      <c r="E1956">
        <v>50</v>
      </c>
      <c r="F1956">
        <v>49.979160309000001</v>
      </c>
      <c r="G1956">
        <v>1052.2119141000001</v>
      </c>
      <c r="H1956">
        <v>923.45855713000003</v>
      </c>
      <c r="I1956">
        <v>1928.7216797000001</v>
      </c>
      <c r="J1956">
        <v>1737.0157471</v>
      </c>
      <c r="K1956">
        <v>0</v>
      </c>
      <c r="L1956">
        <v>2400</v>
      </c>
      <c r="M1956">
        <v>2400</v>
      </c>
      <c r="N1956">
        <v>0</v>
      </c>
    </row>
    <row r="1957" spans="1:14" x14ac:dyDescent="0.25">
      <c r="A1957">
        <v>1669.8714709999999</v>
      </c>
      <c r="B1957" s="1">
        <f>DATE(2014,11,25) + TIME(20,54,55)</f>
        <v>41968.871469907404</v>
      </c>
      <c r="C1957">
        <v>80</v>
      </c>
      <c r="D1957">
        <v>76.490394592000001</v>
      </c>
      <c r="E1957">
        <v>50</v>
      </c>
      <c r="F1957">
        <v>49.978767394999998</v>
      </c>
      <c r="G1957">
        <v>1048.7791748</v>
      </c>
      <c r="H1957">
        <v>919.97003173999997</v>
      </c>
      <c r="I1957">
        <v>1931.8562012</v>
      </c>
      <c r="J1957">
        <v>1740.1523437999999</v>
      </c>
      <c r="K1957">
        <v>0</v>
      </c>
      <c r="L1957">
        <v>2400</v>
      </c>
      <c r="M1957">
        <v>2400</v>
      </c>
      <c r="N1957">
        <v>0</v>
      </c>
    </row>
    <row r="1958" spans="1:14" x14ac:dyDescent="0.25">
      <c r="A1958">
        <v>1671.5982610000001</v>
      </c>
      <c r="B1958" s="1">
        <f>DATE(2014,11,27) + TIME(14,21,29)</f>
        <v>41970.598252314812</v>
      </c>
      <c r="C1958">
        <v>80</v>
      </c>
      <c r="D1958">
        <v>76.341178893999995</v>
      </c>
      <c r="E1958">
        <v>50</v>
      </c>
      <c r="F1958">
        <v>49.978408813000001</v>
      </c>
      <c r="G1958">
        <v>1045.4255370999999</v>
      </c>
      <c r="H1958">
        <v>916.55584716999999</v>
      </c>
      <c r="I1958">
        <v>1934.7836914</v>
      </c>
      <c r="J1958">
        <v>1743.081543</v>
      </c>
      <c r="K1958">
        <v>0</v>
      </c>
      <c r="L1958">
        <v>2400</v>
      </c>
      <c r="M1958">
        <v>2400</v>
      </c>
      <c r="N1958">
        <v>0</v>
      </c>
    </row>
    <row r="1959" spans="1:14" x14ac:dyDescent="0.25">
      <c r="A1959">
        <v>1673.354425</v>
      </c>
      <c r="B1959" s="1">
        <f>DATE(2014,11,29) + TIME(8,30,22)</f>
        <v>41972.354421296295</v>
      </c>
      <c r="C1959">
        <v>80</v>
      </c>
      <c r="D1959">
        <v>76.185035705999994</v>
      </c>
      <c r="E1959">
        <v>50</v>
      </c>
      <c r="F1959">
        <v>49.978092193999998</v>
      </c>
      <c r="G1959">
        <v>1042.3264160000001</v>
      </c>
      <c r="H1959">
        <v>913.39129638999998</v>
      </c>
      <c r="I1959">
        <v>1937.3283690999999</v>
      </c>
      <c r="J1959">
        <v>1745.6276855000001</v>
      </c>
      <c r="K1959">
        <v>0</v>
      </c>
      <c r="L1959">
        <v>2400</v>
      </c>
      <c r="M1959">
        <v>2400</v>
      </c>
      <c r="N1959">
        <v>0</v>
      </c>
    </row>
    <row r="1960" spans="1:14" x14ac:dyDescent="0.25">
      <c r="A1960">
        <v>1675</v>
      </c>
      <c r="B1960" s="1">
        <f>DATE(2014,12,1) + TIME(0,0,0)</f>
        <v>41974</v>
      </c>
      <c r="C1960">
        <v>80</v>
      </c>
      <c r="D1960">
        <v>76.030090332</v>
      </c>
      <c r="E1960">
        <v>50</v>
      </c>
      <c r="F1960">
        <v>49.977836609000001</v>
      </c>
      <c r="G1960">
        <v>1039.6486815999999</v>
      </c>
      <c r="H1960">
        <v>910.64599609000004</v>
      </c>
      <c r="I1960">
        <v>1939.3746338000001</v>
      </c>
      <c r="J1960">
        <v>1747.6751709</v>
      </c>
      <c r="K1960">
        <v>0</v>
      </c>
      <c r="L1960">
        <v>2400</v>
      </c>
      <c r="M1960">
        <v>2400</v>
      </c>
      <c r="N1960">
        <v>0</v>
      </c>
    </row>
    <row r="1961" spans="1:14" x14ac:dyDescent="0.25">
      <c r="A1961">
        <v>1676.7894120000001</v>
      </c>
      <c r="B1961" s="1">
        <f>DATE(2014,12,2) + TIME(18,56,45)</f>
        <v>41975.789409722223</v>
      </c>
      <c r="C1961">
        <v>80</v>
      </c>
      <c r="D1961">
        <v>75.876251221000004</v>
      </c>
      <c r="E1961">
        <v>50</v>
      </c>
      <c r="F1961">
        <v>49.977622986</v>
      </c>
      <c r="G1961">
        <v>1037.0166016000001</v>
      </c>
      <c r="H1961">
        <v>907.94305420000001</v>
      </c>
      <c r="I1961">
        <v>1941.3094481999999</v>
      </c>
      <c r="J1961">
        <v>1749.6108397999999</v>
      </c>
      <c r="K1961">
        <v>0</v>
      </c>
      <c r="L1961">
        <v>2400</v>
      </c>
      <c r="M1961">
        <v>2400</v>
      </c>
      <c r="N1961">
        <v>0</v>
      </c>
    </row>
    <row r="1962" spans="1:14" x14ac:dyDescent="0.25">
      <c r="A1962">
        <v>1678.690392</v>
      </c>
      <c r="B1962" s="1">
        <f>DATE(2014,12,4) + TIME(16,34,9)</f>
        <v>41977.690381944441</v>
      </c>
      <c r="C1962">
        <v>80</v>
      </c>
      <c r="D1962">
        <v>75.716133118000002</v>
      </c>
      <c r="E1962">
        <v>50</v>
      </c>
      <c r="F1962">
        <v>49.977432251000003</v>
      </c>
      <c r="G1962">
        <v>1034.4714355000001</v>
      </c>
      <c r="H1962">
        <v>905.32110595999995</v>
      </c>
      <c r="I1962">
        <v>1943.0556641000001</v>
      </c>
      <c r="J1962">
        <v>1751.3579102000001</v>
      </c>
      <c r="K1962">
        <v>0</v>
      </c>
      <c r="L1962">
        <v>2400</v>
      </c>
      <c r="M1962">
        <v>2400</v>
      </c>
      <c r="N1962">
        <v>0</v>
      </c>
    </row>
    <row r="1963" spans="1:14" x14ac:dyDescent="0.25">
      <c r="A1963">
        <v>1680.674606</v>
      </c>
      <c r="B1963" s="1">
        <f>DATE(2014,12,6) + TIME(16,11,25)</f>
        <v>41979.67459490741</v>
      </c>
      <c r="C1963">
        <v>80</v>
      </c>
      <c r="D1963">
        <v>75.549049377000003</v>
      </c>
      <c r="E1963">
        <v>50</v>
      </c>
      <c r="F1963">
        <v>49.97726059</v>
      </c>
      <c r="G1963">
        <v>1032.0451660000001</v>
      </c>
      <c r="H1963">
        <v>902.81048583999996</v>
      </c>
      <c r="I1963">
        <v>1944.5845947</v>
      </c>
      <c r="J1963">
        <v>1752.8874512</v>
      </c>
      <c r="K1963">
        <v>0</v>
      </c>
      <c r="L1963">
        <v>2400</v>
      </c>
      <c r="M1963">
        <v>2400</v>
      </c>
      <c r="N1963">
        <v>0</v>
      </c>
    </row>
    <row r="1964" spans="1:14" x14ac:dyDescent="0.25">
      <c r="A1964">
        <v>1682.698981</v>
      </c>
      <c r="B1964" s="1">
        <f>DATE(2014,12,8) + TIME(16,46,31)</f>
        <v>41981.698969907404</v>
      </c>
      <c r="C1964">
        <v>80</v>
      </c>
      <c r="D1964">
        <v>75.376914978000002</v>
      </c>
      <c r="E1964">
        <v>50</v>
      </c>
      <c r="F1964">
        <v>49.977115630999997</v>
      </c>
      <c r="G1964">
        <v>1029.770874</v>
      </c>
      <c r="H1964">
        <v>900.44421387</v>
      </c>
      <c r="I1964">
        <v>1945.8808594</v>
      </c>
      <c r="J1964">
        <v>1754.1842041</v>
      </c>
      <c r="K1964">
        <v>0</v>
      </c>
      <c r="L1964">
        <v>2400</v>
      </c>
      <c r="M1964">
        <v>2400</v>
      </c>
      <c r="N1964">
        <v>0</v>
      </c>
    </row>
    <row r="1965" spans="1:14" x14ac:dyDescent="0.25">
      <c r="A1965">
        <v>1684.750125</v>
      </c>
      <c r="B1965" s="1">
        <f>DATE(2014,12,10) + TIME(18,0,10)</f>
        <v>41983.750115740739</v>
      </c>
      <c r="C1965">
        <v>80</v>
      </c>
      <c r="D1965">
        <v>75.202194214000002</v>
      </c>
      <c r="E1965">
        <v>50</v>
      </c>
      <c r="F1965">
        <v>49.976997375000003</v>
      </c>
      <c r="G1965">
        <v>1027.6451416</v>
      </c>
      <c r="H1965">
        <v>898.21893310999997</v>
      </c>
      <c r="I1965">
        <v>1946.9659423999999</v>
      </c>
      <c r="J1965">
        <v>1755.2697754000001</v>
      </c>
      <c r="K1965">
        <v>0</v>
      </c>
      <c r="L1965">
        <v>2400</v>
      </c>
      <c r="M1965">
        <v>2400</v>
      </c>
      <c r="N1965">
        <v>0</v>
      </c>
    </row>
    <row r="1966" spans="1:14" x14ac:dyDescent="0.25">
      <c r="A1966">
        <v>1686.853742</v>
      </c>
      <c r="B1966" s="1">
        <f>DATE(2014,12,12) + TIME(20,29,23)</f>
        <v>41985.853738425925</v>
      </c>
      <c r="C1966">
        <v>80</v>
      </c>
      <c r="D1966">
        <v>75.025390625</v>
      </c>
      <c r="E1966">
        <v>50</v>
      </c>
      <c r="F1966">
        <v>49.976902008000003</v>
      </c>
      <c r="G1966">
        <v>1025.6319579999999</v>
      </c>
      <c r="H1966">
        <v>896.09832763999998</v>
      </c>
      <c r="I1966">
        <v>1947.8789062000001</v>
      </c>
      <c r="J1966">
        <v>1756.1831055</v>
      </c>
      <c r="K1966">
        <v>0</v>
      </c>
      <c r="L1966">
        <v>2400</v>
      </c>
      <c r="M1966">
        <v>2400</v>
      </c>
      <c r="N1966">
        <v>0</v>
      </c>
    </row>
    <row r="1967" spans="1:14" x14ac:dyDescent="0.25">
      <c r="A1967">
        <v>1689.0354440000001</v>
      </c>
      <c r="B1967" s="1">
        <f>DATE(2014,12,15) + TIME(0,51,2)</f>
        <v>41988.035439814812</v>
      </c>
      <c r="C1967">
        <v>80</v>
      </c>
      <c r="D1967">
        <v>74.844848632999998</v>
      </c>
      <c r="E1967">
        <v>50</v>
      </c>
      <c r="F1967">
        <v>49.976825714</v>
      </c>
      <c r="G1967">
        <v>1023.6994629</v>
      </c>
      <c r="H1967">
        <v>894.04876708999996</v>
      </c>
      <c r="I1967">
        <v>1948.6442870999999</v>
      </c>
      <c r="J1967">
        <v>1756.9488524999999</v>
      </c>
      <c r="K1967">
        <v>0</v>
      </c>
      <c r="L1967">
        <v>2400</v>
      </c>
      <c r="M1967">
        <v>2400</v>
      </c>
      <c r="N1967">
        <v>0</v>
      </c>
    </row>
    <row r="1968" spans="1:14" x14ac:dyDescent="0.25">
      <c r="A1968">
        <v>1691.2808439999999</v>
      </c>
      <c r="B1968" s="1">
        <f>DATE(2014,12,17) + TIME(6,44,24)</f>
        <v>41990.280833333331</v>
      </c>
      <c r="C1968">
        <v>80</v>
      </c>
      <c r="D1968">
        <v>74.659439086999996</v>
      </c>
      <c r="E1968">
        <v>50</v>
      </c>
      <c r="F1968">
        <v>49.976764678999999</v>
      </c>
      <c r="G1968">
        <v>1021.8446655</v>
      </c>
      <c r="H1968">
        <v>892.06549071999996</v>
      </c>
      <c r="I1968">
        <v>1949.2662353999999</v>
      </c>
      <c r="J1968">
        <v>1757.5710449000001</v>
      </c>
      <c r="K1968">
        <v>0</v>
      </c>
      <c r="L1968">
        <v>2400</v>
      </c>
      <c r="M1968">
        <v>2400</v>
      </c>
      <c r="N1968">
        <v>0</v>
      </c>
    </row>
    <row r="1969" spans="1:14" x14ac:dyDescent="0.25">
      <c r="A1969">
        <v>1693.5519429999999</v>
      </c>
      <c r="B1969" s="1">
        <f>DATE(2014,12,19) + TIME(13,14,47)</f>
        <v>41992.551932870374</v>
      </c>
      <c r="C1969">
        <v>80</v>
      </c>
      <c r="D1969">
        <v>74.470191955999994</v>
      </c>
      <c r="E1969">
        <v>50</v>
      </c>
      <c r="F1969">
        <v>49.976715087999999</v>
      </c>
      <c r="G1969">
        <v>1020.0777588</v>
      </c>
      <c r="H1969">
        <v>890.15814208999996</v>
      </c>
      <c r="I1969">
        <v>1949.7495117000001</v>
      </c>
      <c r="J1969">
        <v>1758.0545654</v>
      </c>
      <c r="K1969">
        <v>0</v>
      </c>
      <c r="L1969">
        <v>2400</v>
      </c>
      <c r="M1969">
        <v>2400</v>
      </c>
      <c r="N1969">
        <v>0</v>
      </c>
    </row>
    <row r="1970" spans="1:14" x14ac:dyDescent="0.25">
      <c r="A1970">
        <v>1695.8739860000001</v>
      </c>
      <c r="B1970" s="1">
        <f>DATE(2014,12,21) + TIME(20,58,32)</f>
        <v>41994.873981481483</v>
      </c>
      <c r="C1970">
        <v>80</v>
      </c>
      <c r="D1970">
        <v>74.278244018999999</v>
      </c>
      <c r="E1970">
        <v>50</v>
      </c>
      <c r="F1970">
        <v>49.976684570000003</v>
      </c>
      <c r="G1970">
        <v>1018.3754272</v>
      </c>
      <c r="H1970">
        <v>888.30310058999999</v>
      </c>
      <c r="I1970">
        <v>1950.1201172000001</v>
      </c>
      <c r="J1970">
        <v>1758.425293</v>
      </c>
      <c r="K1970">
        <v>0</v>
      </c>
      <c r="L1970">
        <v>2400</v>
      </c>
      <c r="M1970">
        <v>2400</v>
      </c>
      <c r="N1970">
        <v>0</v>
      </c>
    </row>
    <row r="1971" spans="1:14" x14ac:dyDescent="0.25">
      <c r="A1971">
        <v>1698.2725929999999</v>
      </c>
      <c r="B1971" s="1">
        <f>DATE(2014,12,24) + TIME(6,32,32)</f>
        <v>41997.272592592592</v>
      </c>
      <c r="C1971">
        <v>80</v>
      </c>
      <c r="D1971">
        <v>74.082168578999998</v>
      </c>
      <c r="E1971">
        <v>50</v>
      </c>
      <c r="F1971">
        <v>49.976661682</v>
      </c>
      <c r="G1971">
        <v>1016.7124634</v>
      </c>
      <c r="H1971">
        <v>886.47326659999999</v>
      </c>
      <c r="I1971">
        <v>1950.394043</v>
      </c>
      <c r="J1971">
        <v>1758.6994629000001</v>
      </c>
      <c r="K1971">
        <v>0</v>
      </c>
      <c r="L1971">
        <v>2400</v>
      </c>
      <c r="M1971">
        <v>2400</v>
      </c>
      <c r="N1971">
        <v>0</v>
      </c>
    </row>
    <row r="1972" spans="1:14" x14ac:dyDescent="0.25">
      <c r="A1972">
        <v>1700.7432020000001</v>
      </c>
      <c r="B1972" s="1">
        <f>DATE(2014,12,26) + TIME(17,50,12)</f>
        <v>41999.743194444447</v>
      </c>
      <c r="C1972">
        <v>80</v>
      </c>
      <c r="D1972">
        <v>73.880569457999997</v>
      </c>
      <c r="E1972">
        <v>50</v>
      </c>
      <c r="F1972">
        <v>49.976654052999997</v>
      </c>
      <c r="G1972">
        <v>1015.0785522</v>
      </c>
      <c r="H1972">
        <v>884.65563965000001</v>
      </c>
      <c r="I1972">
        <v>1950.5786132999999</v>
      </c>
      <c r="J1972">
        <v>1758.8841553</v>
      </c>
      <c r="K1972">
        <v>0</v>
      </c>
      <c r="L1972">
        <v>2400</v>
      </c>
      <c r="M1972">
        <v>2400</v>
      </c>
      <c r="N1972">
        <v>0</v>
      </c>
    </row>
    <row r="1973" spans="1:14" x14ac:dyDescent="0.25">
      <c r="A1973">
        <v>1703.2416720000001</v>
      </c>
      <c r="B1973" s="1">
        <f>DATE(2014,12,29) + TIME(5,48,0)</f>
        <v>42002.241666666669</v>
      </c>
      <c r="C1973">
        <v>80</v>
      </c>
      <c r="D1973">
        <v>73.673973083000007</v>
      </c>
      <c r="E1973">
        <v>50</v>
      </c>
      <c r="F1973">
        <v>49.976650237999998</v>
      </c>
      <c r="G1973">
        <v>1013.4816284</v>
      </c>
      <c r="H1973">
        <v>882.85717772999999</v>
      </c>
      <c r="I1973">
        <v>1950.6793213000001</v>
      </c>
      <c r="J1973">
        <v>1758.9851074000001</v>
      </c>
      <c r="K1973">
        <v>0</v>
      </c>
      <c r="L1973">
        <v>2400</v>
      </c>
      <c r="M1973">
        <v>2400</v>
      </c>
      <c r="N1973">
        <v>0</v>
      </c>
    </row>
    <row r="1974" spans="1:14" x14ac:dyDescent="0.25">
      <c r="A1974">
        <v>1705.7932310000001</v>
      </c>
      <c r="B1974" s="1">
        <f>DATE(2014,12,31) + TIME(19,2,15)</f>
        <v>42004.793229166666</v>
      </c>
      <c r="C1974">
        <v>80</v>
      </c>
      <c r="D1974">
        <v>73.463691710999996</v>
      </c>
      <c r="E1974">
        <v>50</v>
      </c>
      <c r="F1974">
        <v>49.976657867</v>
      </c>
      <c r="G1974">
        <v>1011.9073486</v>
      </c>
      <c r="H1974">
        <v>881.06365966999999</v>
      </c>
      <c r="I1974">
        <v>1950.7126464999999</v>
      </c>
      <c r="J1974">
        <v>1759.0184326000001</v>
      </c>
      <c r="K1974">
        <v>0</v>
      </c>
      <c r="L1974">
        <v>2400</v>
      </c>
      <c r="M1974">
        <v>2400</v>
      </c>
      <c r="N1974">
        <v>0</v>
      </c>
    </row>
    <row r="1975" spans="1:14" x14ac:dyDescent="0.25">
      <c r="A1975">
        <v>1706</v>
      </c>
      <c r="B1975" s="1">
        <f>DATE(2015,1,1) + TIME(0,0,0)</f>
        <v>42005</v>
      </c>
      <c r="C1975">
        <v>80</v>
      </c>
      <c r="D1975">
        <v>73.404861449999999</v>
      </c>
      <c r="E1975">
        <v>50</v>
      </c>
      <c r="F1975">
        <v>49.976631165000001</v>
      </c>
      <c r="G1975">
        <v>1011.5337524</v>
      </c>
      <c r="H1975">
        <v>880.61169433999999</v>
      </c>
      <c r="I1975">
        <v>1950.692749</v>
      </c>
      <c r="J1975">
        <v>1758.9986572</v>
      </c>
      <c r="K1975">
        <v>0</v>
      </c>
      <c r="L1975">
        <v>2400</v>
      </c>
      <c r="M1975">
        <v>2400</v>
      </c>
      <c r="N1975">
        <v>0</v>
      </c>
    </row>
    <row r="1976" spans="1:14" x14ac:dyDescent="0.25">
      <c r="A1976">
        <v>1708.6301619999999</v>
      </c>
      <c r="B1976" s="1">
        <f>DATE(2015,1,3) + TIME(15,7,26)</f>
        <v>42007.630162037036</v>
      </c>
      <c r="C1976">
        <v>80</v>
      </c>
      <c r="D1976">
        <v>73.220962524000001</v>
      </c>
      <c r="E1976">
        <v>50</v>
      </c>
      <c r="F1976">
        <v>49.976673126000001</v>
      </c>
      <c r="G1976">
        <v>1010.1795654</v>
      </c>
      <c r="H1976">
        <v>879.06304932</v>
      </c>
      <c r="I1976">
        <v>1950.6737060999999</v>
      </c>
      <c r="J1976">
        <v>1758.9797363</v>
      </c>
      <c r="K1976">
        <v>0</v>
      </c>
      <c r="L1976">
        <v>2400</v>
      </c>
      <c r="M1976">
        <v>2400</v>
      </c>
      <c r="N1976">
        <v>0</v>
      </c>
    </row>
    <row r="1977" spans="1:14" x14ac:dyDescent="0.25">
      <c r="A1977">
        <v>1711.330426</v>
      </c>
      <c r="B1977" s="1">
        <f>DATE(2015,1,6) + TIME(7,55,48)</f>
        <v>42010.330416666664</v>
      </c>
      <c r="C1977">
        <v>80</v>
      </c>
      <c r="D1977">
        <v>73.006271362000007</v>
      </c>
      <c r="E1977">
        <v>50</v>
      </c>
      <c r="F1977">
        <v>49.976699828999998</v>
      </c>
      <c r="G1977">
        <v>1008.6220092999999</v>
      </c>
      <c r="H1977">
        <v>877.25054932</v>
      </c>
      <c r="I1977">
        <v>1950.6011963000001</v>
      </c>
      <c r="J1977">
        <v>1758.9072266000001</v>
      </c>
      <c r="K1977">
        <v>0</v>
      </c>
      <c r="L1977">
        <v>2400</v>
      </c>
      <c r="M1977">
        <v>2400</v>
      </c>
      <c r="N1977">
        <v>0</v>
      </c>
    </row>
    <row r="1978" spans="1:14" x14ac:dyDescent="0.25">
      <c r="A1978">
        <v>1714.0655670000001</v>
      </c>
      <c r="B1978" s="1">
        <f>DATE(2015,1,9) + TIME(1,34,24)</f>
        <v>42013.065555555557</v>
      </c>
      <c r="C1978">
        <v>80</v>
      </c>
      <c r="D1978">
        <v>72.779342650999993</v>
      </c>
      <c r="E1978">
        <v>50</v>
      </c>
      <c r="F1978">
        <v>49.976726532000001</v>
      </c>
      <c r="G1978">
        <v>1007.0454102</v>
      </c>
      <c r="H1978">
        <v>875.38647461000005</v>
      </c>
      <c r="I1978">
        <v>1950.4772949000001</v>
      </c>
      <c r="J1978">
        <v>1758.7834473</v>
      </c>
      <c r="K1978">
        <v>0</v>
      </c>
      <c r="L1978">
        <v>2400</v>
      </c>
      <c r="M1978">
        <v>2400</v>
      </c>
      <c r="N1978">
        <v>0</v>
      </c>
    </row>
    <row r="1979" spans="1:14" x14ac:dyDescent="0.25">
      <c r="A1979">
        <v>1716.861232</v>
      </c>
      <c r="B1979" s="1">
        <f>DATE(2015,1,11) + TIME(20,40,10)</f>
        <v>42015.861226851855</v>
      </c>
      <c r="C1979">
        <v>80</v>
      </c>
      <c r="D1979">
        <v>72.545616150000001</v>
      </c>
      <c r="E1979">
        <v>50</v>
      </c>
      <c r="F1979">
        <v>49.976757050000003</v>
      </c>
      <c r="G1979">
        <v>1005.4519043</v>
      </c>
      <c r="H1979">
        <v>873.47869873000002</v>
      </c>
      <c r="I1979">
        <v>1950.3155518000001</v>
      </c>
      <c r="J1979">
        <v>1758.6218262</v>
      </c>
      <c r="K1979">
        <v>0</v>
      </c>
      <c r="L1979">
        <v>2400</v>
      </c>
      <c r="M1979">
        <v>2400</v>
      </c>
      <c r="N1979">
        <v>0</v>
      </c>
    </row>
    <row r="1980" spans="1:14" x14ac:dyDescent="0.25">
      <c r="A1980">
        <v>1719.7433940000001</v>
      </c>
      <c r="B1980" s="1">
        <f>DATE(2015,1,14) + TIME(17,50,29)</f>
        <v>42018.743391203701</v>
      </c>
      <c r="C1980">
        <v>80</v>
      </c>
      <c r="D1980">
        <v>72.304267882999994</v>
      </c>
      <c r="E1980">
        <v>50</v>
      </c>
      <c r="F1980">
        <v>49.976791382000002</v>
      </c>
      <c r="G1980">
        <v>1003.8256226</v>
      </c>
      <c r="H1980">
        <v>871.50903319999998</v>
      </c>
      <c r="I1980">
        <v>1950.1218262</v>
      </c>
      <c r="J1980">
        <v>1758.4282227000001</v>
      </c>
      <c r="K1980">
        <v>0</v>
      </c>
      <c r="L1980">
        <v>2400</v>
      </c>
      <c r="M1980">
        <v>2400</v>
      </c>
      <c r="N1980">
        <v>0</v>
      </c>
    </row>
    <row r="1981" spans="1:14" x14ac:dyDescent="0.25">
      <c r="A1981">
        <v>1722.672292</v>
      </c>
      <c r="B1981" s="1">
        <f>DATE(2015,1,17) + TIME(16,8,5)</f>
        <v>42021.672280092593</v>
      </c>
      <c r="C1981">
        <v>80</v>
      </c>
      <c r="D1981">
        <v>72.054100036999998</v>
      </c>
      <c r="E1981">
        <v>50</v>
      </c>
      <c r="F1981">
        <v>49.976833343999999</v>
      </c>
      <c r="G1981">
        <v>1002.1645508</v>
      </c>
      <c r="H1981">
        <v>869.47210693</v>
      </c>
      <c r="I1981">
        <v>1949.9008789</v>
      </c>
      <c r="J1981">
        <v>1758.2073975000001</v>
      </c>
      <c r="K1981">
        <v>0</v>
      </c>
      <c r="L1981">
        <v>2400</v>
      </c>
      <c r="M1981">
        <v>2400</v>
      </c>
      <c r="N1981">
        <v>0</v>
      </c>
    </row>
    <row r="1982" spans="1:14" x14ac:dyDescent="0.25">
      <c r="A1982">
        <v>1725.644168</v>
      </c>
      <c r="B1982" s="1">
        <f>DATE(2015,1,20) + TIME(15,27,36)</f>
        <v>42024.644166666665</v>
      </c>
      <c r="C1982">
        <v>80</v>
      </c>
      <c r="D1982">
        <v>71.796516417999996</v>
      </c>
      <c r="E1982">
        <v>50</v>
      </c>
      <c r="F1982">
        <v>49.976875305</v>
      </c>
      <c r="G1982">
        <v>1000.4707031</v>
      </c>
      <c r="H1982">
        <v>867.37011718999997</v>
      </c>
      <c r="I1982">
        <v>1949.6589355000001</v>
      </c>
      <c r="J1982">
        <v>1757.9654541</v>
      </c>
      <c r="K1982">
        <v>0</v>
      </c>
      <c r="L1982">
        <v>2400</v>
      </c>
      <c r="M1982">
        <v>2400</v>
      </c>
      <c r="N1982">
        <v>0</v>
      </c>
    </row>
    <row r="1983" spans="1:14" x14ac:dyDescent="0.25">
      <c r="A1983">
        <v>1728.6854249999999</v>
      </c>
      <c r="B1983" s="1">
        <f>DATE(2015,1,23) + TIME(16,27,0)</f>
        <v>42027.685416666667</v>
      </c>
      <c r="C1983">
        <v>80</v>
      </c>
      <c r="D1983">
        <v>71.531028747999997</v>
      </c>
      <c r="E1983">
        <v>50</v>
      </c>
      <c r="F1983">
        <v>49.976921081999997</v>
      </c>
      <c r="G1983">
        <v>998.73376465000001</v>
      </c>
      <c r="H1983">
        <v>865.19116211000005</v>
      </c>
      <c r="I1983">
        <v>1949.3997803</v>
      </c>
      <c r="J1983">
        <v>1757.7064209</v>
      </c>
      <c r="K1983">
        <v>0</v>
      </c>
      <c r="L1983">
        <v>2400</v>
      </c>
      <c r="M1983">
        <v>2400</v>
      </c>
      <c r="N1983">
        <v>0</v>
      </c>
    </row>
    <row r="1984" spans="1:14" x14ac:dyDescent="0.25">
      <c r="A1984">
        <v>1731.813555</v>
      </c>
      <c r="B1984" s="1">
        <f>DATE(2015,1,26) + TIME(19,31,31)</f>
        <v>42030.81355324074</v>
      </c>
      <c r="C1984">
        <v>80</v>
      </c>
      <c r="D1984">
        <v>71.255348205999994</v>
      </c>
      <c r="E1984">
        <v>50</v>
      </c>
      <c r="F1984">
        <v>49.976970672999997</v>
      </c>
      <c r="G1984">
        <v>996.93804932</v>
      </c>
      <c r="H1984">
        <v>862.91455078000001</v>
      </c>
      <c r="I1984">
        <v>1949.1252440999999</v>
      </c>
      <c r="J1984">
        <v>1757.4318848</v>
      </c>
      <c r="K1984">
        <v>0</v>
      </c>
      <c r="L1984">
        <v>2400</v>
      </c>
      <c r="M1984">
        <v>2400</v>
      </c>
      <c r="N1984">
        <v>0</v>
      </c>
    </row>
    <row r="1985" spans="1:14" x14ac:dyDescent="0.25">
      <c r="A1985">
        <v>1734.9709</v>
      </c>
      <c r="B1985" s="1">
        <f>DATE(2015,1,29) + TIME(23,18,5)</f>
        <v>42033.970891203702</v>
      </c>
      <c r="C1985">
        <v>80</v>
      </c>
      <c r="D1985">
        <v>70.968544006000002</v>
      </c>
      <c r="E1985">
        <v>50</v>
      </c>
      <c r="F1985">
        <v>49.977020263999997</v>
      </c>
      <c r="G1985">
        <v>995.08453368999994</v>
      </c>
      <c r="H1985">
        <v>860.53771973000005</v>
      </c>
      <c r="I1985">
        <v>1948.8394774999999</v>
      </c>
      <c r="J1985">
        <v>1757.1462402</v>
      </c>
      <c r="K1985">
        <v>0</v>
      </c>
      <c r="L1985">
        <v>2400</v>
      </c>
      <c r="M1985">
        <v>2400</v>
      </c>
      <c r="N1985">
        <v>0</v>
      </c>
    </row>
    <row r="1986" spans="1:14" x14ac:dyDescent="0.25">
      <c r="A1986">
        <v>1737</v>
      </c>
      <c r="B1986" s="1">
        <f>DATE(2015,2,1) + TIME(0,0,0)</f>
        <v>42036</v>
      </c>
      <c r="C1986">
        <v>80</v>
      </c>
      <c r="D1986">
        <v>70.702239989999995</v>
      </c>
      <c r="E1986">
        <v>50</v>
      </c>
      <c r="F1986">
        <v>49.977031707999998</v>
      </c>
      <c r="G1986">
        <v>993.47210693</v>
      </c>
      <c r="H1986">
        <v>858.41290283000001</v>
      </c>
      <c r="I1986">
        <v>1948.6075439000001</v>
      </c>
      <c r="J1986">
        <v>1756.9143065999999</v>
      </c>
      <c r="K1986">
        <v>0</v>
      </c>
      <c r="L1986">
        <v>2400</v>
      </c>
      <c r="M1986">
        <v>2400</v>
      </c>
      <c r="N1986">
        <v>0</v>
      </c>
    </row>
    <row r="1987" spans="1:14" x14ac:dyDescent="0.25">
      <c r="A1987">
        <v>1740.2124080000001</v>
      </c>
      <c r="B1987" s="1">
        <f>DATE(2015,2,4) + TIME(5,5,52)</f>
        <v>42039.212407407409</v>
      </c>
      <c r="C1987">
        <v>80</v>
      </c>
      <c r="D1987">
        <v>70.462921143000003</v>
      </c>
      <c r="E1987">
        <v>50</v>
      </c>
      <c r="F1987">
        <v>49.977108002000001</v>
      </c>
      <c r="G1987">
        <v>991.86743163999995</v>
      </c>
      <c r="H1987">
        <v>856.34033203000001</v>
      </c>
      <c r="I1987">
        <v>1948.3433838000001</v>
      </c>
      <c r="J1987">
        <v>1756.6502685999999</v>
      </c>
      <c r="K1987">
        <v>0</v>
      </c>
      <c r="L1987">
        <v>2400</v>
      </c>
      <c r="M1987">
        <v>2400</v>
      </c>
      <c r="N1987">
        <v>0</v>
      </c>
    </row>
    <row r="1988" spans="1:14" x14ac:dyDescent="0.25">
      <c r="A1988">
        <v>1743.5469310000001</v>
      </c>
      <c r="B1988" s="1">
        <f>DATE(2015,2,7) + TIME(13,7,34)</f>
        <v>42042.5469212963</v>
      </c>
      <c r="C1988">
        <v>80</v>
      </c>
      <c r="D1988">
        <v>70.163375853999995</v>
      </c>
      <c r="E1988">
        <v>50</v>
      </c>
      <c r="F1988">
        <v>49.977165221999996</v>
      </c>
      <c r="G1988">
        <v>989.90338135000002</v>
      </c>
      <c r="H1988">
        <v>853.77093506000006</v>
      </c>
      <c r="I1988">
        <v>1948.0520019999999</v>
      </c>
      <c r="J1988">
        <v>1756.3588867000001</v>
      </c>
      <c r="K1988">
        <v>0</v>
      </c>
      <c r="L1988">
        <v>2400</v>
      </c>
      <c r="M1988">
        <v>2400</v>
      </c>
      <c r="N1988">
        <v>0</v>
      </c>
    </row>
    <row r="1989" spans="1:14" x14ac:dyDescent="0.25">
      <c r="A1989">
        <v>1746.9165350000001</v>
      </c>
      <c r="B1989" s="1">
        <f>DATE(2015,2,10) + TIME(21,59,48)</f>
        <v>42045.916527777779</v>
      </c>
      <c r="C1989">
        <v>80</v>
      </c>
      <c r="D1989">
        <v>69.837539672999995</v>
      </c>
      <c r="E1989">
        <v>50</v>
      </c>
      <c r="F1989">
        <v>49.977214813000003</v>
      </c>
      <c r="G1989">
        <v>987.81884765999996</v>
      </c>
      <c r="H1989">
        <v>851.00280762</v>
      </c>
      <c r="I1989">
        <v>1947.7475586</v>
      </c>
      <c r="J1989">
        <v>1756.0545654</v>
      </c>
      <c r="K1989">
        <v>0</v>
      </c>
      <c r="L1989">
        <v>2400</v>
      </c>
      <c r="M1989">
        <v>2400</v>
      </c>
      <c r="N1989">
        <v>0</v>
      </c>
    </row>
    <row r="1990" spans="1:14" x14ac:dyDescent="0.25">
      <c r="A1990">
        <v>1750.3475309999999</v>
      </c>
      <c r="B1990" s="1">
        <f>DATE(2015,2,14) + TIME(8,20,26)</f>
        <v>42049.34752314815</v>
      </c>
      <c r="C1990">
        <v>80</v>
      </c>
      <c r="D1990">
        <v>69.496749878000003</v>
      </c>
      <c r="E1990">
        <v>50</v>
      </c>
      <c r="F1990">
        <v>49.977268219000003</v>
      </c>
      <c r="G1990">
        <v>985.65356444999998</v>
      </c>
      <c r="H1990">
        <v>848.09887694999998</v>
      </c>
      <c r="I1990">
        <v>1947.4384766000001</v>
      </c>
      <c r="J1990">
        <v>1755.7454834</v>
      </c>
      <c r="K1990">
        <v>0</v>
      </c>
      <c r="L1990">
        <v>2400</v>
      </c>
      <c r="M1990">
        <v>2400</v>
      </c>
      <c r="N1990">
        <v>0</v>
      </c>
    </row>
    <row r="1991" spans="1:14" x14ac:dyDescent="0.25">
      <c r="A1991">
        <v>1753.8666390000001</v>
      </c>
      <c r="B1991" s="1">
        <f>DATE(2015,2,17) + TIME(20,47,57)</f>
        <v>42052.866631944446</v>
      </c>
      <c r="C1991">
        <v>80</v>
      </c>
      <c r="D1991">
        <v>69.140785217000001</v>
      </c>
      <c r="E1991">
        <v>50</v>
      </c>
      <c r="F1991">
        <v>49.977325438999998</v>
      </c>
      <c r="G1991">
        <v>983.39703368999994</v>
      </c>
      <c r="H1991">
        <v>845.046875</v>
      </c>
      <c r="I1991">
        <v>1947.1259766000001</v>
      </c>
      <c r="J1991">
        <v>1755.4329834</v>
      </c>
      <c r="K1991">
        <v>0</v>
      </c>
      <c r="L1991">
        <v>2400</v>
      </c>
      <c r="M1991">
        <v>2400</v>
      </c>
      <c r="N1991">
        <v>0</v>
      </c>
    </row>
    <row r="1992" spans="1:14" x14ac:dyDescent="0.25">
      <c r="A1992">
        <v>1757.4129760000001</v>
      </c>
      <c r="B1992" s="1">
        <f>DATE(2015,2,21) + TIME(9,54,41)</f>
        <v>42056.412974537037</v>
      </c>
      <c r="C1992">
        <v>80</v>
      </c>
      <c r="D1992">
        <v>68.767936707000004</v>
      </c>
      <c r="E1992">
        <v>50</v>
      </c>
      <c r="F1992">
        <v>49.977382660000004</v>
      </c>
      <c r="G1992">
        <v>981.04724121000004</v>
      </c>
      <c r="H1992">
        <v>841.83996581999997</v>
      </c>
      <c r="I1992">
        <v>1946.8132324000001</v>
      </c>
      <c r="J1992">
        <v>1755.1203613</v>
      </c>
      <c r="K1992">
        <v>0</v>
      </c>
      <c r="L1992">
        <v>2400</v>
      </c>
      <c r="M1992">
        <v>2400</v>
      </c>
      <c r="N1992">
        <v>0</v>
      </c>
    </row>
    <row r="1993" spans="1:14" x14ac:dyDescent="0.25">
      <c r="A1993">
        <v>1761.0141080000001</v>
      </c>
      <c r="B1993" s="1">
        <f>DATE(2015,2,25) + TIME(0,20,18)</f>
        <v>42060.014097222222</v>
      </c>
      <c r="C1993">
        <v>80</v>
      </c>
      <c r="D1993">
        <v>68.380630492999998</v>
      </c>
      <c r="E1993">
        <v>50</v>
      </c>
      <c r="F1993">
        <v>49.977439879999999</v>
      </c>
      <c r="G1993">
        <v>978.61828613</v>
      </c>
      <c r="H1993">
        <v>838.49755859000004</v>
      </c>
      <c r="I1993">
        <v>1946.5012207</v>
      </c>
      <c r="J1993">
        <v>1754.8084716999999</v>
      </c>
      <c r="K1993">
        <v>0</v>
      </c>
      <c r="L1993">
        <v>2400</v>
      </c>
      <c r="M1993">
        <v>2400</v>
      </c>
      <c r="N1993">
        <v>0</v>
      </c>
    </row>
    <row r="1994" spans="1:14" x14ac:dyDescent="0.25">
      <c r="A1994">
        <v>1764.697696</v>
      </c>
      <c r="B1994" s="1">
        <f>DATE(2015,2,28) + TIME(16,44,40)</f>
        <v>42063.697685185187</v>
      </c>
      <c r="C1994">
        <v>80</v>
      </c>
      <c r="D1994">
        <v>67.976333617999998</v>
      </c>
      <c r="E1994">
        <v>50</v>
      </c>
      <c r="F1994">
        <v>49.977500915999997</v>
      </c>
      <c r="G1994">
        <v>976.09448241999996</v>
      </c>
      <c r="H1994">
        <v>834.99792479999996</v>
      </c>
      <c r="I1994">
        <v>1946.1888428</v>
      </c>
      <c r="J1994">
        <v>1754.4962158000001</v>
      </c>
      <c r="K1994">
        <v>0</v>
      </c>
      <c r="L1994">
        <v>2400</v>
      </c>
      <c r="M1994">
        <v>2400</v>
      </c>
      <c r="N1994">
        <v>0</v>
      </c>
    </row>
    <row r="1995" spans="1:14" x14ac:dyDescent="0.25">
      <c r="A1995">
        <v>1765</v>
      </c>
      <c r="B1995" s="1">
        <f>DATE(2015,3,1) + TIME(0,0,0)</f>
        <v>42064</v>
      </c>
      <c r="C1995">
        <v>80</v>
      </c>
      <c r="D1995">
        <v>67.829254149999997</v>
      </c>
      <c r="E1995">
        <v>50</v>
      </c>
      <c r="F1995">
        <v>49.977489470999998</v>
      </c>
      <c r="G1995">
        <v>974.85717772999999</v>
      </c>
      <c r="H1995">
        <v>833.33563231999995</v>
      </c>
      <c r="I1995">
        <v>1946.1496582</v>
      </c>
      <c r="J1995">
        <v>1754.4567870999999</v>
      </c>
      <c r="K1995">
        <v>0</v>
      </c>
      <c r="L1995">
        <v>2400</v>
      </c>
      <c r="M1995">
        <v>2400</v>
      </c>
      <c r="N1995">
        <v>0</v>
      </c>
    </row>
    <row r="1996" spans="1:14" x14ac:dyDescent="0.25">
      <c r="A1996">
        <v>1768.715901</v>
      </c>
      <c r="B1996" s="1">
        <f>DATE(2015,3,4) + TIME(17,10,53)</f>
        <v>42067.715891203705</v>
      </c>
      <c r="C1996">
        <v>80</v>
      </c>
      <c r="D1996">
        <v>67.496597289999997</v>
      </c>
      <c r="E1996">
        <v>50</v>
      </c>
      <c r="F1996">
        <v>49.977561950999998</v>
      </c>
      <c r="G1996">
        <v>973.17602538999995</v>
      </c>
      <c r="H1996">
        <v>830.88812256000006</v>
      </c>
      <c r="I1996">
        <v>1945.8422852000001</v>
      </c>
      <c r="J1996">
        <v>1754.1495361</v>
      </c>
      <c r="K1996">
        <v>0</v>
      </c>
      <c r="L1996">
        <v>2400</v>
      </c>
      <c r="M1996">
        <v>2400</v>
      </c>
      <c r="N1996">
        <v>0</v>
      </c>
    </row>
    <row r="1997" spans="1:14" x14ac:dyDescent="0.25">
      <c r="A1997">
        <v>1772.4892910000001</v>
      </c>
      <c r="B1997" s="1">
        <f>DATE(2015,3,8) + TIME(11,44,34)</f>
        <v>42071.489282407405</v>
      </c>
      <c r="C1997">
        <v>80</v>
      </c>
      <c r="D1997">
        <v>67.071960449000002</v>
      </c>
      <c r="E1997">
        <v>50</v>
      </c>
      <c r="F1997">
        <v>49.977622986</v>
      </c>
      <c r="G1997">
        <v>970.51531981999995</v>
      </c>
      <c r="H1997">
        <v>827.16265868999994</v>
      </c>
      <c r="I1997">
        <v>1945.5404053</v>
      </c>
      <c r="J1997">
        <v>1753.8477783000001</v>
      </c>
      <c r="K1997">
        <v>0</v>
      </c>
      <c r="L1997">
        <v>2400</v>
      </c>
      <c r="M1997">
        <v>2400</v>
      </c>
      <c r="N1997">
        <v>0</v>
      </c>
    </row>
    <row r="1998" spans="1:14" x14ac:dyDescent="0.25">
      <c r="A1998">
        <v>1776.3426139999999</v>
      </c>
      <c r="B1998" s="1">
        <f>DATE(2015,3,12) + TIME(8,13,21)</f>
        <v>42075.342604166668</v>
      </c>
      <c r="C1998">
        <v>80</v>
      </c>
      <c r="D1998">
        <v>66.612312317000004</v>
      </c>
      <c r="E1998">
        <v>50</v>
      </c>
      <c r="F1998">
        <v>49.977680206000002</v>
      </c>
      <c r="G1998">
        <v>967.70428466999999</v>
      </c>
      <c r="H1998">
        <v>823.17633057</v>
      </c>
      <c r="I1998">
        <v>1945.2336425999999</v>
      </c>
      <c r="J1998">
        <v>1753.5411377</v>
      </c>
      <c r="K1998">
        <v>0</v>
      </c>
      <c r="L1998">
        <v>2400</v>
      </c>
      <c r="M1998">
        <v>2400</v>
      </c>
      <c r="N1998">
        <v>0</v>
      </c>
    </row>
    <row r="1999" spans="1:14" x14ac:dyDescent="0.25">
      <c r="A1999">
        <v>1780.2230649999999</v>
      </c>
      <c r="B1999" s="1">
        <f>DATE(2015,3,16) + TIME(5,21,12)</f>
        <v>42079.223055555558</v>
      </c>
      <c r="C1999">
        <v>80</v>
      </c>
      <c r="D1999">
        <v>66.128944396999998</v>
      </c>
      <c r="E1999">
        <v>50</v>
      </c>
      <c r="F1999">
        <v>49.977741240999997</v>
      </c>
      <c r="G1999">
        <v>964.77954102000001</v>
      </c>
      <c r="H1999">
        <v>818.99414062000005</v>
      </c>
      <c r="I1999">
        <v>1944.9270019999999</v>
      </c>
      <c r="J1999">
        <v>1753.2344971</v>
      </c>
      <c r="K1999">
        <v>0</v>
      </c>
      <c r="L1999">
        <v>2400</v>
      </c>
      <c r="M1999">
        <v>2400</v>
      </c>
      <c r="N1999">
        <v>0</v>
      </c>
    </row>
    <row r="2000" spans="1:14" x14ac:dyDescent="0.25">
      <c r="A2000">
        <v>1784.1599060000001</v>
      </c>
      <c r="B2000" s="1">
        <f>DATE(2015,3,20) + TIME(3,50,15)</f>
        <v>42083.159895833334</v>
      </c>
      <c r="C2000">
        <v>80</v>
      </c>
      <c r="D2000">
        <v>65.626388550000001</v>
      </c>
      <c r="E2000">
        <v>50</v>
      </c>
      <c r="F2000">
        <v>49.977798462000003</v>
      </c>
      <c r="G2000">
        <v>961.76385498000002</v>
      </c>
      <c r="H2000">
        <v>814.65100098000005</v>
      </c>
      <c r="I2000">
        <v>1944.6214600000001</v>
      </c>
      <c r="J2000">
        <v>1752.9289550999999</v>
      </c>
      <c r="K2000">
        <v>0</v>
      </c>
      <c r="L2000">
        <v>2400</v>
      </c>
      <c r="M2000">
        <v>2400</v>
      </c>
      <c r="N2000">
        <v>0</v>
      </c>
    </row>
    <row r="2001" spans="1:14" x14ac:dyDescent="0.25">
      <c r="A2001">
        <v>1788.15922</v>
      </c>
      <c r="B2001" s="1">
        <f>DATE(2015,3,24) + TIME(3,49,16)</f>
        <v>42087.159212962964</v>
      </c>
      <c r="C2001">
        <v>80</v>
      </c>
      <c r="D2001">
        <v>65.102706909000005</v>
      </c>
      <c r="E2001">
        <v>50</v>
      </c>
      <c r="F2001">
        <v>49.977855681999998</v>
      </c>
      <c r="G2001">
        <v>958.64587401999995</v>
      </c>
      <c r="H2001">
        <v>810.13067626999998</v>
      </c>
      <c r="I2001">
        <v>1944.3164062000001</v>
      </c>
      <c r="J2001">
        <v>1752.6239014</v>
      </c>
      <c r="K2001">
        <v>0</v>
      </c>
      <c r="L2001">
        <v>2400</v>
      </c>
      <c r="M2001">
        <v>2400</v>
      </c>
      <c r="N2001">
        <v>0</v>
      </c>
    </row>
    <row r="2002" spans="1:14" x14ac:dyDescent="0.25">
      <c r="A2002">
        <v>1792.191994</v>
      </c>
      <c r="B2002" s="1">
        <f>DATE(2015,3,28) + TIME(4,36,28)</f>
        <v>42091.191990740743</v>
      </c>
      <c r="C2002">
        <v>80</v>
      </c>
      <c r="D2002">
        <v>64.557212829999997</v>
      </c>
      <c r="E2002">
        <v>50</v>
      </c>
      <c r="F2002">
        <v>49.977916718000003</v>
      </c>
      <c r="G2002">
        <v>955.42523193</v>
      </c>
      <c r="H2002">
        <v>805.42993163999995</v>
      </c>
      <c r="I2002">
        <v>1944.0125731999999</v>
      </c>
      <c r="J2002">
        <v>1752.3201904</v>
      </c>
      <c r="K2002">
        <v>0</v>
      </c>
      <c r="L2002">
        <v>2400</v>
      </c>
      <c r="M2002">
        <v>2400</v>
      </c>
      <c r="N2002">
        <v>0</v>
      </c>
    </row>
    <row r="2003" spans="1:14" x14ac:dyDescent="0.25">
      <c r="A2003">
        <v>1796</v>
      </c>
      <c r="B2003" s="1">
        <f>DATE(2015,4,1) + TIME(0,0,0)</f>
        <v>42095</v>
      </c>
      <c r="C2003">
        <v>80</v>
      </c>
      <c r="D2003">
        <v>63.998508452999999</v>
      </c>
      <c r="E2003">
        <v>50</v>
      </c>
      <c r="F2003">
        <v>49.977970122999999</v>
      </c>
      <c r="G2003">
        <v>952.16320800999995</v>
      </c>
      <c r="H2003">
        <v>800.63165283000001</v>
      </c>
      <c r="I2003">
        <v>1943.7210693</v>
      </c>
      <c r="J2003">
        <v>1752.0286865</v>
      </c>
      <c r="K2003">
        <v>0</v>
      </c>
      <c r="L2003">
        <v>2400</v>
      </c>
      <c r="M2003">
        <v>2400</v>
      </c>
      <c r="N2003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2022-07-22T09:38:38Z</dcterms:created>
  <dcterms:modified xsi:type="dcterms:W3CDTF">2022-07-22T09:39:01Z</dcterms:modified>
</cp:coreProperties>
</file>