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009E3CC8-C2C5-485F-AEE8-01584F4C314E}" xr6:coauthVersionLast="47" xr6:coauthVersionMax="47" xr10:uidLastSave="{00000000-0000-0000-0000-000000000000}"/>
  <bookViews>
    <workbookView xWindow="-26220" yWindow="2580" windowWidth="15375" windowHeight="7875" xr2:uid="{C28EB077-9514-4AD3-BDF2-37D0278C04A2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2" i="1" l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<sst xmlns="http://schemas.openxmlformats.org/spreadsheetml/2006/main" count="15" uniqueCount="15">
  <si>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MODEL\SCENARIOS\2022\Parameterstudy_kh_kv\kh1_kv15.sr3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</si>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</sst>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4CB75-384A-4998-A0D8-DAFA71A1026A}" name="Table1" displayName="Table1" ref="A3:N2002" totalsRowShown="0">
  <autoFilter ref="A3:N2002" xr:uid="{CE34CB75-384A-4998-A0D8-DAFA71A1026A}"/>
  <tableColumns count="14">
    <tableColumn id="1" xr3:uid="{DC18CD1C-C714-470E-8EEA-ED0D65F94991}" name="Time (day)"/>
    <tableColumn id="2" xr3:uid="{B04CE468-469D-43C7-8A12-80045BE17E0E}" name="Date" dataDxfId="0"/>
    <tableColumn id="3" xr3:uid="{0C509DC0-FB52-4AC2-B353-3F87B6B599E8}" name="Hot well INJ-Well bottom hole temperature (C)"/>
    <tableColumn id="4" xr3:uid="{3B842BA3-C5FD-42C6-BBE1-D9D21439837E}" name="Hot well PROD-Well bottom hole temperature (C)"/>
    <tableColumn id="5" xr3:uid="{39E20272-11A0-4B0D-9339-B6B69D192BF8}" name="Warm well INJ-Well bottom hole temperature (C)"/>
    <tableColumn id="6" xr3:uid="{AF9ED47D-5171-4E9B-86E5-3ECE0FA2D7AF}" name="Warm well PROD-Well bottom hole temperature (C)"/>
    <tableColumn id="7" xr3:uid="{C3E41842-3922-4F50-9BCD-6FEC37FF1CE9}" name="Hot well INJ-Well Bottom-hole Pressure (kPa)"/>
    <tableColumn id="8" xr3:uid="{D649BE8B-AA11-4EE8-A76C-7D6B13E5E7B0}" name="Hot well PROD-Well Bottom-hole Pressure (kPa)"/>
    <tableColumn id="9" xr3:uid="{A8AB7C14-7A0C-47EE-AC70-B0F11E24B1B6}" name="Warm well INJ-Well Bottom-hole Pressure (kPa)"/>
    <tableColumn id="10" xr3:uid="{556B97E5-C49D-44F2-92E5-979EC85484F8}" name="Warm well PROD-Well Bottom-hole Pressure (kPa)"/>
    <tableColumn id="11" xr3:uid="{63CF9101-955F-4A51-8AB3-B5C80AC92F04}" name="Hot well INJ-Fluid Rate SC (m³/day)"/>
    <tableColumn id="12" xr3:uid="{8DA435D2-4BF8-4DC1-A36A-18D5AC8652CE}" name="Hot well PROD-Fluid Rate SC (m³/day)"/>
    <tableColumn id="13" xr3:uid="{124B469B-49A4-43CB-A718-79082AF38C4B}" name="Warm well INJ-Fluid Rate SC (m³/day)"/>
    <tableColumn id="14" xr3:uid="{1DEA1B40-443C-4558-9818-DDC1C0F54D7D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00FD-D75C-42CE-AC8F-88CBAAD982AD}">
  <dimension ref="A1:N200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1723.6602783000001</v>
      </c>
      <c r="H4">
        <v>1329.4145507999999</v>
      </c>
      <c r="I4">
        <v>1329.4047852000001</v>
      </c>
      <c r="J4">
        <v>935.15753173999997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1723.6726074000001</v>
      </c>
      <c r="H5">
        <v>1329.4291992000001</v>
      </c>
      <c r="I5">
        <v>1329.3902588000001</v>
      </c>
      <c r="J5">
        <v>935.14294433999999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14.999977112</v>
      </c>
      <c r="G6">
        <v>1723.7094727000001</v>
      </c>
      <c r="H6">
        <v>1329.4730225000001</v>
      </c>
      <c r="I6">
        <v>1329.3465576000001</v>
      </c>
      <c r="J6">
        <v>935.09906006000006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15.003149986</v>
      </c>
      <c r="E7">
        <v>50</v>
      </c>
      <c r="F7">
        <v>14.999929428</v>
      </c>
      <c r="G7">
        <v>1723.8198242000001</v>
      </c>
      <c r="H7">
        <v>1329.6044922000001</v>
      </c>
      <c r="I7">
        <v>1329.2155762</v>
      </c>
      <c r="J7">
        <v>934.96759033000001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15.009527206</v>
      </c>
      <c r="E8">
        <v>50</v>
      </c>
      <c r="F8">
        <v>14.999788283999999</v>
      </c>
      <c r="G8">
        <v>1724.1505127</v>
      </c>
      <c r="H8">
        <v>1329.9984131000001</v>
      </c>
      <c r="I8">
        <v>1328.8233643000001</v>
      </c>
      <c r="J8">
        <v>934.57379149999997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15.028655052</v>
      </c>
      <c r="E9">
        <v>50</v>
      </c>
      <c r="F9">
        <v>14.999365807</v>
      </c>
      <c r="G9">
        <v>1725.1359863</v>
      </c>
      <c r="H9">
        <v>1331.1734618999999</v>
      </c>
      <c r="I9">
        <v>1327.6530762</v>
      </c>
      <c r="J9">
        <v>933.39892578000001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15.085989952</v>
      </c>
      <c r="E10">
        <v>50</v>
      </c>
      <c r="F10">
        <v>14.998119354</v>
      </c>
      <c r="G10">
        <v>1728.0367432</v>
      </c>
      <c r="H10">
        <v>1334.6418457</v>
      </c>
      <c r="I10">
        <v>1324.1992187999999</v>
      </c>
      <c r="J10">
        <v>929.93133545000001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15.257608414</v>
      </c>
      <c r="E11">
        <v>50</v>
      </c>
      <c r="F11">
        <v>14.994560242</v>
      </c>
      <c r="G11">
        <v>1736.2683105000001</v>
      </c>
      <c r="H11">
        <v>1344.5664062000001</v>
      </c>
      <c r="I11">
        <v>1314.3162841999999</v>
      </c>
      <c r="J11">
        <v>920.00946045000001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15.765864371999999</v>
      </c>
      <c r="E12">
        <v>50</v>
      </c>
      <c r="F12">
        <v>14.985225677000001</v>
      </c>
      <c r="G12">
        <v>1757.3814697</v>
      </c>
      <c r="H12">
        <v>1370.6347656</v>
      </c>
      <c r="I12">
        <v>1288.2874756000001</v>
      </c>
      <c r="J12">
        <v>893.87780762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2.2749999999999999E-2</v>
      </c>
      <c r="B13" s="1">
        <f>DATE(2010,5,1) + TIME(0,32,45)</f>
        <v>40299.022743055553</v>
      </c>
      <c r="C13">
        <v>80</v>
      </c>
      <c r="D13">
        <v>16.744361876999999</v>
      </c>
      <c r="E13">
        <v>50</v>
      </c>
      <c r="F13">
        <v>14.970757484</v>
      </c>
      <c r="G13">
        <v>1788.5955810999999</v>
      </c>
      <c r="H13">
        <v>1411.1152344</v>
      </c>
      <c r="I13">
        <v>1247.3834228999999</v>
      </c>
      <c r="J13">
        <v>852.81439208999996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3.5942000000000002E-2</v>
      </c>
      <c r="B14" s="1">
        <f>DATE(2010,5,1) + TIME(0,51,45)</f>
        <v>40299.035937499997</v>
      </c>
      <c r="C14">
        <v>80</v>
      </c>
      <c r="D14">
        <v>17.720672607000001</v>
      </c>
      <c r="E14">
        <v>50</v>
      </c>
      <c r="F14">
        <v>14.958987236</v>
      </c>
      <c r="G14">
        <v>1812.4962158000001</v>
      </c>
      <c r="H14">
        <v>1443.8942870999999</v>
      </c>
      <c r="I14">
        <v>1213.5550536999999</v>
      </c>
      <c r="J14">
        <v>818.85717772999999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4.9454999999999999E-2</v>
      </c>
      <c r="B15" s="1">
        <f>DATE(2010,5,1) + TIME(1,11,12)</f>
        <v>40299.049444444441</v>
      </c>
      <c r="C15">
        <v>80</v>
      </c>
      <c r="D15">
        <v>18.698816299000001</v>
      </c>
      <c r="E15">
        <v>50</v>
      </c>
      <c r="F15">
        <v>14.949309349</v>
      </c>
      <c r="G15">
        <v>1830.6716309000001</v>
      </c>
      <c r="H15">
        <v>1470.6230469</v>
      </c>
      <c r="I15">
        <v>1185.1478271000001</v>
      </c>
      <c r="J15">
        <v>790.34350586000005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6.3270000000000007E-2</v>
      </c>
      <c r="B16" s="1">
        <f>DATE(2010,5,1) + TIME(1,31,6)</f>
        <v>40299.063263888886</v>
      </c>
      <c r="C16">
        <v>80</v>
      </c>
      <c r="D16">
        <v>19.678352356000001</v>
      </c>
      <c r="E16">
        <v>50</v>
      </c>
      <c r="F16">
        <v>14.941293716000001</v>
      </c>
      <c r="G16">
        <v>1844.3308105000001</v>
      </c>
      <c r="H16">
        <v>1492.5207519999999</v>
      </c>
      <c r="I16">
        <v>1161.0155029</v>
      </c>
      <c r="J16">
        <v>766.12249756000006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7.7372999999999997E-2</v>
      </c>
      <c r="B17" s="1">
        <f>DATE(2010,5,1) + TIME(1,51,25)</f>
        <v>40299.077372685184</v>
      </c>
      <c r="C17">
        <v>80</v>
      </c>
      <c r="D17">
        <v>20.659519196000002</v>
      </c>
      <c r="E17">
        <v>50</v>
      </c>
      <c r="F17">
        <v>14.934600830000001</v>
      </c>
      <c r="G17">
        <v>1854.4516602000001</v>
      </c>
      <c r="H17">
        <v>1510.581543</v>
      </c>
      <c r="I17">
        <v>1140.2669678</v>
      </c>
      <c r="J17">
        <v>745.29949951000003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9.1746999999999995E-2</v>
      </c>
      <c r="B18" s="1">
        <f>DATE(2010,5,1) + TIME(2,12,6)</f>
        <v>40299.091736111113</v>
      </c>
      <c r="C18">
        <v>80</v>
      </c>
      <c r="D18">
        <v>21.641172408999999</v>
      </c>
      <c r="E18">
        <v>50</v>
      </c>
      <c r="F18">
        <v>14.928969383</v>
      </c>
      <c r="G18">
        <v>1861.8140868999999</v>
      </c>
      <c r="H18">
        <v>1525.5954589999999</v>
      </c>
      <c r="I18">
        <v>1122.2218018000001</v>
      </c>
      <c r="J18">
        <v>727.19146728999999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0.106389</v>
      </c>
      <c r="B19" s="1">
        <f>DATE(2010,5,1) + TIME(2,33,12)</f>
        <v>40299.106388888889</v>
      </c>
      <c r="C19">
        <v>80</v>
      </c>
      <c r="D19">
        <v>22.623077392999999</v>
      </c>
      <c r="E19">
        <v>50</v>
      </c>
      <c r="F19">
        <v>14.924189567999999</v>
      </c>
      <c r="G19">
        <v>1867.0454102000001</v>
      </c>
      <c r="H19">
        <v>1538.2016602000001</v>
      </c>
      <c r="I19">
        <v>1106.3394774999999</v>
      </c>
      <c r="J19">
        <v>711.25537109000004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0.12130100000000001</v>
      </c>
      <c r="B20" s="1">
        <f>DATE(2010,5,1) + TIME(2,54,40)</f>
        <v>40299.121296296296</v>
      </c>
      <c r="C20">
        <v>80</v>
      </c>
      <c r="D20">
        <v>23.605318068999999</v>
      </c>
      <c r="E20">
        <v>50</v>
      </c>
      <c r="F20">
        <v>14.920099258</v>
      </c>
      <c r="G20">
        <v>1870.6314697</v>
      </c>
      <c r="H20">
        <v>1548.901001</v>
      </c>
      <c r="I20">
        <v>1092.2020264</v>
      </c>
      <c r="J20">
        <v>697.07177734000004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0.13648299999999999</v>
      </c>
      <c r="B21" s="1">
        <f>DATE(2010,5,1) + TIME(3,16,32)</f>
        <v>40299.136481481481</v>
      </c>
      <c r="C21">
        <v>80</v>
      </c>
      <c r="D21">
        <v>24.587739943999999</v>
      </c>
      <c r="E21">
        <v>50</v>
      </c>
      <c r="F21">
        <v>14.916571617000001</v>
      </c>
      <c r="G21">
        <v>1872.9486084</v>
      </c>
      <c r="H21">
        <v>1558.0817870999999</v>
      </c>
      <c r="I21">
        <v>1079.4882812000001</v>
      </c>
      <c r="J21">
        <v>684.31817626999998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0.15193699999999999</v>
      </c>
      <c r="B22" s="1">
        <f>DATE(2010,5,1) + TIME(3,38,47)</f>
        <v>40299.151932870373</v>
      </c>
      <c r="C22">
        <v>80</v>
      </c>
      <c r="D22">
        <v>25.570613860999998</v>
      </c>
      <c r="E22">
        <v>50</v>
      </c>
      <c r="F22">
        <v>14.913509369</v>
      </c>
      <c r="G22">
        <v>1874.2871094</v>
      </c>
      <c r="H22">
        <v>1566.0471190999999</v>
      </c>
      <c r="I22">
        <v>1067.9473877</v>
      </c>
      <c r="J22">
        <v>672.74224853999999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0.16766</v>
      </c>
      <c r="B23" s="1">
        <f>DATE(2010,5,1) + TIME(4,1,25)</f>
        <v>40299.167650462965</v>
      </c>
      <c r="C23">
        <v>80</v>
      </c>
      <c r="D23">
        <v>26.553356171000001</v>
      </c>
      <c r="E23">
        <v>50</v>
      </c>
      <c r="F23">
        <v>14.910834312</v>
      </c>
      <c r="G23">
        <v>1874.8698730000001</v>
      </c>
      <c r="H23">
        <v>1573.0299072</v>
      </c>
      <c r="I23">
        <v>1057.3852539</v>
      </c>
      <c r="J23">
        <v>662.14953613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0.18365899999999999</v>
      </c>
      <c r="B24" s="1">
        <f>DATE(2010,5,1) + TIME(4,24,28)</f>
        <v>40299.183657407404</v>
      </c>
      <c r="C24">
        <v>80</v>
      </c>
      <c r="D24">
        <v>27.535711288000002</v>
      </c>
      <c r="E24">
        <v>50</v>
      </c>
      <c r="F24">
        <v>14.908485412999999</v>
      </c>
      <c r="G24">
        <v>1874.8741454999999</v>
      </c>
      <c r="H24">
        <v>1579.2155762</v>
      </c>
      <c r="I24">
        <v>1047.6436768000001</v>
      </c>
      <c r="J24">
        <v>652.38092041000004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0.19994500000000001</v>
      </c>
      <c r="B25" s="1">
        <f>DATE(2010,5,1) + TIME(4,47,55)</f>
        <v>40299.199942129628</v>
      </c>
      <c r="C25">
        <v>80</v>
      </c>
      <c r="D25">
        <v>28.517887115000001</v>
      </c>
      <c r="E25">
        <v>50</v>
      </c>
      <c r="F25">
        <v>14.906411171</v>
      </c>
      <c r="G25">
        <v>1874.4349365</v>
      </c>
      <c r="H25">
        <v>1584.7503661999999</v>
      </c>
      <c r="I25">
        <v>1038.5947266000001</v>
      </c>
      <c r="J25">
        <v>643.30792236000002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0.216527</v>
      </c>
      <c r="B26" s="1">
        <f>DATE(2010,5,1) + TIME(5,11,47)</f>
        <v>40299.216516203705</v>
      </c>
      <c r="C26">
        <v>80</v>
      </c>
      <c r="D26">
        <v>29.499830245999998</v>
      </c>
      <c r="E26">
        <v>50</v>
      </c>
      <c r="F26">
        <v>14.904573441</v>
      </c>
      <c r="G26">
        <v>1873.6566161999999</v>
      </c>
      <c r="H26">
        <v>1589.7474365</v>
      </c>
      <c r="I26">
        <v>1030.1375731999999</v>
      </c>
      <c r="J26">
        <v>634.82934569999998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0.23341400000000001</v>
      </c>
      <c r="B27" s="1">
        <f>DATE(2010,5,1) + TIME(5,36,6)</f>
        <v>40299.233402777776</v>
      </c>
      <c r="C27">
        <v>80</v>
      </c>
      <c r="D27">
        <v>30.48160553</v>
      </c>
      <c r="E27">
        <v>50</v>
      </c>
      <c r="F27">
        <v>14.902939796</v>
      </c>
      <c r="G27">
        <v>1872.6201172000001</v>
      </c>
      <c r="H27">
        <v>1594.2966309000001</v>
      </c>
      <c r="I27">
        <v>1022.1903687</v>
      </c>
      <c r="J27">
        <v>626.86291503999996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0.250614</v>
      </c>
      <c r="B28" s="1">
        <f>DATE(2010,5,1) + TIME(6,0,53)</f>
        <v>40299.250613425924</v>
      </c>
      <c r="C28">
        <v>80</v>
      </c>
      <c r="D28">
        <v>31.463075637999999</v>
      </c>
      <c r="E28">
        <v>50</v>
      </c>
      <c r="F28">
        <v>14.901482582</v>
      </c>
      <c r="G28">
        <v>1871.3884277</v>
      </c>
      <c r="H28">
        <v>1598.4691161999999</v>
      </c>
      <c r="I28">
        <v>1014.6865234000001</v>
      </c>
      <c r="J28">
        <v>619.34185791000004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0.26813900000000002</v>
      </c>
      <c r="B29" s="1">
        <f>DATE(2010,5,1) + TIME(6,26,7)</f>
        <v>40299.268136574072</v>
      </c>
      <c r="C29">
        <v>80</v>
      </c>
      <c r="D29">
        <v>32.444084167</v>
      </c>
      <c r="E29">
        <v>50</v>
      </c>
      <c r="F29">
        <v>14.900180817000001</v>
      </c>
      <c r="G29">
        <v>1870.0117187999999</v>
      </c>
      <c r="H29">
        <v>1602.3225098</v>
      </c>
      <c r="I29">
        <v>1007.5703735</v>
      </c>
      <c r="J29">
        <v>612.21014404000005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0.28600399999999998</v>
      </c>
      <c r="B30" s="1">
        <f>DATE(2010,5,1) + TIME(6,51,50)</f>
        <v>40299.285995370374</v>
      </c>
      <c r="C30">
        <v>80</v>
      </c>
      <c r="D30">
        <v>33.424709319999998</v>
      </c>
      <c r="E30">
        <v>50</v>
      </c>
      <c r="F30">
        <v>14.899015427</v>
      </c>
      <c r="G30">
        <v>1868.5296631000001</v>
      </c>
      <c r="H30">
        <v>1605.9039307</v>
      </c>
      <c r="I30">
        <v>1000.7943726</v>
      </c>
      <c r="J30">
        <v>605.42016602000001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0.30422100000000002</v>
      </c>
      <c r="B31" s="1">
        <f>DATE(2010,5,1) + TIME(7,18,4)</f>
        <v>40299.304212962961</v>
      </c>
      <c r="C31">
        <v>80</v>
      </c>
      <c r="D31">
        <v>34.4049263</v>
      </c>
      <c r="E31">
        <v>50</v>
      </c>
      <c r="F31">
        <v>14.897972106999999</v>
      </c>
      <c r="G31">
        <v>1866.9735106999999</v>
      </c>
      <c r="H31">
        <v>1609.2519531</v>
      </c>
      <c r="I31">
        <v>994.31933593999997</v>
      </c>
      <c r="J31">
        <v>598.93243408000001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0.32280599999999998</v>
      </c>
      <c r="B32" s="1">
        <f>DATE(2010,5,1) + TIME(7,44,50)</f>
        <v>40299.322800925926</v>
      </c>
      <c r="C32">
        <v>80</v>
      </c>
      <c r="D32">
        <v>35.384708404999998</v>
      </c>
      <c r="E32">
        <v>50</v>
      </c>
      <c r="F32">
        <v>14.897037506</v>
      </c>
      <c r="G32">
        <v>1865.3681641000001</v>
      </c>
      <c r="H32">
        <v>1612.3979492000001</v>
      </c>
      <c r="I32">
        <v>988.11175536999997</v>
      </c>
      <c r="J32">
        <v>592.71343993999994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0.34177400000000002</v>
      </c>
      <c r="B33" s="1">
        <f>DATE(2010,5,1) + TIME(8,12,9)</f>
        <v>40299.341770833336</v>
      </c>
      <c r="C33">
        <v>80</v>
      </c>
      <c r="D33">
        <v>36.364025116000001</v>
      </c>
      <c r="E33">
        <v>50</v>
      </c>
      <c r="F33">
        <v>14.896199226</v>
      </c>
      <c r="G33">
        <v>1863.7337646000001</v>
      </c>
      <c r="H33">
        <v>1615.3682861</v>
      </c>
      <c r="I33">
        <v>982.14306640999996</v>
      </c>
      <c r="J33">
        <v>586.73431396000001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0.36114400000000002</v>
      </c>
      <c r="B34" s="1">
        <f>DATE(2010,5,1) + TIME(8,40,2)</f>
        <v>40299.361134259256</v>
      </c>
      <c r="C34">
        <v>80</v>
      </c>
      <c r="D34">
        <v>37.342849731000001</v>
      </c>
      <c r="E34">
        <v>50</v>
      </c>
      <c r="F34">
        <v>14.895448685</v>
      </c>
      <c r="G34">
        <v>1862.0863036999999</v>
      </c>
      <c r="H34">
        <v>1618.1853027</v>
      </c>
      <c r="I34">
        <v>976.38842772999999</v>
      </c>
      <c r="J34">
        <v>580.97021484000004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0.38093199999999999</v>
      </c>
      <c r="B35" s="1">
        <f>DATE(2010,5,1) + TIME(9,8,32)</f>
        <v>40299.380925925929</v>
      </c>
      <c r="C35">
        <v>80</v>
      </c>
      <c r="D35">
        <v>38.321163177000003</v>
      </c>
      <c r="E35">
        <v>50</v>
      </c>
      <c r="F35">
        <v>14.894777297999999</v>
      </c>
      <c r="G35">
        <v>1860.4388428</v>
      </c>
      <c r="H35">
        <v>1620.8675536999999</v>
      </c>
      <c r="I35">
        <v>970.82617187999995</v>
      </c>
      <c r="J35">
        <v>575.39941406000003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0.40115800000000001</v>
      </c>
      <c r="B36" s="1">
        <f>DATE(2010,5,1) + TIME(9,37,40)</f>
        <v>40299.40115740741</v>
      </c>
      <c r="C36">
        <v>80</v>
      </c>
      <c r="D36">
        <v>39.298931121999999</v>
      </c>
      <c r="E36">
        <v>50</v>
      </c>
      <c r="F36">
        <v>14.894177437</v>
      </c>
      <c r="G36">
        <v>1858.8018798999999</v>
      </c>
      <c r="H36">
        <v>1623.4311522999999</v>
      </c>
      <c r="I36">
        <v>965.43731689000003</v>
      </c>
      <c r="J36">
        <v>570.00280762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0.42184500000000003</v>
      </c>
      <c r="B37" s="1">
        <f>DATE(2010,5,1) + TIME(10,7,27)</f>
        <v>40299.421840277777</v>
      </c>
      <c r="C37">
        <v>80</v>
      </c>
      <c r="D37">
        <v>40.276199341000002</v>
      </c>
      <c r="E37">
        <v>50</v>
      </c>
      <c r="F37">
        <v>14.893643379</v>
      </c>
      <c r="G37">
        <v>1857.1838379000001</v>
      </c>
      <c r="H37">
        <v>1625.8896483999999</v>
      </c>
      <c r="I37">
        <v>960.20507812000005</v>
      </c>
      <c r="J37">
        <v>564.76354979999996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0.44301299999999999</v>
      </c>
      <c r="B38" s="1">
        <f>DATE(2010,5,1) + TIME(10,37,56)</f>
        <v>40299.443009259259</v>
      </c>
      <c r="C38">
        <v>80</v>
      </c>
      <c r="D38">
        <v>41.252971649000003</v>
      </c>
      <c r="E38">
        <v>50</v>
      </c>
      <c r="F38">
        <v>14.893169403</v>
      </c>
      <c r="G38">
        <v>1855.5916748</v>
      </c>
      <c r="H38">
        <v>1628.2550048999999</v>
      </c>
      <c r="I38">
        <v>955.11480713000003</v>
      </c>
      <c r="J38">
        <v>559.66693114999998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0.46468399999999999</v>
      </c>
      <c r="B39" s="1">
        <f>DATE(2010,5,1) + TIME(11,9,8)</f>
        <v>40299.464675925927</v>
      </c>
      <c r="C39">
        <v>80</v>
      </c>
      <c r="D39">
        <v>42.228954315000003</v>
      </c>
      <c r="E39">
        <v>50</v>
      </c>
      <c r="F39">
        <v>14.892749786</v>
      </c>
      <c r="G39">
        <v>1854.0310059000001</v>
      </c>
      <c r="H39">
        <v>1630.5369873</v>
      </c>
      <c r="I39">
        <v>950.15344238</v>
      </c>
      <c r="J39">
        <v>554.69982909999999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0.48688900000000002</v>
      </c>
      <c r="B40" s="1">
        <f>DATE(2010,5,1) + TIME(11,41,7)</f>
        <v>40299.486886574072</v>
      </c>
      <c r="C40">
        <v>80</v>
      </c>
      <c r="D40">
        <v>43.204277038999997</v>
      </c>
      <c r="E40">
        <v>50</v>
      </c>
      <c r="F40">
        <v>14.892380714</v>
      </c>
      <c r="G40">
        <v>1852.5062256000001</v>
      </c>
      <c r="H40">
        <v>1632.7451172000001</v>
      </c>
      <c r="I40">
        <v>945.30816649999997</v>
      </c>
      <c r="J40">
        <v>549.84936522999999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0.50965499999999997</v>
      </c>
      <c r="B41" s="1">
        <f>DATE(2010,5,1) + TIME(12,13,54)</f>
        <v>40299.509652777779</v>
      </c>
      <c r="C41">
        <v>80</v>
      </c>
      <c r="D41">
        <v>44.178905487000002</v>
      </c>
      <c r="E41">
        <v>50</v>
      </c>
      <c r="F41">
        <v>14.892058371999999</v>
      </c>
      <c r="G41">
        <v>1851.0212402</v>
      </c>
      <c r="H41">
        <v>1634.8873291</v>
      </c>
      <c r="I41">
        <v>940.56781006000006</v>
      </c>
      <c r="J41">
        <v>545.10430908000001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0.53301399999999999</v>
      </c>
      <c r="B42" s="1">
        <f>DATE(2010,5,1) + TIME(12,47,32)</f>
        <v>40299.533009259256</v>
      </c>
      <c r="C42">
        <v>80</v>
      </c>
      <c r="D42">
        <v>45.152801513999997</v>
      </c>
      <c r="E42">
        <v>50</v>
      </c>
      <c r="F42">
        <v>14.891777992</v>
      </c>
      <c r="G42">
        <v>1849.5793457</v>
      </c>
      <c r="H42">
        <v>1636.9707031</v>
      </c>
      <c r="I42">
        <v>935.92230225000003</v>
      </c>
      <c r="J42">
        <v>540.45465088000003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0.55699900000000002</v>
      </c>
      <c r="B43" s="1">
        <f>DATE(2010,5,1) + TIME(13,22,4)</f>
        <v>40299.556990740741</v>
      </c>
      <c r="C43">
        <v>80</v>
      </c>
      <c r="D43">
        <v>46.125926970999998</v>
      </c>
      <c r="E43">
        <v>50</v>
      </c>
      <c r="F43">
        <v>14.891536713000001</v>
      </c>
      <c r="G43">
        <v>1848.1827393000001</v>
      </c>
      <c r="H43">
        <v>1639.0015868999999</v>
      </c>
      <c r="I43">
        <v>931.36230468999997</v>
      </c>
      <c r="J43">
        <v>535.89093018000005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0.581646</v>
      </c>
      <c r="B44" s="1">
        <f>DATE(2010,5,1) + TIME(13,57,34)</f>
        <v>40299.581643518519</v>
      </c>
      <c r="C44">
        <v>80</v>
      </c>
      <c r="D44">
        <v>47.098239898999999</v>
      </c>
      <c r="E44">
        <v>50</v>
      </c>
      <c r="F44">
        <v>14.891331673</v>
      </c>
      <c r="G44">
        <v>1846.8336182</v>
      </c>
      <c r="H44">
        <v>1640.9855957</v>
      </c>
      <c r="I44">
        <v>926.87921143000005</v>
      </c>
      <c r="J44">
        <v>531.40441895000004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0.60699599999999998</v>
      </c>
      <c r="B45" s="1">
        <f>DATE(2010,5,1) + TIME(14,34,4)</f>
        <v>40299.606990740744</v>
      </c>
      <c r="C45">
        <v>80</v>
      </c>
      <c r="D45">
        <v>48.069698334000002</v>
      </c>
      <c r="E45">
        <v>50</v>
      </c>
      <c r="F45">
        <v>14.891160964999999</v>
      </c>
      <c r="G45">
        <v>1845.5334473</v>
      </c>
      <c r="H45">
        <v>1642.9278564000001</v>
      </c>
      <c r="I45">
        <v>922.46484375</v>
      </c>
      <c r="J45">
        <v>526.98712158000001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0.63309000000000004</v>
      </c>
      <c r="B46" s="1">
        <f>DATE(2010,5,1) + TIME(15,11,38)</f>
        <v>40299.6330787037</v>
      </c>
      <c r="C46">
        <v>80</v>
      </c>
      <c r="D46">
        <v>49.040252686000002</v>
      </c>
      <c r="E46">
        <v>50</v>
      </c>
      <c r="F46">
        <v>14.891019821</v>
      </c>
      <c r="G46">
        <v>1844.2835693</v>
      </c>
      <c r="H46">
        <v>1644.8328856999999</v>
      </c>
      <c r="I46">
        <v>918.11163329999999</v>
      </c>
      <c r="J46">
        <v>522.63128661999997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0.65997600000000001</v>
      </c>
      <c r="B47" s="1">
        <f>DATE(2010,5,1) + TIME(15,50,21)</f>
        <v>40299.65996527778</v>
      </c>
      <c r="C47">
        <v>80</v>
      </c>
      <c r="D47">
        <v>50.009841919000003</v>
      </c>
      <c r="E47">
        <v>50</v>
      </c>
      <c r="F47">
        <v>14.890908241</v>
      </c>
      <c r="G47">
        <v>1843.0850829999999</v>
      </c>
      <c r="H47">
        <v>1646.7049560999999</v>
      </c>
      <c r="I47">
        <v>913.81231689000003</v>
      </c>
      <c r="J47">
        <v>518.32965088000003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0.68770500000000001</v>
      </c>
      <c r="B48" s="1">
        <f>DATE(2010,5,1) + TIME(16,30,17)</f>
        <v>40299.687696759262</v>
      </c>
      <c r="C48">
        <v>80</v>
      </c>
      <c r="D48">
        <v>50.977943420000003</v>
      </c>
      <c r="E48">
        <v>50</v>
      </c>
      <c r="F48">
        <v>14.890822411</v>
      </c>
      <c r="G48">
        <v>1841.9392089999999</v>
      </c>
      <c r="H48">
        <v>1648.5480957</v>
      </c>
      <c r="I48">
        <v>909.55993651999995</v>
      </c>
      <c r="J48">
        <v>514.07525635000002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0.71634699999999996</v>
      </c>
      <c r="B49" s="1">
        <f>DATE(2010,5,1) + TIME(17,11,32)</f>
        <v>40299.71634259259</v>
      </c>
      <c r="C49">
        <v>80</v>
      </c>
      <c r="D49">
        <v>51.945407867</v>
      </c>
      <c r="E49">
        <v>50</v>
      </c>
      <c r="F49">
        <v>14.890761375</v>
      </c>
      <c r="G49">
        <v>1840.8464355000001</v>
      </c>
      <c r="H49">
        <v>1650.3668213000001</v>
      </c>
      <c r="I49">
        <v>905.34582520000004</v>
      </c>
      <c r="J49">
        <v>509.85946654999998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0.74595299999999998</v>
      </c>
      <c r="B50" s="1">
        <f>DATE(2010,5,1) + TIME(17,54,10)</f>
        <v>40299.745949074073</v>
      </c>
      <c r="C50">
        <v>80</v>
      </c>
      <c r="D50">
        <v>52.911720275999997</v>
      </c>
      <c r="E50">
        <v>50</v>
      </c>
      <c r="F50">
        <v>14.890722275</v>
      </c>
      <c r="G50">
        <v>1839.8082274999999</v>
      </c>
      <c r="H50">
        <v>1652.1638184000001</v>
      </c>
      <c r="I50">
        <v>901.16546631000006</v>
      </c>
      <c r="J50">
        <v>505.67761230000002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0.77659100000000003</v>
      </c>
      <c r="B51" s="1">
        <f>DATE(2010,5,1) + TIME(18,38,17)</f>
        <v>40299.776585648149</v>
      </c>
      <c r="C51">
        <v>80</v>
      </c>
      <c r="D51">
        <v>53.876808167</v>
      </c>
      <c r="E51">
        <v>50</v>
      </c>
      <c r="F51">
        <v>14.890704155</v>
      </c>
      <c r="G51">
        <v>1838.8248291</v>
      </c>
      <c r="H51">
        <v>1653.9425048999999</v>
      </c>
      <c r="I51">
        <v>897.01239013999998</v>
      </c>
      <c r="J51">
        <v>501.52331543000003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0.80833699999999997</v>
      </c>
      <c r="B52" s="1">
        <f>DATE(2010,5,1) + TIME(19,24,0)</f>
        <v>40299.808333333334</v>
      </c>
      <c r="C52">
        <v>80</v>
      </c>
      <c r="D52">
        <v>54.840587616000001</v>
      </c>
      <c r="E52">
        <v>50</v>
      </c>
      <c r="F52">
        <v>14.890705109000001</v>
      </c>
      <c r="G52">
        <v>1837.8966064000001</v>
      </c>
      <c r="H52">
        <v>1655.7058105000001</v>
      </c>
      <c r="I52">
        <v>892.88024901999995</v>
      </c>
      <c r="J52">
        <v>497.39016723999998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0.84127700000000005</v>
      </c>
      <c r="B53" s="1">
        <f>DATE(2010,5,1) + TIME(20,11,26)</f>
        <v>40299.841273148151</v>
      </c>
      <c r="C53">
        <v>80</v>
      </c>
      <c r="D53">
        <v>55.802959442000002</v>
      </c>
      <c r="E53">
        <v>50</v>
      </c>
      <c r="F53">
        <v>14.890724182</v>
      </c>
      <c r="G53">
        <v>1837.0244141000001</v>
      </c>
      <c r="H53">
        <v>1657.4569091999999</v>
      </c>
      <c r="I53">
        <v>888.76275635000002</v>
      </c>
      <c r="J53">
        <v>493.27182006999999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0.87548800000000004</v>
      </c>
      <c r="B54" s="1">
        <f>DATE(2010,5,1) + TIME(21,0,42)</f>
        <v>40299.875486111108</v>
      </c>
      <c r="C54">
        <v>80</v>
      </c>
      <c r="D54">
        <v>56.763389586999999</v>
      </c>
      <c r="E54">
        <v>50</v>
      </c>
      <c r="F54">
        <v>14.890757560999999</v>
      </c>
      <c r="G54">
        <v>1836.2092285000001</v>
      </c>
      <c r="H54">
        <v>1659.1979980000001</v>
      </c>
      <c r="I54">
        <v>884.65527343999997</v>
      </c>
      <c r="J54">
        <v>489.16369629000002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0.91106699999999996</v>
      </c>
      <c r="B55" s="1">
        <f>DATE(2010,5,1) + TIME(21,51,56)</f>
        <v>40299.911064814813</v>
      </c>
      <c r="C55">
        <v>80</v>
      </c>
      <c r="D55">
        <v>57.721557617000002</v>
      </c>
      <c r="E55">
        <v>50</v>
      </c>
      <c r="F55">
        <v>14.890806198</v>
      </c>
      <c r="G55">
        <v>1835.4522704999999</v>
      </c>
      <c r="H55">
        <v>1660.9318848</v>
      </c>
      <c r="I55">
        <v>880.55206298999997</v>
      </c>
      <c r="J55">
        <v>485.05999756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0.948129</v>
      </c>
      <c r="B56" s="1">
        <f>DATE(2010,5,1) + TIME(22,45,18)</f>
        <v>40299.948125000003</v>
      </c>
      <c r="C56">
        <v>80</v>
      </c>
      <c r="D56">
        <v>58.677314758000001</v>
      </c>
      <c r="E56">
        <v>50</v>
      </c>
      <c r="F56">
        <v>14.890867233</v>
      </c>
      <c r="G56">
        <v>1834.7543945</v>
      </c>
      <c r="H56">
        <v>1662.6617432</v>
      </c>
      <c r="I56">
        <v>876.44647216999999</v>
      </c>
      <c r="J56">
        <v>480.95410156000003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0.98680500000000004</v>
      </c>
      <c r="B57" s="1">
        <f>DATE(2010,5,1) + TIME(23,40,59)</f>
        <v>40299.986793981479</v>
      </c>
      <c r="C57">
        <v>80</v>
      </c>
      <c r="D57">
        <v>59.630493164000001</v>
      </c>
      <c r="E57">
        <v>50</v>
      </c>
      <c r="F57">
        <v>14.890939713</v>
      </c>
      <c r="G57">
        <v>1834.1169434000001</v>
      </c>
      <c r="H57">
        <v>1664.3908690999999</v>
      </c>
      <c r="I57">
        <v>872.33160399999997</v>
      </c>
      <c r="J57">
        <v>476.83901978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1.027207</v>
      </c>
      <c r="B58" s="1">
        <f>DATE(2010,5,2) + TIME(0,39,10)</f>
        <v>40300.027199074073</v>
      </c>
      <c r="C58">
        <v>80</v>
      </c>
      <c r="D58">
        <v>60.579727173000002</v>
      </c>
      <c r="E58">
        <v>50</v>
      </c>
      <c r="F58">
        <v>14.891021729</v>
      </c>
      <c r="G58">
        <v>1833.5419922000001</v>
      </c>
      <c r="H58">
        <v>1666.1210937999999</v>
      </c>
      <c r="I58">
        <v>868.20336913999995</v>
      </c>
      <c r="J58">
        <v>472.71069335999999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1.0694360000000001</v>
      </c>
      <c r="B59" s="1">
        <f>DATE(2010,5,2) + TIME(1,39,59)</f>
        <v>40300.069432870368</v>
      </c>
      <c r="C59">
        <v>80</v>
      </c>
      <c r="D59">
        <v>61.523609161000003</v>
      </c>
      <c r="E59">
        <v>50</v>
      </c>
      <c r="F59">
        <v>14.891111373999999</v>
      </c>
      <c r="G59">
        <v>1833.0319824000001</v>
      </c>
      <c r="H59">
        <v>1667.8533935999999</v>
      </c>
      <c r="I59">
        <v>864.06005859000004</v>
      </c>
      <c r="J59">
        <v>468.56741333000002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1.1135729999999999</v>
      </c>
      <c r="B60" s="1">
        <f>DATE(2010,5,2) + TIME(2,43,32)</f>
        <v>40300.113564814812</v>
      </c>
      <c r="C60">
        <v>80</v>
      </c>
      <c r="D60">
        <v>62.460247039999999</v>
      </c>
      <c r="E60">
        <v>50</v>
      </c>
      <c r="F60">
        <v>14.891208648999999</v>
      </c>
      <c r="G60">
        <v>1832.5894774999999</v>
      </c>
      <c r="H60">
        <v>1669.5878906</v>
      </c>
      <c r="I60">
        <v>859.90234375</v>
      </c>
      <c r="J60">
        <v>464.40979004000002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1.15978</v>
      </c>
      <c r="B61" s="1">
        <f>DATE(2010,5,2) + TIME(3,50,4)</f>
        <v>40300.159768518519</v>
      </c>
      <c r="C61">
        <v>80</v>
      </c>
      <c r="D61">
        <v>63.388946533000002</v>
      </c>
      <c r="E61">
        <v>50</v>
      </c>
      <c r="F61">
        <v>14.891309738</v>
      </c>
      <c r="G61">
        <v>1832.2159423999999</v>
      </c>
      <c r="H61">
        <v>1671.3273925999999</v>
      </c>
      <c r="I61">
        <v>855.72412109000004</v>
      </c>
      <c r="J61">
        <v>460.23165893999999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1.2082930000000001</v>
      </c>
      <c r="B62" s="1">
        <f>DATE(2010,5,2) + TIME(4,59,56)</f>
        <v>40300.208287037036</v>
      </c>
      <c r="C62">
        <v>80</v>
      </c>
      <c r="D62">
        <v>64.309921265</v>
      </c>
      <c r="E62">
        <v>50</v>
      </c>
      <c r="F62">
        <v>14.891414642000001</v>
      </c>
      <c r="G62">
        <v>1831.9133300999999</v>
      </c>
      <c r="H62">
        <v>1673.0776367000001</v>
      </c>
      <c r="I62">
        <v>851.51428223000005</v>
      </c>
      <c r="J62">
        <v>456.02203369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1.259309</v>
      </c>
      <c r="B63" s="1">
        <f>DATE(2010,5,2) + TIME(6,13,24)</f>
        <v>40300.259305555555</v>
      </c>
      <c r="C63">
        <v>80</v>
      </c>
      <c r="D63">
        <v>65.222053528000004</v>
      </c>
      <c r="E63">
        <v>50</v>
      </c>
      <c r="F63">
        <v>14.891521453999999</v>
      </c>
      <c r="G63">
        <v>1831.6842041</v>
      </c>
      <c r="H63">
        <v>1674.8410644999999</v>
      </c>
      <c r="I63">
        <v>847.26739501999998</v>
      </c>
      <c r="J63">
        <v>451.77536011000001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1.313062</v>
      </c>
      <c r="B64" s="1">
        <f>DATE(2010,5,2) + TIME(7,30,48)</f>
        <v>40300.313055555554</v>
      </c>
      <c r="C64">
        <v>80</v>
      </c>
      <c r="D64">
        <v>66.124427795000003</v>
      </c>
      <c r="E64">
        <v>50</v>
      </c>
      <c r="F64">
        <v>14.891628265</v>
      </c>
      <c r="G64">
        <v>1831.5316161999999</v>
      </c>
      <c r="H64">
        <v>1676.6214600000001</v>
      </c>
      <c r="I64">
        <v>842.97644043000003</v>
      </c>
      <c r="J64">
        <v>447.48461914000001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1.3698589999999999</v>
      </c>
      <c r="B65" s="1">
        <f>DATE(2010,5,2) + TIME(8,52,35)</f>
        <v>40300.369849537034</v>
      </c>
      <c r="C65">
        <v>80</v>
      </c>
      <c r="D65">
        <v>67.016311646000005</v>
      </c>
      <c r="E65">
        <v>50</v>
      </c>
      <c r="F65">
        <v>14.89173317</v>
      </c>
      <c r="G65">
        <v>1831.4591064000001</v>
      </c>
      <c r="H65">
        <v>1678.4240723</v>
      </c>
      <c r="I65">
        <v>838.63104248000002</v>
      </c>
      <c r="J65">
        <v>443.13946533000001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1.4297679999999999</v>
      </c>
      <c r="B66" s="1">
        <f>DATE(2010,5,2) + TIME(10,18,51)</f>
        <v>40300.429756944446</v>
      </c>
      <c r="C66">
        <v>80</v>
      </c>
      <c r="D66">
        <v>67.893142699999999</v>
      </c>
      <c r="E66">
        <v>50</v>
      </c>
      <c r="F66">
        <v>14.891835213</v>
      </c>
      <c r="G66">
        <v>1831.4696045000001</v>
      </c>
      <c r="H66">
        <v>1680.2445068</v>
      </c>
      <c r="I66">
        <v>834.24005126999998</v>
      </c>
      <c r="J66">
        <v>438.74862671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1.489689</v>
      </c>
      <c r="B67" s="1">
        <f>DATE(2010,5,2) + TIME(11,45,9)</f>
        <v>40300.489687499998</v>
      </c>
      <c r="C67">
        <v>80</v>
      </c>
      <c r="D67">
        <v>68.710456848000007</v>
      </c>
      <c r="E67">
        <v>50</v>
      </c>
      <c r="F67">
        <v>14.891923904</v>
      </c>
      <c r="G67">
        <v>1831.541626</v>
      </c>
      <c r="H67">
        <v>1681.9705810999999</v>
      </c>
      <c r="I67">
        <v>830.02526854999996</v>
      </c>
      <c r="J67">
        <v>434.53396606000001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1.5498069999999999</v>
      </c>
      <c r="B68" s="1">
        <f>DATE(2010,5,2) + TIME(13,11,43)</f>
        <v>40300.549803240741</v>
      </c>
      <c r="C68">
        <v>80</v>
      </c>
      <c r="D68">
        <v>69.474449157999999</v>
      </c>
      <c r="E68">
        <v>50</v>
      </c>
      <c r="F68">
        <v>14.892000198</v>
      </c>
      <c r="G68">
        <v>1831.6701660000001</v>
      </c>
      <c r="H68">
        <v>1683.6218262</v>
      </c>
      <c r="I68">
        <v>825.96130371000004</v>
      </c>
      <c r="J68">
        <v>430.46997069999998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1.61022</v>
      </c>
      <c r="B69" s="1">
        <f>DATE(2010,5,2) + TIME(14,38,43)</f>
        <v>40300.610219907408</v>
      </c>
      <c r="C69">
        <v>80</v>
      </c>
      <c r="D69">
        <v>70.189331054999997</v>
      </c>
      <c r="E69">
        <v>50</v>
      </c>
      <c r="F69">
        <v>14.892063141</v>
      </c>
      <c r="G69">
        <v>1831.8553466999999</v>
      </c>
      <c r="H69">
        <v>1685.2122803</v>
      </c>
      <c r="I69">
        <v>822.03149413999995</v>
      </c>
      <c r="J69">
        <v>426.54003906000003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1.671022</v>
      </c>
      <c r="B70" s="1">
        <f>DATE(2010,5,2) + TIME(16,6,16)</f>
        <v>40300.671018518522</v>
      </c>
      <c r="C70">
        <v>80</v>
      </c>
      <c r="D70">
        <v>70.858703613000003</v>
      </c>
      <c r="E70">
        <v>50</v>
      </c>
      <c r="F70">
        <v>14.892115593</v>
      </c>
      <c r="G70">
        <v>1832.0950928</v>
      </c>
      <c r="H70">
        <v>1686.7518310999999</v>
      </c>
      <c r="I70">
        <v>818.22113036999997</v>
      </c>
      <c r="J70">
        <v>422.72949218999997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1.732302</v>
      </c>
      <c r="B71" s="1">
        <f>DATE(2010,5,2) + TIME(17,34,30)</f>
        <v>40300.732291666667</v>
      </c>
      <c r="C71">
        <v>80</v>
      </c>
      <c r="D71">
        <v>71.486335753999995</v>
      </c>
      <c r="E71">
        <v>50</v>
      </c>
      <c r="F71">
        <v>14.892156601</v>
      </c>
      <c r="G71">
        <v>1832.3867187999999</v>
      </c>
      <c r="H71">
        <v>1688.2482910000001</v>
      </c>
      <c r="I71">
        <v>814.51751708999996</v>
      </c>
      <c r="J71">
        <v>419.02560425000001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1.7941510000000001</v>
      </c>
      <c r="B72" s="1">
        <f>DATE(2010,5,2) + TIME(19,3,34)</f>
        <v>40300.79414351852</v>
      </c>
      <c r="C72">
        <v>80</v>
      </c>
      <c r="D72">
        <v>72.075248717999997</v>
      </c>
      <c r="E72">
        <v>50</v>
      </c>
      <c r="F72">
        <v>14.892186165</v>
      </c>
      <c r="G72">
        <v>1832.7271728999999</v>
      </c>
      <c r="H72">
        <v>1689.7075195</v>
      </c>
      <c r="I72">
        <v>810.90936279000005</v>
      </c>
      <c r="J72">
        <v>415.41708374000001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1.8566530000000001</v>
      </c>
      <c r="B73" s="1">
        <f>DATE(2010,5,2) + TIME(20,33,34)</f>
        <v>40300.85664351852</v>
      </c>
      <c r="C73">
        <v>80</v>
      </c>
      <c r="D73">
        <v>72.628128051999994</v>
      </c>
      <c r="E73">
        <v>50</v>
      </c>
      <c r="F73">
        <v>14.892206192</v>
      </c>
      <c r="G73">
        <v>1833.1135254000001</v>
      </c>
      <c r="H73">
        <v>1691.1345214999999</v>
      </c>
      <c r="I73">
        <v>807.38671875</v>
      </c>
      <c r="J73">
        <v>411.89398193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1.919899</v>
      </c>
      <c r="B74" s="1">
        <f>DATE(2010,5,2) + TIME(22,4,39)</f>
        <v>40300.919895833336</v>
      </c>
      <c r="C74">
        <v>80</v>
      </c>
      <c r="D74">
        <v>73.147399902000004</v>
      </c>
      <c r="E74">
        <v>50</v>
      </c>
      <c r="F74">
        <v>14.892216682000001</v>
      </c>
      <c r="G74">
        <v>1833.5430908000001</v>
      </c>
      <c r="H74">
        <v>1692.5335693</v>
      </c>
      <c r="I74">
        <v>803.94061279000005</v>
      </c>
      <c r="J74">
        <v>408.44729613999999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1.9839709999999999</v>
      </c>
      <c r="B75" s="1">
        <f>DATE(2010,5,2) + TIME(23,36,55)</f>
        <v>40300.983969907407</v>
      </c>
      <c r="C75">
        <v>80</v>
      </c>
      <c r="D75">
        <v>73.635223389000004</v>
      </c>
      <c r="E75">
        <v>50</v>
      </c>
      <c r="F75">
        <v>14.892217636</v>
      </c>
      <c r="G75">
        <v>1834.0134277</v>
      </c>
      <c r="H75">
        <v>1693.9082031</v>
      </c>
      <c r="I75">
        <v>800.56311034999999</v>
      </c>
      <c r="J75">
        <v>405.06912231000001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2.04895</v>
      </c>
      <c r="B76" s="1">
        <f>DATE(2010,5,3) + TIME(1,10,29)</f>
        <v>40301.048946759256</v>
      </c>
      <c r="C76">
        <v>80</v>
      </c>
      <c r="D76">
        <v>74.093521117999998</v>
      </c>
      <c r="E76">
        <v>50</v>
      </c>
      <c r="F76">
        <v>14.892210006999999</v>
      </c>
      <c r="G76">
        <v>1834.5222168</v>
      </c>
      <c r="H76">
        <v>1695.2614745999999</v>
      </c>
      <c r="I76">
        <v>797.24725341999999</v>
      </c>
      <c r="J76">
        <v>401.75256347999999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2.1149399999999998</v>
      </c>
      <c r="B77" s="1">
        <f>DATE(2010,5,3) + TIME(2,45,30)</f>
        <v>40301.114930555559</v>
      </c>
      <c r="C77">
        <v>80</v>
      </c>
      <c r="D77">
        <v>74.524177550999994</v>
      </c>
      <c r="E77">
        <v>50</v>
      </c>
      <c r="F77">
        <v>14.892193794000001</v>
      </c>
      <c r="G77">
        <v>1835.0681152</v>
      </c>
      <c r="H77">
        <v>1696.5965576000001</v>
      </c>
      <c r="I77">
        <v>793.98583984000004</v>
      </c>
      <c r="J77">
        <v>398.49032592999998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2.1820360000000001</v>
      </c>
      <c r="B78" s="1">
        <f>DATE(2010,5,3) + TIME(4,22,7)</f>
        <v>40301.182025462964</v>
      </c>
      <c r="C78">
        <v>80</v>
      </c>
      <c r="D78">
        <v>74.928840636999993</v>
      </c>
      <c r="E78">
        <v>50</v>
      </c>
      <c r="F78">
        <v>14.892170906</v>
      </c>
      <c r="G78">
        <v>1835.6491699000001</v>
      </c>
      <c r="H78">
        <v>1697.9161377</v>
      </c>
      <c r="I78">
        <v>790.77258300999995</v>
      </c>
      <c r="J78">
        <v>395.27618408000001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2.2503359999999999</v>
      </c>
      <c r="B79" s="1">
        <f>DATE(2010,5,3) + TIME(6,0,29)</f>
        <v>40301.250335648147</v>
      </c>
      <c r="C79">
        <v>80</v>
      </c>
      <c r="D79">
        <v>75.308769225999995</v>
      </c>
      <c r="E79">
        <v>50</v>
      </c>
      <c r="F79">
        <v>14.892139435000001</v>
      </c>
      <c r="G79">
        <v>1836.2644043</v>
      </c>
      <c r="H79">
        <v>1699.2225341999999</v>
      </c>
      <c r="I79">
        <v>787.60174560999997</v>
      </c>
      <c r="J79">
        <v>392.10443114999998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2.319944</v>
      </c>
      <c r="B80" s="1">
        <f>DATE(2010,5,3) + TIME(7,40,43)</f>
        <v>40301.31994212963</v>
      </c>
      <c r="C80">
        <v>80</v>
      </c>
      <c r="D80">
        <v>75.665534973000007</v>
      </c>
      <c r="E80">
        <v>50</v>
      </c>
      <c r="F80">
        <v>14.892102242</v>
      </c>
      <c r="G80">
        <v>1836.9125977000001</v>
      </c>
      <c r="H80">
        <v>1700.5180664</v>
      </c>
      <c r="I80">
        <v>784.46801758000004</v>
      </c>
      <c r="J80">
        <v>388.96969603999997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2.3909699999999998</v>
      </c>
      <c r="B81" s="1">
        <f>DATE(2010,5,3) + TIME(9,22,59)</f>
        <v>40301.390960648147</v>
      </c>
      <c r="C81">
        <v>80</v>
      </c>
      <c r="D81">
        <v>76.000465392999999</v>
      </c>
      <c r="E81">
        <v>50</v>
      </c>
      <c r="F81">
        <v>14.892058371999999</v>
      </c>
      <c r="G81">
        <v>1837.5926514</v>
      </c>
      <c r="H81">
        <v>1701.8046875</v>
      </c>
      <c r="I81">
        <v>781.36627196999996</v>
      </c>
      <c r="J81">
        <v>385.86685181000001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2.46353</v>
      </c>
      <c r="B82" s="1">
        <f>DATE(2010,5,3) + TIME(11,7,28)</f>
        <v>40301.463518518518</v>
      </c>
      <c r="C82">
        <v>80</v>
      </c>
      <c r="D82">
        <v>76.314758300999998</v>
      </c>
      <c r="E82">
        <v>50</v>
      </c>
      <c r="F82">
        <v>14.892008780999999</v>
      </c>
      <c r="G82">
        <v>1838.3038329999999</v>
      </c>
      <c r="H82">
        <v>1703.0844727000001</v>
      </c>
      <c r="I82">
        <v>778.29168701000003</v>
      </c>
      <c r="J82">
        <v>382.79113769999998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2.53769</v>
      </c>
      <c r="B83" s="1">
        <f>DATE(2010,5,3) + TIME(12,54,16)</f>
        <v>40301.537685185183</v>
      </c>
      <c r="C83">
        <v>80</v>
      </c>
      <c r="D83">
        <v>76.609283446999996</v>
      </c>
      <c r="E83">
        <v>50</v>
      </c>
      <c r="F83">
        <v>14.891953468000001</v>
      </c>
      <c r="G83">
        <v>1839.0444336</v>
      </c>
      <c r="H83">
        <v>1704.3577881000001</v>
      </c>
      <c r="I83">
        <v>775.24194336000005</v>
      </c>
      <c r="J83">
        <v>379.74017334000001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2.6135600000000001</v>
      </c>
      <c r="B84" s="1">
        <f>DATE(2010,5,3) + TIME(14,43,31)</f>
        <v>40301.613553240742</v>
      </c>
      <c r="C84">
        <v>80</v>
      </c>
      <c r="D84">
        <v>76.885055542000003</v>
      </c>
      <c r="E84">
        <v>50</v>
      </c>
      <c r="F84">
        <v>14.891893387</v>
      </c>
      <c r="G84">
        <v>1839.8135986</v>
      </c>
      <c r="H84">
        <v>1705.6260986</v>
      </c>
      <c r="I84">
        <v>772.21325683999999</v>
      </c>
      <c r="J84">
        <v>376.71020507999998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2.6912790000000002</v>
      </c>
      <c r="B85" s="1">
        <f>DATE(2010,5,3) + TIME(16,35,26)</f>
        <v>40301.69127314815</v>
      </c>
      <c r="C85">
        <v>80</v>
      </c>
      <c r="D85">
        <v>77.143058776999993</v>
      </c>
      <c r="E85">
        <v>50</v>
      </c>
      <c r="F85">
        <v>14.891828537</v>
      </c>
      <c r="G85">
        <v>1840.6110839999999</v>
      </c>
      <c r="H85">
        <v>1706.8913574000001</v>
      </c>
      <c r="I85">
        <v>769.20117187999995</v>
      </c>
      <c r="J85">
        <v>373.69683837999997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2.7710140000000001</v>
      </c>
      <c r="B86" s="1">
        <f>DATE(2010,5,3) + TIME(18,30,15)</f>
        <v>40301.771006944444</v>
      </c>
      <c r="C86">
        <v>80</v>
      </c>
      <c r="D86">
        <v>77.384300232000001</v>
      </c>
      <c r="E86">
        <v>50</v>
      </c>
      <c r="F86">
        <v>14.891759872</v>
      </c>
      <c r="G86">
        <v>1841.4367675999999</v>
      </c>
      <c r="H86">
        <v>1708.1556396000001</v>
      </c>
      <c r="I86">
        <v>766.20074463000003</v>
      </c>
      <c r="J86">
        <v>370.69506835999999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2.852922</v>
      </c>
      <c r="B87" s="1">
        <f>DATE(2010,5,3) + TIME(20,28,12)</f>
        <v>40301.852916666663</v>
      </c>
      <c r="C87">
        <v>80</v>
      </c>
      <c r="D87">
        <v>77.609619140999996</v>
      </c>
      <c r="E87">
        <v>50</v>
      </c>
      <c r="F87">
        <v>14.891687393</v>
      </c>
      <c r="G87">
        <v>1842.2904053</v>
      </c>
      <c r="H87">
        <v>1709.4205322</v>
      </c>
      <c r="I87">
        <v>763.20788574000005</v>
      </c>
      <c r="J87">
        <v>367.70080566000001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2.9371619999999998</v>
      </c>
      <c r="B88" s="1">
        <f>DATE(2010,5,3) + TIME(22,29,30)</f>
        <v>40301.937152777777</v>
      </c>
      <c r="C88">
        <v>80</v>
      </c>
      <c r="D88">
        <v>77.819786071999999</v>
      </c>
      <c r="E88">
        <v>50</v>
      </c>
      <c r="F88">
        <v>14.891611099</v>
      </c>
      <c r="G88">
        <v>1843.171875</v>
      </c>
      <c r="H88">
        <v>1710.6871338000001</v>
      </c>
      <c r="I88">
        <v>760.21899413999995</v>
      </c>
      <c r="J88">
        <v>364.71044921999999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3.0239159999999998</v>
      </c>
      <c r="B89" s="1">
        <f>DATE(2010,5,4) + TIME(0,34,26)</f>
        <v>40302.023912037039</v>
      </c>
      <c r="C89">
        <v>80</v>
      </c>
      <c r="D89">
        <v>78.015556334999999</v>
      </c>
      <c r="E89">
        <v>50</v>
      </c>
      <c r="F89">
        <v>14.891531944</v>
      </c>
      <c r="G89">
        <v>1844.0809326000001</v>
      </c>
      <c r="H89">
        <v>1711.9570312000001</v>
      </c>
      <c r="I89">
        <v>757.23010253999996</v>
      </c>
      <c r="J89">
        <v>361.72009277000001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3.1132840000000002</v>
      </c>
      <c r="B90" s="1">
        <f>DATE(2010,5,4) + TIME(2,43,7)</f>
        <v>40302.113275462965</v>
      </c>
      <c r="C90">
        <v>80</v>
      </c>
      <c r="D90">
        <v>78.197463988999999</v>
      </c>
      <c r="E90">
        <v>50</v>
      </c>
      <c r="F90">
        <v>14.891450882000001</v>
      </c>
      <c r="G90">
        <v>1845.0161132999999</v>
      </c>
      <c r="H90">
        <v>1713.2297363</v>
      </c>
      <c r="I90">
        <v>754.24053954999999</v>
      </c>
      <c r="J90">
        <v>358.72900391000002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3.2053579999999999</v>
      </c>
      <c r="B91" s="1">
        <f>DATE(2010,5,4) + TIME(4,55,42)</f>
        <v>40302.205347222225</v>
      </c>
      <c r="C91">
        <v>80</v>
      </c>
      <c r="D91">
        <v>78.366020203000005</v>
      </c>
      <c r="E91">
        <v>50</v>
      </c>
      <c r="F91">
        <v>14.891366959000001</v>
      </c>
      <c r="G91">
        <v>1845.9759521000001</v>
      </c>
      <c r="H91">
        <v>1714.5047606999999</v>
      </c>
      <c r="I91">
        <v>751.25</v>
      </c>
      <c r="J91">
        <v>355.73687744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3.300214</v>
      </c>
      <c r="B92" s="1">
        <f>DATE(2010,5,4) + TIME(7,12,18)</f>
        <v>40302.300208333334</v>
      </c>
      <c r="C92">
        <v>80</v>
      </c>
      <c r="D92">
        <v>78.521743774000001</v>
      </c>
      <c r="E92">
        <v>50</v>
      </c>
      <c r="F92">
        <v>14.891282082</v>
      </c>
      <c r="G92">
        <v>1846.9587402</v>
      </c>
      <c r="H92">
        <v>1715.7813721</v>
      </c>
      <c r="I92">
        <v>748.25872803000004</v>
      </c>
      <c r="J92">
        <v>352.74404907000002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3.3979300000000001</v>
      </c>
      <c r="B93" s="1">
        <f>DATE(2010,5,4) + TIME(9,33,1)</f>
        <v>40302.397928240738</v>
      </c>
      <c r="C93">
        <v>80</v>
      </c>
      <c r="D93">
        <v>78.665168761999993</v>
      </c>
      <c r="E93">
        <v>50</v>
      </c>
      <c r="F93">
        <v>14.891196251</v>
      </c>
      <c r="G93">
        <v>1847.9628906</v>
      </c>
      <c r="H93">
        <v>1717.059082</v>
      </c>
      <c r="I93">
        <v>745.26715088000003</v>
      </c>
      <c r="J93">
        <v>349.75085448999999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3.4987140000000001</v>
      </c>
      <c r="B94" s="1">
        <f>DATE(2010,5,4) + TIME(11,58,8)</f>
        <v>40302.498703703706</v>
      </c>
      <c r="C94">
        <v>80</v>
      </c>
      <c r="D94">
        <v>78.797012328999998</v>
      </c>
      <c r="E94">
        <v>50</v>
      </c>
      <c r="F94">
        <v>14.891109467</v>
      </c>
      <c r="G94">
        <v>1848.9887695</v>
      </c>
      <c r="H94">
        <v>1718.3393555</v>
      </c>
      <c r="I94">
        <v>742.27178954999999</v>
      </c>
      <c r="J94">
        <v>346.75387573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3.6028289999999998</v>
      </c>
      <c r="B95" s="1">
        <f>DATE(2010,5,4) + TIME(14,28,4)</f>
        <v>40302.602824074071</v>
      </c>
      <c r="C95">
        <v>80</v>
      </c>
      <c r="D95">
        <v>78.917984008999994</v>
      </c>
      <c r="E95">
        <v>50</v>
      </c>
      <c r="F95">
        <v>14.891022681999999</v>
      </c>
      <c r="G95">
        <v>1850.0369873</v>
      </c>
      <c r="H95">
        <v>1719.6242675999999</v>
      </c>
      <c r="I95">
        <v>739.26837158000001</v>
      </c>
      <c r="J95">
        <v>343.74884033000001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3.7105630000000001</v>
      </c>
      <c r="B96" s="1">
        <f>DATE(2010,5,4) + TIME(17,3,12)</f>
        <v>40302.710555555554</v>
      </c>
      <c r="C96">
        <v>80</v>
      </c>
      <c r="D96">
        <v>79.028747558999996</v>
      </c>
      <c r="E96">
        <v>50</v>
      </c>
      <c r="F96">
        <v>14.890936851999999</v>
      </c>
      <c r="G96">
        <v>1851.1083983999999</v>
      </c>
      <c r="H96">
        <v>1720.9157714999999</v>
      </c>
      <c r="I96">
        <v>736.25238036999997</v>
      </c>
      <c r="J96">
        <v>340.73123169000002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3.8222390000000002</v>
      </c>
      <c r="B97" s="1">
        <f>DATE(2010,5,4) + TIME(19,44,1)</f>
        <v>40302.822233796294</v>
      </c>
      <c r="C97">
        <v>80</v>
      </c>
      <c r="D97">
        <v>79.129936217999997</v>
      </c>
      <c r="E97">
        <v>50</v>
      </c>
      <c r="F97">
        <v>14.890851021</v>
      </c>
      <c r="G97">
        <v>1852.2034911999999</v>
      </c>
      <c r="H97">
        <v>1722.2154541</v>
      </c>
      <c r="I97">
        <v>733.21923828000001</v>
      </c>
      <c r="J97">
        <v>337.69641113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3.938218</v>
      </c>
      <c r="B98" s="1">
        <f>DATE(2010,5,4) + TIME(22,31,2)</f>
        <v>40302.938217592593</v>
      </c>
      <c r="C98">
        <v>80</v>
      </c>
      <c r="D98">
        <v>79.222152710000003</v>
      </c>
      <c r="E98">
        <v>50</v>
      </c>
      <c r="F98">
        <v>14.890766144000001</v>
      </c>
      <c r="G98">
        <v>1853.3233643000001</v>
      </c>
      <c r="H98">
        <v>1723.5252685999999</v>
      </c>
      <c r="I98">
        <v>730.16394043000003</v>
      </c>
      <c r="J98">
        <v>334.63949585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4.0581339999999999</v>
      </c>
      <c r="B99" s="1">
        <f>DATE(2010,5,5) + TIME(1,23,42)</f>
        <v>40303.058125000003</v>
      </c>
      <c r="C99">
        <v>80</v>
      </c>
      <c r="D99">
        <v>79.305480957</v>
      </c>
      <c r="E99">
        <v>50</v>
      </c>
      <c r="F99">
        <v>14.890683173999999</v>
      </c>
      <c r="G99">
        <v>1854.4578856999999</v>
      </c>
      <c r="H99">
        <v>1724.8353271000001</v>
      </c>
      <c r="I99">
        <v>727.10058593999997</v>
      </c>
      <c r="J99">
        <v>331.57446289000001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4.1820069999999996</v>
      </c>
      <c r="B100" s="1">
        <f>DATE(2010,5,5) + TIME(4,22,5)</f>
        <v>40303.182002314818</v>
      </c>
      <c r="C100">
        <v>80</v>
      </c>
      <c r="D100">
        <v>79.380416870000005</v>
      </c>
      <c r="E100">
        <v>50</v>
      </c>
      <c r="F100">
        <v>14.890602112</v>
      </c>
      <c r="G100">
        <v>1855.6047363</v>
      </c>
      <c r="H100">
        <v>1726.1441649999999</v>
      </c>
      <c r="I100">
        <v>724.03234863</v>
      </c>
      <c r="J100">
        <v>328.50463867000002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4.3101849999999997</v>
      </c>
      <c r="B101" s="1">
        <f>DATE(2010,5,5) + TIME(7,26,39)</f>
        <v>40303.310173611113</v>
      </c>
      <c r="C101">
        <v>80</v>
      </c>
      <c r="D101">
        <v>79.447631835999999</v>
      </c>
      <c r="E101">
        <v>50</v>
      </c>
      <c r="F101">
        <v>14.890524864</v>
      </c>
      <c r="G101">
        <v>1856.7659911999999</v>
      </c>
      <c r="H101">
        <v>1727.4547118999999</v>
      </c>
      <c r="I101">
        <v>720.95477295000001</v>
      </c>
      <c r="J101">
        <v>325.42544556000001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4.4403800000000002</v>
      </c>
      <c r="B102" s="1">
        <f>DATE(2010,5,5) + TIME(10,34,8)</f>
        <v>40303.440370370372</v>
      </c>
      <c r="C102">
        <v>80</v>
      </c>
      <c r="D102">
        <v>79.506683350000003</v>
      </c>
      <c r="E102">
        <v>50</v>
      </c>
      <c r="F102">
        <v>14.890450478</v>
      </c>
      <c r="G102">
        <v>1857.9077147999999</v>
      </c>
      <c r="H102">
        <v>1728.7319336</v>
      </c>
      <c r="I102">
        <v>717.92352295000001</v>
      </c>
      <c r="J102">
        <v>322.39257812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4.5711069999999996</v>
      </c>
      <c r="B103" s="1">
        <f>DATE(2010,5,5) + TIME(13,42,23)</f>
        <v>40303.571099537039</v>
      </c>
      <c r="C103">
        <v>80</v>
      </c>
      <c r="D103">
        <v>79.557945251000007</v>
      </c>
      <c r="E103">
        <v>50</v>
      </c>
      <c r="F103">
        <v>14.890380859</v>
      </c>
      <c r="G103">
        <v>1859.0152588000001</v>
      </c>
      <c r="H103">
        <v>1729.9614257999999</v>
      </c>
      <c r="I103">
        <v>714.97015381000006</v>
      </c>
      <c r="J103">
        <v>319.43774414000001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4.702604</v>
      </c>
      <c r="B104" s="1">
        <f>DATE(2010,5,5) + TIME(16,51,45)</f>
        <v>40303.702604166669</v>
      </c>
      <c r="C104">
        <v>80</v>
      </c>
      <c r="D104">
        <v>79.602516174000002</v>
      </c>
      <c r="E104">
        <v>50</v>
      </c>
      <c r="F104">
        <v>14.890316963</v>
      </c>
      <c r="G104">
        <v>1860.0981445</v>
      </c>
      <c r="H104">
        <v>1731.1542969</v>
      </c>
      <c r="I104">
        <v>712.08605956999997</v>
      </c>
      <c r="J104">
        <v>316.55218506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4.8351050000000004</v>
      </c>
      <c r="B105" s="1">
        <f>DATE(2010,5,5) + TIME(20,2,33)</f>
        <v>40303.835104166668</v>
      </c>
      <c r="C105">
        <v>80</v>
      </c>
      <c r="D105">
        <v>79.641326903999996</v>
      </c>
      <c r="E105">
        <v>50</v>
      </c>
      <c r="F105">
        <v>14.890256881999999</v>
      </c>
      <c r="G105">
        <v>1861.1612548999999</v>
      </c>
      <c r="H105">
        <v>1732.3171387</v>
      </c>
      <c r="I105">
        <v>709.26330566000001</v>
      </c>
      <c r="J105">
        <v>313.72805785999998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4.9688309999999998</v>
      </c>
      <c r="B106" s="1">
        <f>DATE(2010,5,5) + TIME(23,15,7)</f>
        <v>40303.968831018516</v>
      </c>
      <c r="C106">
        <v>80</v>
      </c>
      <c r="D106">
        <v>79.675132751000007</v>
      </c>
      <c r="E106">
        <v>50</v>
      </c>
      <c r="F106">
        <v>14.890200614999999</v>
      </c>
      <c r="G106">
        <v>1862.2073975000001</v>
      </c>
      <c r="H106">
        <v>1733.4539795000001</v>
      </c>
      <c r="I106">
        <v>706.49517821999996</v>
      </c>
      <c r="J106">
        <v>310.95855712999997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5.1039849999999998</v>
      </c>
      <c r="B107" s="1">
        <f>DATE(2010,5,6) + TIME(2,29,44)</f>
        <v>40304.103981481479</v>
      </c>
      <c r="C107">
        <v>80</v>
      </c>
      <c r="D107">
        <v>79.704597473000007</v>
      </c>
      <c r="E107">
        <v>50</v>
      </c>
      <c r="F107">
        <v>14.890150070000001</v>
      </c>
      <c r="G107">
        <v>1863.2385254000001</v>
      </c>
      <c r="H107">
        <v>1734.567749</v>
      </c>
      <c r="I107">
        <v>703.77575683999999</v>
      </c>
      <c r="J107">
        <v>308.23788452000002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5.2407779999999997</v>
      </c>
      <c r="B108" s="1">
        <f>DATE(2010,5,6) + TIME(5,46,43)</f>
        <v>40304.24077546296</v>
      </c>
      <c r="C108">
        <v>80</v>
      </c>
      <c r="D108">
        <v>79.730285644999995</v>
      </c>
      <c r="E108">
        <v>50</v>
      </c>
      <c r="F108">
        <v>14.890104294</v>
      </c>
      <c r="G108">
        <v>1864.2558594</v>
      </c>
      <c r="H108">
        <v>1735.6607666</v>
      </c>
      <c r="I108">
        <v>701.09973145000004</v>
      </c>
      <c r="J108">
        <v>305.56060790999999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5.3794129999999996</v>
      </c>
      <c r="B109" s="1">
        <f>DATE(2010,5,6) + TIME(9,6,21)</f>
        <v>40304.37940972222</v>
      </c>
      <c r="C109">
        <v>80</v>
      </c>
      <c r="D109">
        <v>79.752677917</v>
      </c>
      <c r="E109">
        <v>50</v>
      </c>
      <c r="F109">
        <v>14.890063286</v>
      </c>
      <c r="G109">
        <v>1865.2604980000001</v>
      </c>
      <c r="H109">
        <v>1736.7349853999999</v>
      </c>
      <c r="I109">
        <v>698.46228026999995</v>
      </c>
      <c r="J109">
        <v>302.92196654999998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5.5199410000000002</v>
      </c>
      <c r="B110" s="1">
        <f>DATE(2010,5,6) + TIME(12,28,42)</f>
        <v>40304.519930555558</v>
      </c>
      <c r="C110">
        <v>80</v>
      </c>
      <c r="D110">
        <v>79.772171021000005</v>
      </c>
      <c r="E110">
        <v>50</v>
      </c>
      <c r="F110">
        <v>14.890026092999999</v>
      </c>
      <c r="G110">
        <v>1866.2517089999999</v>
      </c>
      <c r="H110">
        <v>1737.7904053</v>
      </c>
      <c r="I110">
        <v>695.86181640999996</v>
      </c>
      <c r="J110">
        <v>300.32043456999997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5.6625810000000003</v>
      </c>
      <c r="B111" s="1">
        <f>DATE(2010,5,6) + TIME(15,54,6)</f>
        <v>40304.662569444445</v>
      </c>
      <c r="C111">
        <v>80</v>
      </c>
      <c r="D111">
        <v>79.789131165000001</v>
      </c>
      <c r="E111">
        <v>50</v>
      </c>
      <c r="F111">
        <v>14.889994621</v>
      </c>
      <c r="G111">
        <v>1867.2308350000001</v>
      </c>
      <c r="H111">
        <v>1738.8289795000001</v>
      </c>
      <c r="I111">
        <v>693.29406738</v>
      </c>
      <c r="J111">
        <v>297.75158691000001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5.8075559999999999</v>
      </c>
      <c r="B112" s="1">
        <f>DATE(2010,5,6) + TIME(19,22,52)</f>
        <v>40304.807546296295</v>
      </c>
      <c r="C112">
        <v>80</v>
      </c>
      <c r="D112">
        <v>79.803886414000004</v>
      </c>
      <c r="E112">
        <v>50</v>
      </c>
      <c r="F112">
        <v>14.889966964999999</v>
      </c>
      <c r="G112">
        <v>1868.1989745999999</v>
      </c>
      <c r="H112">
        <v>1739.8524170000001</v>
      </c>
      <c r="I112">
        <v>690.75488281000003</v>
      </c>
      <c r="J112">
        <v>295.21142578000001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5.955101</v>
      </c>
      <c r="B113" s="1">
        <f>DATE(2010,5,6) + TIME(22,55,20)</f>
        <v>40304.955092592594</v>
      </c>
      <c r="C113">
        <v>80</v>
      </c>
      <c r="D113">
        <v>79.816711425999998</v>
      </c>
      <c r="E113">
        <v>50</v>
      </c>
      <c r="F113">
        <v>14.889944076999999</v>
      </c>
      <c r="G113">
        <v>1869.1569824000001</v>
      </c>
      <c r="H113">
        <v>1740.8619385</v>
      </c>
      <c r="I113">
        <v>688.24053954999999</v>
      </c>
      <c r="J113">
        <v>292.69613647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6.105105</v>
      </c>
      <c r="B114" s="1">
        <f>DATE(2010,5,7) + TIME(2,31,21)</f>
        <v>40305.105104166665</v>
      </c>
      <c r="C114">
        <v>80</v>
      </c>
      <c r="D114">
        <v>79.827827454000001</v>
      </c>
      <c r="E114">
        <v>50</v>
      </c>
      <c r="F114">
        <v>14.889925957000001</v>
      </c>
      <c r="G114">
        <v>1870.1024170000001</v>
      </c>
      <c r="H114">
        <v>1741.8555908000001</v>
      </c>
      <c r="I114">
        <v>685.75323486000002</v>
      </c>
      <c r="J114">
        <v>290.20788573999999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6.2573629999999998</v>
      </c>
      <c r="B115" s="1">
        <f>DATE(2010,5,7) + TIME(6,10,36)</f>
        <v>40305.257361111115</v>
      </c>
      <c r="C115">
        <v>80</v>
      </c>
      <c r="D115">
        <v>79.837425232000001</v>
      </c>
      <c r="E115">
        <v>50</v>
      </c>
      <c r="F115">
        <v>14.889912604999999</v>
      </c>
      <c r="G115">
        <v>1871.0324707</v>
      </c>
      <c r="H115">
        <v>1742.8308105000001</v>
      </c>
      <c r="I115">
        <v>683.29626465000001</v>
      </c>
      <c r="J115">
        <v>287.75009154999998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6.4121059999999996</v>
      </c>
      <c r="B116" s="1">
        <f>DATE(2010,5,7) + TIME(9,53,25)</f>
        <v>40305.412094907406</v>
      </c>
      <c r="C116">
        <v>80</v>
      </c>
      <c r="D116">
        <v>79.845710753999995</v>
      </c>
      <c r="E116">
        <v>50</v>
      </c>
      <c r="F116">
        <v>14.889904022</v>
      </c>
      <c r="G116">
        <v>1871.9492187999999</v>
      </c>
      <c r="H116">
        <v>1743.7901611</v>
      </c>
      <c r="I116">
        <v>680.86614989999998</v>
      </c>
      <c r="J116">
        <v>285.31918335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6.5695690000000004</v>
      </c>
      <c r="B117" s="1">
        <f>DATE(2010,5,7) + TIME(13,40,10)</f>
        <v>40305.569560185184</v>
      </c>
      <c r="C117">
        <v>80</v>
      </c>
      <c r="D117">
        <v>79.852859496999997</v>
      </c>
      <c r="E117">
        <v>50</v>
      </c>
      <c r="F117">
        <v>14.889900208</v>
      </c>
      <c r="G117">
        <v>1872.8538818</v>
      </c>
      <c r="H117">
        <v>1744.7351074000001</v>
      </c>
      <c r="I117">
        <v>678.45953368999994</v>
      </c>
      <c r="J117">
        <v>282.91180420000001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6.7300069999999996</v>
      </c>
      <c r="B118" s="1">
        <f>DATE(2010,5,7) + TIME(17,31,12)</f>
        <v>40305.730000000003</v>
      </c>
      <c r="C118">
        <v>80</v>
      </c>
      <c r="D118">
        <v>79.859031677000004</v>
      </c>
      <c r="E118">
        <v>50</v>
      </c>
      <c r="F118">
        <v>14.889901160999999</v>
      </c>
      <c r="G118">
        <v>1873.7476807</v>
      </c>
      <c r="H118">
        <v>1745.6669922000001</v>
      </c>
      <c r="I118">
        <v>676.07312012</v>
      </c>
      <c r="J118">
        <v>280.52471924000002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6.8937419999999996</v>
      </c>
      <c r="B119" s="1">
        <f>DATE(2010,5,7) + TIME(21,26,59)</f>
        <v>40305.893738425926</v>
      </c>
      <c r="C119">
        <v>80</v>
      </c>
      <c r="D119">
        <v>79.864341736</v>
      </c>
      <c r="E119">
        <v>50</v>
      </c>
      <c r="F119">
        <v>14.889906883</v>
      </c>
      <c r="G119">
        <v>1874.6317139</v>
      </c>
      <c r="H119">
        <v>1746.5874022999999</v>
      </c>
      <c r="I119">
        <v>673.703125</v>
      </c>
      <c r="J119">
        <v>278.15405272999999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7.0610379999999999</v>
      </c>
      <c r="B120" s="1">
        <f>DATE(2010,5,8) + TIME(1,27,53)</f>
        <v>40306.061030092591</v>
      </c>
      <c r="C120">
        <v>80</v>
      </c>
      <c r="D120">
        <v>79.868919372999997</v>
      </c>
      <c r="E120">
        <v>50</v>
      </c>
      <c r="F120">
        <v>14.889917373999999</v>
      </c>
      <c r="G120">
        <v>1875.5065918</v>
      </c>
      <c r="H120">
        <v>1747.4971923999999</v>
      </c>
      <c r="I120">
        <v>671.34692383000004</v>
      </c>
      <c r="J120">
        <v>275.79724120999998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7.2321869999999997</v>
      </c>
      <c r="B121" s="1">
        <f>DATE(2010,5,8) + TIME(5,34,20)</f>
        <v>40306.232175925928</v>
      </c>
      <c r="C121">
        <v>80</v>
      </c>
      <c r="D121">
        <v>79.872848511000001</v>
      </c>
      <c r="E121">
        <v>50</v>
      </c>
      <c r="F121">
        <v>14.889932632000001</v>
      </c>
      <c r="G121">
        <v>1876.3730469</v>
      </c>
      <c r="H121">
        <v>1748.3970947</v>
      </c>
      <c r="I121">
        <v>669.00177001999998</v>
      </c>
      <c r="J121">
        <v>273.45159912000003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7.4075290000000003</v>
      </c>
      <c r="B122" s="1">
        <f>DATE(2010,5,8) + TIME(9,46,50)</f>
        <v>40306.407523148147</v>
      </c>
      <c r="C122">
        <v>80</v>
      </c>
      <c r="D122">
        <v>79.876220703000001</v>
      </c>
      <c r="E122">
        <v>50</v>
      </c>
      <c r="F122">
        <v>14.889952660000001</v>
      </c>
      <c r="G122">
        <v>1877.2315673999999</v>
      </c>
      <c r="H122">
        <v>1749.2879639</v>
      </c>
      <c r="I122">
        <v>666.66485595999995</v>
      </c>
      <c r="J122">
        <v>271.11413573999999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7.5872270000000004</v>
      </c>
      <c r="B123" s="1">
        <f>DATE(2010,5,8) + TIME(14,5,36)</f>
        <v>40306.587222222224</v>
      </c>
      <c r="C123">
        <v>80</v>
      </c>
      <c r="D123">
        <v>79.879104613999999</v>
      </c>
      <c r="E123">
        <v>50</v>
      </c>
      <c r="F123">
        <v>14.889977455</v>
      </c>
      <c r="G123">
        <v>1878.081543</v>
      </c>
      <c r="H123">
        <v>1750.1693115</v>
      </c>
      <c r="I123">
        <v>664.33569336000005</v>
      </c>
      <c r="J123">
        <v>268.78454590000001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7.7713999999999999</v>
      </c>
      <c r="B124" s="1">
        <f>DATE(2010,5,8) + TIME(18,30,48)</f>
        <v>40306.77138888889</v>
      </c>
      <c r="C124">
        <v>80</v>
      </c>
      <c r="D124">
        <v>79.881561278999996</v>
      </c>
      <c r="E124">
        <v>50</v>
      </c>
      <c r="F124">
        <v>14.890007972999999</v>
      </c>
      <c r="G124">
        <v>1878.9221190999999</v>
      </c>
      <c r="H124">
        <v>1751.0401611</v>
      </c>
      <c r="I124">
        <v>662.01477050999995</v>
      </c>
      <c r="J124">
        <v>266.46322631999999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7.9601290000000002</v>
      </c>
      <c r="B125" s="1">
        <f>DATE(2010,5,8) + TIME(23,2,35)</f>
        <v>40306.960127314815</v>
      </c>
      <c r="C125">
        <v>80</v>
      </c>
      <c r="D125">
        <v>79.883644103999998</v>
      </c>
      <c r="E125">
        <v>50</v>
      </c>
      <c r="F125">
        <v>14.890044211999999</v>
      </c>
      <c r="G125">
        <v>1879.7520752</v>
      </c>
      <c r="H125">
        <v>1751.8999022999999</v>
      </c>
      <c r="I125">
        <v>659.70275878999996</v>
      </c>
      <c r="J125">
        <v>264.15090942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8.1535449999999994</v>
      </c>
      <c r="B126" s="1">
        <f>DATE(2010,5,9) + TIME(3,41,6)</f>
        <v>40307.153541666667</v>
      </c>
      <c r="C126">
        <v>80</v>
      </c>
      <c r="D126">
        <v>79.885414123999993</v>
      </c>
      <c r="E126">
        <v>50</v>
      </c>
      <c r="F126">
        <v>14.89008522</v>
      </c>
      <c r="G126">
        <v>1880.5712891000001</v>
      </c>
      <c r="H126">
        <v>1752.7478027</v>
      </c>
      <c r="I126">
        <v>657.40008545000001</v>
      </c>
      <c r="J126">
        <v>261.84796143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8.3517709999999994</v>
      </c>
      <c r="B127" s="1">
        <f>DATE(2010,5,9) + TIME(8,26,33)</f>
        <v>40307.351770833331</v>
      </c>
      <c r="C127">
        <v>80</v>
      </c>
      <c r="D127">
        <v>79.886901855000005</v>
      </c>
      <c r="E127">
        <v>50</v>
      </c>
      <c r="F127">
        <v>14.890132904</v>
      </c>
      <c r="G127">
        <v>1881.3789062000001</v>
      </c>
      <c r="H127">
        <v>1753.5837402</v>
      </c>
      <c r="I127">
        <v>655.10711670000001</v>
      </c>
      <c r="J127">
        <v>259.55471802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8.5550169999999994</v>
      </c>
      <c r="B128" s="1">
        <f>DATE(2010,5,9) + TIME(13,19,13)</f>
        <v>40307.555011574077</v>
      </c>
      <c r="C128">
        <v>80</v>
      </c>
      <c r="D128">
        <v>79.888145446999999</v>
      </c>
      <c r="E128">
        <v>50</v>
      </c>
      <c r="F128">
        <v>14.890185356</v>
      </c>
      <c r="G128">
        <v>1882.1750488</v>
      </c>
      <c r="H128">
        <v>1754.4075928</v>
      </c>
      <c r="I128">
        <v>652.82324218999997</v>
      </c>
      <c r="J128">
        <v>257.27072143999999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8.7635919999999992</v>
      </c>
      <c r="B129" s="1">
        <f>DATE(2010,5,9) + TIME(18,19,34)</f>
        <v>40307.76358796296</v>
      </c>
      <c r="C129">
        <v>80</v>
      </c>
      <c r="D129">
        <v>79.889190674000005</v>
      </c>
      <c r="E129">
        <v>50</v>
      </c>
      <c r="F129">
        <v>14.890243529999999</v>
      </c>
      <c r="G129">
        <v>1882.9602050999999</v>
      </c>
      <c r="H129">
        <v>1755.2198486</v>
      </c>
      <c r="I129">
        <v>650.54718018000005</v>
      </c>
      <c r="J129">
        <v>254.99456787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8.9779800000000005</v>
      </c>
      <c r="B130" s="1">
        <f>DATE(2010,5,9) + TIME(23,28,17)</f>
        <v>40307.97797453704</v>
      </c>
      <c r="C130">
        <v>80</v>
      </c>
      <c r="D130">
        <v>79.890068053999997</v>
      </c>
      <c r="E130">
        <v>50</v>
      </c>
      <c r="F130">
        <v>14.89030838</v>
      </c>
      <c r="G130">
        <v>1883.7354736</v>
      </c>
      <c r="H130">
        <v>1756.0217285000001</v>
      </c>
      <c r="I130">
        <v>648.27600098000005</v>
      </c>
      <c r="J130">
        <v>252.72329712000001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9.1971270000000001</v>
      </c>
      <c r="B131" s="1">
        <f>DATE(2010,5,10) + TIME(4,43,51)</f>
        <v>40308.197118055556</v>
      </c>
      <c r="C131">
        <v>80</v>
      </c>
      <c r="D131">
        <v>79.890777588000006</v>
      </c>
      <c r="E131">
        <v>50</v>
      </c>
      <c r="F131">
        <v>14.890378952000001</v>
      </c>
      <c r="G131">
        <v>1884.4926757999999</v>
      </c>
      <c r="H131">
        <v>1756.8051757999999</v>
      </c>
      <c r="I131">
        <v>646.02246093999997</v>
      </c>
      <c r="J131">
        <v>250.46980285999999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9.4168409999999998</v>
      </c>
      <c r="B132" s="1">
        <f>DATE(2010,5,10) + TIME(10,0,15)</f>
        <v>40308.41684027778</v>
      </c>
      <c r="C132">
        <v>80</v>
      </c>
      <c r="D132">
        <v>79.891319275000001</v>
      </c>
      <c r="E132">
        <v>50</v>
      </c>
      <c r="F132">
        <v>14.890454291999999</v>
      </c>
      <c r="G132">
        <v>1885.2092285000001</v>
      </c>
      <c r="H132">
        <v>1757.5472411999999</v>
      </c>
      <c r="I132">
        <v>643.82861328000001</v>
      </c>
      <c r="J132">
        <v>248.27598571999999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9.6374060000000004</v>
      </c>
      <c r="B133" s="1">
        <f>DATE(2010,5,10) + TIME(15,17,51)</f>
        <v>40308.637395833335</v>
      </c>
      <c r="C133">
        <v>80</v>
      </c>
      <c r="D133">
        <v>79.891746521000002</v>
      </c>
      <c r="E133">
        <v>50</v>
      </c>
      <c r="F133">
        <v>14.890533446999999</v>
      </c>
      <c r="G133">
        <v>1885.8937988</v>
      </c>
      <c r="H133">
        <v>1758.2565918</v>
      </c>
      <c r="I133">
        <v>641.68927001999998</v>
      </c>
      <c r="J133">
        <v>246.13679504000001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9.8588649999999998</v>
      </c>
      <c r="B134" s="1">
        <f>DATE(2010,5,10) + TIME(20,36,45)</f>
        <v>40308.858854166669</v>
      </c>
      <c r="C134">
        <v>80</v>
      </c>
      <c r="D134">
        <v>79.892082213999998</v>
      </c>
      <c r="E134">
        <v>50</v>
      </c>
      <c r="F134">
        <v>14.890617370999999</v>
      </c>
      <c r="G134">
        <v>1886.5500488</v>
      </c>
      <c r="H134">
        <v>1758.9368896000001</v>
      </c>
      <c r="I134">
        <v>639.60211182</v>
      </c>
      <c r="J134">
        <v>244.04985045999999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10.081151</v>
      </c>
      <c r="B135" s="1">
        <f>DATE(2010,5,11) + TIME(1,56,51)</f>
        <v>40309.081145833334</v>
      </c>
      <c r="C135">
        <v>80</v>
      </c>
      <c r="D135">
        <v>79.892349242999998</v>
      </c>
      <c r="E135">
        <v>50</v>
      </c>
      <c r="F135">
        <v>14.890705109000001</v>
      </c>
      <c r="G135">
        <v>1887.1798096</v>
      </c>
      <c r="H135">
        <v>1759.5897216999999</v>
      </c>
      <c r="I135">
        <v>637.56591796999999</v>
      </c>
      <c r="J135">
        <v>242.01388549999999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10.304553</v>
      </c>
      <c r="B136" s="1">
        <f>DATE(2010,5,11) + TIME(7,18,33)</f>
        <v>40309.304548611108</v>
      </c>
      <c r="C136">
        <v>80</v>
      </c>
      <c r="D136">
        <v>79.892547606999997</v>
      </c>
      <c r="E136">
        <v>50</v>
      </c>
      <c r="F136">
        <v>14.890797615</v>
      </c>
      <c r="G136">
        <v>1887.7858887</v>
      </c>
      <c r="H136">
        <v>1760.2181396000001</v>
      </c>
      <c r="I136">
        <v>635.57635498000002</v>
      </c>
      <c r="J136">
        <v>240.02459716999999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10.529398</v>
      </c>
      <c r="B137" s="1">
        <f>DATE(2010,5,11) + TIME(12,42,19)</f>
        <v>40309.529386574075</v>
      </c>
      <c r="C137">
        <v>80</v>
      </c>
      <c r="D137">
        <v>79.892707825000002</v>
      </c>
      <c r="E137">
        <v>50</v>
      </c>
      <c r="F137">
        <v>14.890893935999999</v>
      </c>
      <c r="G137">
        <v>1888.3702393000001</v>
      </c>
      <c r="H137">
        <v>1760.8243408000001</v>
      </c>
      <c r="I137">
        <v>633.62915038999995</v>
      </c>
      <c r="J137">
        <v>238.07771301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10.756007</v>
      </c>
      <c r="B138" s="1">
        <f>DATE(2010,5,11) + TIME(18,8,38)</f>
        <v>40309.755995370368</v>
      </c>
      <c r="C138">
        <v>80</v>
      </c>
      <c r="D138">
        <v>79.892829895000006</v>
      </c>
      <c r="E138">
        <v>50</v>
      </c>
      <c r="F138">
        <v>14.890994072</v>
      </c>
      <c r="G138">
        <v>1888.9348144999999</v>
      </c>
      <c r="H138">
        <v>1761.4100341999999</v>
      </c>
      <c r="I138">
        <v>631.72039795000001</v>
      </c>
      <c r="J138">
        <v>236.16937256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10.984702</v>
      </c>
      <c r="B139" s="1">
        <f>DATE(2010,5,11) + TIME(23,37,58)</f>
        <v>40309.984699074077</v>
      </c>
      <c r="C139">
        <v>80</v>
      </c>
      <c r="D139">
        <v>79.892913817999997</v>
      </c>
      <c r="E139">
        <v>50</v>
      </c>
      <c r="F139">
        <v>14.891098976</v>
      </c>
      <c r="G139">
        <v>1889.4807129000001</v>
      </c>
      <c r="H139">
        <v>1761.9766846</v>
      </c>
      <c r="I139">
        <v>629.84661864999998</v>
      </c>
      <c r="J139">
        <v>234.29603577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11.215813000000001</v>
      </c>
      <c r="B140" s="1">
        <f>DATE(2010,5,12) + TIME(5,10,46)</f>
        <v>40310.215810185182</v>
      </c>
      <c r="C140">
        <v>80</v>
      </c>
      <c r="D140">
        <v>79.892974854000002</v>
      </c>
      <c r="E140">
        <v>50</v>
      </c>
      <c r="F140">
        <v>14.891207695</v>
      </c>
      <c r="G140">
        <v>1890.0093993999999</v>
      </c>
      <c r="H140">
        <v>1762.5253906</v>
      </c>
      <c r="I140">
        <v>628.00457763999998</v>
      </c>
      <c r="J140">
        <v>232.45445251000001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11.449680000000001</v>
      </c>
      <c r="B141" s="1">
        <f>DATE(2010,5,12) + TIME(10,47,32)</f>
        <v>40310.449675925927</v>
      </c>
      <c r="C141">
        <v>80</v>
      </c>
      <c r="D141">
        <v>79.893012999999996</v>
      </c>
      <c r="E141">
        <v>50</v>
      </c>
      <c r="F141">
        <v>14.891321182</v>
      </c>
      <c r="G141">
        <v>1890.5214844</v>
      </c>
      <c r="H141">
        <v>1763.057251</v>
      </c>
      <c r="I141">
        <v>626.19110106999995</v>
      </c>
      <c r="J141">
        <v>230.64155579000001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11.686666000000001</v>
      </c>
      <c r="B142" s="1">
        <f>DATE(2010,5,12) + TIME(16,28,47)</f>
        <v>40310.686655092592</v>
      </c>
      <c r="C142">
        <v>80</v>
      </c>
      <c r="D142">
        <v>79.893028259000005</v>
      </c>
      <c r="E142">
        <v>50</v>
      </c>
      <c r="F142">
        <v>14.891439438000001</v>
      </c>
      <c r="G142">
        <v>1891.0181885</v>
      </c>
      <c r="H142">
        <v>1763.5732422000001</v>
      </c>
      <c r="I142">
        <v>624.40338135000002</v>
      </c>
      <c r="J142">
        <v>228.85441589000001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11.927136000000001</v>
      </c>
      <c r="B143" s="1">
        <f>DATE(2010,5,12) + TIME(22,15,4)</f>
        <v>40310.927129629628</v>
      </c>
      <c r="C143">
        <v>80</v>
      </c>
      <c r="D143">
        <v>79.893035889000004</v>
      </c>
      <c r="E143">
        <v>50</v>
      </c>
      <c r="F143">
        <v>14.891561508000001</v>
      </c>
      <c r="G143">
        <v>1891.5002440999999</v>
      </c>
      <c r="H143">
        <v>1764.0740966999999</v>
      </c>
      <c r="I143">
        <v>622.63867187999995</v>
      </c>
      <c r="J143">
        <v>227.09034729000001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12.171474</v>
      </c>
      <c r="B144" s="1">
        <f>DATE(2010,5,13) + TIME(4,6,55)</f>
        <v>40311.171469907407</v>
      </c>
      <c r="C144">
        <v>80</v>
      </c>
      <c r="D144">
        <v>79.893020629999995</v>
      </c>
      <c r="E144">
        <v>50</v>
      </c>
      <c r="F144">
        <v>14.891689301</v>
      </c>
      <c r="G144">
        <v>1891.9682617000001</v>
      </c>
      <c r="H144">
        <v>1764.5606689000001</v>
      </c>
      <c r="I144">
        <v>620.89447021000001</v>
      </c>
      <c r="J144">
        <v>225.34681702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12.42019</v>
      </c>
      <c r="B145" s="1">
        <f>DATE(2010,5,13) + TIME(10,5,4)</f>
        <v>40311.420185185183</v>
      </c>
      <c r="C145">
        <v>80</v>
      </c>
      <c r="D145">
        <v>79.892997742000006</v>
      </c>
      <c r="E145">
        <v>50</v>
      </c>
      <c r="F145">
        <v>14.891821861</v>
      </c>
      <c r="G145">
        <v>1892.4232178</v>
      </c>
      <c r="H145">
        <v>1765.0339355000001</v>
      </c>
      <c r="I145">
        <v>619.16760253999996</v>
      </c>
      <c r="J145">
        <v>223.62071227999999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12.673643</v>
      </c>
      <c r="B146" s="1">
        <f>DATE(2010,5,13) + TIME(16,10,2)</f>
        <v>40311.673634259256</v>
      </c>
      <c r="C146">
        <v>80</v>
      </c>
      <c r="D146">
        <v>79.892959594999994</v>
      </c>
      <c r="E146">
        <v>50</v>
      </c>
      <c r="F146">
        <v>14.891960144</v>
      </c>
      <c r="G146">
        <v>1892.8653564000001</v>
      </c>
      <c r="H146">
        <v>1765.4940185999999</v>
      </c>
      <c r="I146">
        <v>617.45629883000004</v>
      </c>
      <c r="J146">
        <v>221.91021728999999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12.932289000000001</v>
      </c>
      <c r="B147" s="1">
        <f>DATE(2010,5,13) + TIME(22,22,29)</f>
        <v>40311.932280092595</v>
      </c>
      <c r="C147">
        <v>80</v>
      </c>
      <c r="D147">
        <v>79.892913817999997</v>
      </c>
      <c r="E147">
        <v>50</v>
      </c>
      <c r="F147">
        <v>14.892105103</v>
      </c>
      <c r="G147">
        <v>1893.2950439000001</v>
      </c>
      <c r="H147">
        <v>1765.9414062000001</v>
      </c>
      <c r="I147">
        <v>615.75836182</v>
      </c>
      <c r="J147">
        <v>220.21315002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13.19633</v>
      </c>
      <c r="B148" s="1">
        <f>DATE(2010,5,14) + TIME(4,42,42)</f>
        <v>40312.196319444447</v>
      </c>
      <c r="C148">
        <v>80</v>
      </c>
      <c r="D148">
        <v>79.892860412999994</v>
      </c>
      <c r="E148">
        <v>50</v>
      </c>
      <c r="F148">
        <v>14.892254829000001</v>
      </c>
      <c r="G148">
        <v>1893.7119141000001</v>
      </c>
      <c r="H148">
        <v>1766.3758545000001</v>
      </c>
      <c r="I148">
        <v>614.07348633000004</v>
      </c>
      <c r="J148">
        <v>218.52917479999999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13.466039</v>
      </c>
      <c r="B149" s="1">
        <f>DATE(2010,5,14) + TIME(11,11,5)</f>
        <v>40312.46603009259</v>
      </c>
      <c r="C149">
        <v>80</v>
      </c>
      <c r="D149">
        <v>79.892799377000003</v>
      </c>
      <c r="E149">
        <v>50</v>
      </c>
      <c r="F149">
        <v>14.892410278</v>
      </c>
      <c r="G149">
        <v>1894.1158447</v>
      </c>
      <c r="H149">
        <v>1766.7969971</v>
      </c>
      <c r="I149">
        <v>612.40087890999996</v>
      </c>
      <c r="J149">
        <v>216.8575592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13.741507</v>
      </c>
      <c r="B150" s="1">
        <f>DATE(2010,5,14) + TIME(17,47,46)</f>
        <v>40312.74150462963</v>
      </c>
      <c r="C150">
        <v>80</v>
      </c>
      <c r="D150">
        <v>79.892730713000006</v>
      </c>
      <c r="E150">
        <v>50</v>
      </c>
      <c r="F150">
        <v>14.892572403000001</v>
      </c>
      <c r="G150">
        <v>1894.5059814000001</v>
      </c>
      <c r="H150">
        <v>1767.2042236</v>
      </c>
      <c r="I150">
        <v>610.74108887</v>
      </c>
      <c r="J150">
        <v>215.19880676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14.022902</v>
      </c>
      <c r="B151" s="1">
        <f>DATE(2010,5,15) + TIME(0,32,58)</f>
        <v>40313.022893518515</v>
      </c>
      <c r="C151">
        <v>80</v>
      </c>
      <c r="D151">
        <v>79.892654418999996</v>
      </c>
      <c r="E151">
        <v>50</v>
      </c>
      <c r="F151">
        <v>14.892741203</v>
      </c>
      <c r="G151">
        <v>1894.8823242000001</v>
      </c>
      <c r="H151">
        <v>1767.5974120999999</v>
      </c>
      <c r="I151">
        <v>609.09411621000004</v>
      </c>
      <c r="J151">
        <v>213.55297852000001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14.310371999999999</v>
      </c>
      <c r="B152" s="1">
        <f>DATE(2010,5,15) + TIME(7,26,56)</f>
        <v>40313.310370370367</v>
      </c>
      <c r="C152">
        <v>80</v>
      </c>
      <c r="D152">
        <v>79.892570496000005</v>
      </c>
      <c r="E152">
        <v>50</v>
      </c>
      <c r="F152">
        <v>14.892916679000001</v>
      </c>
      <c r="G152">
        <v>1895.2443848</v>
      </c>
      <c r="H152">
        <v>1767.9761963000001</v>
      </c>
      <c r="I152">
        <v>607.46020508000004</v>
      </c>
      <c r="J152">
        <v>211.92024230999999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14.604024000000001</v>
      </c>
      <c r="B153" s="1">
        <f>DATE(2010,5,15) + TIME(14,29,47)</f>
        <v>40313.604016203702</v>
      </c>
      <c r="C153">
        <v>80</v>
      </c>
      <c r="D153">
        <v>79.892486571999996</v>
      </c>
      <c r="E153">
        <v>50</v>
      </c>
      <c r="F153">
        <v>14.893097878000001</v>
      </c>
      <c r="G153">
        <v>1895.5919189000001</v>
      </c>
      <c r="H153">
        <v>1768.3402100000001</v>
      </c>
      <c r="I153">
        <v>605.83978271000001</v>
      </c>
      <c r="J153">
        <v>210.30105591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14.753163000000001</v>
      </c>
      <c r="B154" s="1">
        <f>DATE(2010,5,15) + TIME(18,4,33)</f>
        <v>40313.753159722219</v>
      </c>
      <c r="C154">
        <v>80</v>
      </c>
      <c r="D154">
        <v>79.892097473000007</v>
      </c>
      <c r="E154">
        <v>50</v>
      </c>
      <c r="F154">
        <v>14.893205643</v>
      </c>
      <c r="G154">
        <v>1895.6231689000001</v>
      </c>
      <c r="H154">
        <v>1768.3847656</v>
      </c>
      <c r="I154">
        <v>605.02923583999996</v>
      </c>
      <c r="J154">
        <v>209.49130249000001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14.902301</v>
      </c>
      <c r="B155" s="1">
        <f>DATE(2010,5,15) + TIME(21,39,18)</f>
        <v>40313.902291666665</v>
      </c>
      <c r="C155">
        <v>80</v>
      </c>
      <c r="D155">
        <v>79.891838074000006</v>
      </c>
      <c r="E155">
        <v>50</v>
      </c>
      <c r="F155">
        <v>14.893310547</v>
      </c>
      <c r="G155">
        <v>1895.6838379000001</v>
      </c>
      <c r="H155">
        <v>1768.4547118999999</v>
      </c>
      <c r="I155">
        <v>604.23052978999999</v>
      </c>
      <c r="J155">
        <v>208.69329834000001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15.051439999999999</v>
      </c>
      <c r="B156" s="1">
        <f>DATE(2010,5,16) + TIME(1,14,4)</f>
        <v>40314.051435185182</v>
      </c>
      <c r="C156">
        <v>80</v>
      </c>
      <c r="D156">
        <v>79.891700744999994</v>
      </c>
      <c r="E156">
        <v>50</v>
      </c>
      <c r="F156">
        <v>14.893414497</v>
      </c>
      <c r="G156">
        <v>1895.7747803</v>
      </c>
      <c r="H156">
        <v>1768.5538329999999</v>
      </c>
      <c r="I156">
        <v>603.44354248000002</v>
      </c>
      <c r="J156">
        <v>207.90702820000001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15.349717</v>
      </c>
      <c r="B157" s="1">
        <f>DATE(2010,5,16) + TIME(8,23,35)</f>
        <v>40314.349710648145</v>
      </c>
      <c r="C157">
        <v>80</v>
      </c>
      <c r="D157">
        <v>79.892059325999995</v>
      </c>
      <c r="E157">
        <v>50</v>
      </c>
      <c r="F157">
        <v>14.893593788</v>
      </c>
      <c r="G157">
        <v>1896.2058105000001</v>
      </c>
      <c r="H157">
        <v>1768.9946289</v>
      </c>
      <c r="I157">
        <v>601.91455078000001</v>
      </c>
      <c r="J157">
        <v>206.37930298000001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15.648185</v>
      </c>
      <c r="B158" s="1">
        <f>DATE(2010,5,16) + TIME(15,33,23)</f>
        <v>40314.648182870369</v>
      </c>
      <c r="C158">
        <v>80</v>
      </c>
      <c r="D158">
        <v>79.892158507999994</v>
      </c>
      <c r="E158">
        <v>50</v>
      </c>
      <c r="F158">
        <v>14.893781662</v>
      </c>
      <c r="G158">
        <v>1896.546875</v>
      </c>
      <c r="H158">
        <v>1769.3500977000001</v>
      </c>
      <c r="I158">
        <v>600.42834473000005</v>
      </c>
      <c r="J158">
        <v>204.89440918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15.947317999999999</v>
      </c>
      <c r="B159" s="1">
        <f>DATE(2010,5,16) + TIME(22,44,8)</f>
        <v>40314.947314814817</v>
      </c>
      <c r="C159">
        <v>80</v>
      </c>
      <c r="D159">
        <v>79.892120360999996</v>
      </c>
      <c r="E159">
        <v>50</v>
      </c>
      <c r="F159">
        <v>14.893974304</v>
      </c>
      <c r="G159">
        <v>1896.8294678</v>
      </c>
      <c r="H159">
        <v>1769.6473389</v>
      </c>
      <c r="I159">
        <v>598.98071288999995</v>
      </c>
      <c r="J159">
        <v>203.44824219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16.247724999999999</v>
      </c>
      <c r="B160" s="1">
        <f>DATE(2010,5,17) + TIME(5,56,43)</f>
        <v>40315.247719907406</v>
      </c>
      <c r="C160">
        <v>80</v>
      </c>
      <c r="D160">
        <v>79.892036438000005</v>
      </c>
      <c r="E160">
        <v>50</v>
      </c>
      <c r="F160">
        <v>14.894171715000001</v>
      </c>
      <c r="G160">
        <v>1897.0783690999999</v>
      </c>
      <c r="H160">
        <v>1769.9104004000001</v>
      </c>
      <c r="I160">
        <v>597.56762694999998</v>
      </c>
      <c r="J160">
        <v>202.03659058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16.549903</v>
      </c>
      <c r="B161" s="1">
        <f>DATE(2010,5,17) + TIME(13,11,51)</f>
        <v>40315.549895833334</v>
      </c>
      <c r="C161">
        <v>80</v>
      </c>
      <c r="D161">
        <v>79.891937256000006</v>
      </c>
      <c r="E161">
        <v>50</v>
      </c>
      <c r="F161">
        <v>14.894374847</v>
      </c>
      <c r="G161">
        <v>1897.3041992000001</v>
      </c>
      <c r="H161">
        <v>1770.1499022999999</v>
      </c>
      <c r="I161">
        <v>596.18579102000001</v>
      </c>
      <c r="J161">
        <v>200.65623474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16.854317000000002</v>
      </c>
      <c r="B162" s="1">
        <f>DATE(2010,5,17) + TIME(20,30,13)</f>
        <v>40315.854317129626</v>
      </c>
      <c r="C162">
        <v>80</v>
      </c>
      <c r="D162">
        <v>79.891845703000001</v>
      </c>
      <c r="E162">
        <v>50</v>
      </c>
      <c r="F162">
        <v>14.894581795000001</v>
      </c>
      <c r="G162">
        <v>1897.5117187999999</v>
      </c>
      <c r="H162">
        <v>1770.3708495999999</v>
      </c>
      <c r="I162">
        <v>594.83233643000005</v>
      </c>
      <c r="J162">
        <v>199.30432128999999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17.161424</v>
      </c>
      <c r="B163" s="1">
        <f>DATE(2010,5,18) + TIME(3,52,26)</f>
        <v>40316.161412037036</v>
      </c>
      <c r="C163">
        <v>80</v>
      </c>
      <c r="D163">
        <v>79.891746521000002</v>
      </c>
      <c r="E163">
        <v>50</v>
      </c>
      <c r="F163">
        <v>14.894792557000001</v>
      </c>
      <c r="G163">
        <v>1897.7033690999999</v>
      </c>
      <c r="H163">
        <v>1770.5756836</v>
      </c>
      <c r="I163">
        <v>593.50469970999995</v>
      </c>
      <c r="J163">
        <v>197.97833252000001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17.471685999999998</v>
      </c>
      <c r="B164" s="1">
        <f>DATE(2010,5,18) + TIME(11,19,13)</f>
        <v>40316.471678240741</v>
      </c>
      <c r="C164">
        <v>80</v>
      </c>
      <c r="D164">
        <v>79.891662597999996</v>
      </c>
      <c r="E164">
        <v>50</v>
      </c>
      <c r="F164">
        <v>14.895008087000001</v>
      </c>
      <c r="G164">
        <v>1897.8807373</v>
      </c>
      <c r="H164">
        <v>1770.7657471</v>
      </c>
      <c r="I164">
        <v>592.20068359000004</v>
      </c>
      <c r="J164">
        <v>196.67593384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17.785578999999998</v>
      </c>
      <c r="B165" s="1">
        <f>DATE(2010,5,18) + TIME(18,51,14)</f>
        <v>40316.785578703704</v>
      </c>
      <c r="C165">
        <v>80</v>
      </c>
      <c r="D165">
        <v>79.891586304</v>
      </c>
      <c r="E165">
        <v>50</v>
      </c>
      <c r="F165">
        <v>14.895228385999999</v>
      </c>
      <c r="G165">
        <v>1898.0445557</v>
      </c>
      <c r="H165">
        <v>1770.9421387</v>
      </c>
      <c r="I165">
        <v>590.91796875</v>
      </c>
      <c r="J165">
        <v>195.39494324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18.103608999999999</v>
      </c>
      <c r="B166" s="1">
        <f>DATE(2010,5,19) + TIME(2,29,11)</f>
        <v>40317.10359953704</v>
      </c>
      <c r="C166">
        <v>80</v>
      </c>
      <c r="D166">
        <v>79.891510010000005</v>
      </c>
      <c r="E166">
        <v>50</v>
      </c>
      <c r="F166">
        <v>14.895452498999999</v>
      </c>
      <c r="G166">
        <v>1898.1956786999999</v>
      </c>
      <c r="H166">
        <v>1771.1054687999999</v>
      </c>
      <c r="I166">
        <v>589.65460204999999</v>
      </c>
      <c r="J166">
        <v>194.13331604000001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18.426335000000002</v>
      </c>
      <c r="B167" s="1">
        <f>DATE(2010,5,19) + TIME(10,13,55)</f>
        <v>40317.42633101852</v>
      </c>
      <c r="C167">
        <v>80</v>
      </c>
      <c r="D167">
        <v>79.891441345000004</v>
      </c>
      <c r="E167">
        <v>50</v>
      </c>
      <c r="F167">
        <v>14.895682335</v>
      </c>
      <c r="G167">
        <v>1898.3344727000001</v>
      </c>
      <c r="H167">
        <v>1771.2563477000001</v>
      </c>
      <c r="I167">
        <v>588.40850829999999</v>
      </c>
      <c r="J167">
        <v>192.88900756999999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18.754435999999998</v>
      </c>
      <c r="B168" s="1">
        <f>DATE(2010,5,19) + TIME(18,6,23)</f>
        <v>40317.754432870373</v>
      </c>
      <c r="C168">
        <v>80</v>
      </c>
      <c r="D168">
        <v>79.891380310000002</v>
      </c>
      <c r="E168">
        <v>50</v>
      </c>
      <c r="F168">
        <v>14.895916938999999</v>
      </c>
      <c r="G168">
        <v>1898.4616699000001</v>
      </c>
      <c r="H168">
        <v>1771.3953856999999</v>
      </c>
      <c r="I168">
        <v>587.17736816000001</v>
      </c>
      <c r="J168">
        <v>191.65971375000001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19.088360999999999</v>
      </c>
      <c r="B169" s="1">
        <f>DATE(2010,5,20) + TIME(2,7,14)</f>
        <v>40318.088356481479</v>
      </c>
      <c r="C169">
        <v>80</v>
      </c>
      <c r="D169">
        <v>79.891326903999996</v>
      </c>
      <c r="E169">
        <v>50</v>
      </c>
      <c r="F169">
        <v>14.896157264999999</v>
      </c>
      <c r="G169">
        <v>1898.5770264</v>
      </c>
      <c r="H169">
        <v>1771.5223389</v>
      </c>
      <c r="I169">
        <v>585.95996093999997</v>
      </c>
      <c r="J169">
        <v>190.44427490000001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19.428735</v>
      </c>
      <c r="B170" s="1">
        <f>DATE(2010,5,20) + TIME(10,17,22)</f>
        <v>40318.428726851853</v>
      </c>
      <c r="C170">
        <v>80</v>
      </c>
      <c r="D170">
        <v>79.891273498999993</v>
      </c>
      <c r="E170">
        <v>50</v>
      </c>
      <c r="F170">
        <v>14.896404265999999</v>
      </c>
      <c r="G170">
        <v>1898.6806641000001</v>
      </c>
      <c r="H170">
        <v>1771.6374512</v>
      </c>
      <c r="I170">
        <v>584.75476074000005</v>
      </c>
      <c r="J170">
        <v>189.24104309000001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19.775456999999999</v>
      </c>
      <c r="B171" s="1">
        <f>DATE(2010,5,20) + TIME(18,36,39)</f>
        <v>40318.775451388887</v>
      </c>
      <c r="C171">
        <v>80</v>
      </c>
      <c r="D171">
        <v>79.891220093000001</v>
      </c>
      <c r="E171">
        <v>50</v>
      </c>
      <c r="F171">
        <v>14.89665699</v>
      </c>
      <c r="G171">
        <v>1898.7717285000001</v>
      </c>
      <c r="H171">
        <v>1771.7398682</v>
      </c>
      <c r="I171">
        <v>583.56268310999997</v>
      </c>
      <c r="J171">
        <v>188.05101013000001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20.128598</v>
      </c>
      <c r="B172" s="1">
        <f>DATE(2010,5,21) + TIME(3,5,10)</f>
        <v>40319.128587962965</v>
      </c>
      <c r="C172">
        <v>80</v>
      </c>
      <c r="D172">
        <v>79.891174316000004</v>
      </c>
      <c r="E172">
        <v>50</v>
      </c>
      <c r="F172">
        <v>14.896915436</v>
      </c>
      <c r="G172">
        <v>1898.8500977000001</v>
      </c>
      <c r="H172">
        <v>1771.8292236</v>
      </c>
      <c r="I172">
        <v>582.38415526999995</v>
      </c>
      <c r="J172">
        <v>186.87454224000001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20.488379999999999</v>
      </c>
      <c r="B173" s="1">
        <f>DATE(2010,5,21) + TIME(11,43,16)</f>
        <v>40319.488379629627</v>
      </c>
      <c r="C173">
        <v>80</v>
      </c>
      <c r="D173">
        <v>79.891128539999997</v>
      </c>
      <c r="E173">
        <v>50</v>
      </c>
      <c r="F173">
        <v>14.897180557</v>
      </c>
      <c r="G173">
        <v>1898.9154053</v>
      </c>
      <c r="H173">
        <v>1771.9055175999999</v>
      </c>
      <c r="I173">
        <v>581.21893310999997</v>
      </c>
      <c r="J173">
        <v>185.71150208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20.855077000000001</v>
      </c>
      <c r="B174" s="1">
        <f>DATE(2010,5,21) + TIME(20,31,18)</f>
        <v>40319.855069444442</v>
      </c>
      <c r="C174">
        <v>80</v>
      </c>
      <c r="D174">
        <v>79.891090392999999</v>
      </c>
      <c r="E174">
        <v>50</v>
      </c>
      <c r="F174">
        <v>14.897451401</v>
      </c>
      <c r="G174">
        <v>1898.9677733999999</v>
      </c>
      <c r="H174">
        <v>1771.96875</v>
      </c>
      <c r="I174">
        <v>580.06689453000001</v>
      </c>
      <c r="J174">
        <v>184.56167603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21.229006999999999</v>
      </c>
      <c r="B175" s="1">
        <f>DATE(2010,5,22) + TIME(5,29,46)</f>
        <v>40320.229004629633</v>
      </c>
      <c r="C175">
        <v>80</v>
      </c>
      <c r="D175">
        <v>79.891052246000001</v>
      </c>
      <c r="E175">
        <v>50</v>
      </c>
      <c r="F175">
        <v>14.897729873999999</v>
      </c>
      <c r="G175">
        <v>1899.0072021000001</v>
      </c>
      <c r="H175">
        <v>1772.0187988</v>
      </c>
      <c r="I175">
        <v>578.92767333999996</v>
      </c>
      <c r="J175">
        <v>183.42474365000001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21.417670000000001</v>
      </c>
      <c r="B176" s="1">
        <f>DATE(2010,5,22) + TIME(10,1,26)</f>
        <v>40320.417662037034</v>
      </c>
      <c r="C176">
        <v>80</v>
      </c>
      <c r="D176">
        <v>79.890762328999998</v>
      </c>
      <c r="E176">
        <v>50</v>
      </c>
      <c r="F176">
        <v>14.897898674</v>
      </c>
      <c r="G176">
        <v>1898.9094238</v>
      </c>
      <c r="H176">
        <v>1771.9296875</v>
      </c>
      <c r="I176">
        <v>578.36230468999997</v>
      </c>
      <c r="J176">
        <v>182.86082458000001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21.606332999999999</v>
      </c>
      <c r="B177" s="1">
        <f>DATE(2010,5,22) + TIME(14,33,7)</f>
        <v>40320.60633101852</v>
      </c>
      <c r="C177">
        <v>80</v>
      </c>
      <c r="D177">
        <v>79.890571593999994</v>
      </c>
      <c r="E177">
        <v>50</v>
      </c>
      <c r="F177">
        <v>14.898062705999999</v>
      </c>
      <c r="G177">
        <v>1898.8305664</v>
      </c>
      <c r="H177">
        <v>1771.8566894999999</v>
      </c>
      <c r="I177">
        <v>577.80523682</v>
      </c>
      <c r="J177">
        <v>182.30511475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21.794996999999999</v>
      </c>
      <c r="B178" s="1">
        <f>DATE(2010,5,22) + TIME(19,4,47)</f>
        <v>40320.794988425929</v>
      </c>
      <c r="C178">
        <v>80</v>
      </c>
      <c r="D178">
        <v>79.890487671000002</v>
      </c>
      <c r="E178">
        <v>50</v>
      </c>
      <c r="F178">
        <v>14.89822197</v>
      </c>
      <c r="G178">
        <v>1898.7774658000001</v>
      </c>
      <c r="H178">
        <v>1771.8087158000001</v>
      </c>
      <c r="I178">
        <v>577.25665283000001</v>
      </c>
      <c r="J178">
        <v>181.75782776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21.98366</v>
      </c>
      <c r="B179" s="1">
        <f>DATE(2010,5,22) + TIME(23,36,28)</f>
        <v>40320.983657407407</v>
      </c>
      <c r="C179">
        <v>80</v>
      </c>
      <c r="D179">
        <v>79.890457153</v>
      </c>
      <c r="E179">
        <v>50</v>
      </c>
      <c r="F179">
        <v>14.898377418999999</v>
      </c>
      <c r="G179">
        <v>1898.7402344</v>
      </c>
      <c r="H179">
        <v>1771.7763672000001</v>
      </c>
      <c r="I179">
        <v>576.71636963000003</v>
      </c>
      <c r="J179">
        <v>181.21885681000001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22.172324</v>
      </c>
      <c r="B180" s="1">
        <f>DATE(2010,5,23) + TIME(4,8,8)</f>
        <v>40321.172314814816</v>
      </c>
      <c r="C180">
        <v>80</v>
      </c>
      <c r="D180">
        <v>79.890457153</v>
      </c>
      <c r="E180">
        <v>50</v>
      </c>
      <c r="F180">
        <v>14.89853096</v>
      </c>
      <c r="G180">
        <v>1898.7113036999999</v>
      </c>
      <c r="H180">
        <v>1771.7523193</v>
      </c>
      <c r="I180">
        <v>576.18432616999996</v>
      </c>
      <c r="J180">
        <v>180.68809508999999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22.360987000000002</v>
      </c>
      <c r="B181" s="1">
        <f>DATE(2010,5,23) + TIME(8,39,49)</f>
        <v>40321.360983796294</v>
      </c>
      <c r="C181">
        <v>80</v>
      </c>
      <c r="D181">
        <v>79.890480041999993</v>
      </c>
      <c r="E181">
        <v>50</v>
      </c>
      <c r="F181">
        <v>14.898682594</v>
      </c>
      <c r="G181">
        <v>1898.6865233999999</v>
      </c>
      <c r="H181">
        <v>1771.7324219</v>
      </c>
      <c r="I181">
        <v>575.66033935999997</v>
      </c>
      <c r="J181">
        <v>180.16539001000001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22.738313999999999</v>
      </c>
      <c r="B182" s="1">
        <f>DATE(2010,5,23) + TIME(17,43,10)</f>
        <v>40321.738310185188</v>
      </c>
      <c r="C182">
        <v>80</v>
      </c>
      <c r="D182">
        <v>79.890876770000006</v>
      </c>
      <c r="E182">
        <v>50</v>
      </c>
      <c r="F182">
        <v>14.898932457000001</v>
      </c>
      <c r="G182">
        <v>1898.8068848</v>
      </c>
      <c r="H182">
        <v>1771.8587646000001</v>
      </c>
      <c r="I182">
        <v>574.64288329999999</v>
      </c>
      <c r="J182">
        <v>179.15003967000001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23.116026999999999</v>
      </c>
      <c r="B183" s="1">
        <f>DATE(2010,5,24) + TIME(2,47,4)</f>
        <v>40322.116018518522</v>
      </c>
      <c r="C183">
        <v>80</v>
      </c>
      <c r="D183">
        <v>79.891021729000002</v>
      </c>
      <c r="E183">
        <v>50</v>
      </c>
      <c r="F183">
        <v>14.899198532</v>
      </c>
      <c r="G183">
        <v>1898.8527832</v>
      </c>
      <c r="H183">
        <v>1771.9134521000001</v>
      </c>
      <c r="I183">
        <v>573.65515137</v>
      </c>
      <c r="J183">
        <v>178.16453551999999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23.495175</v>
      </c>
      <c r="B184" s="1">
        <f>DATE(2010,5,24) + TIME(11,53,3)</f>
        <v>40322.495173611111</v>
      </c>
      <c r="C184">
        <v>80</v>
      </c>
      <c r="D184">
        <v>79.891044617000006</v>
      </c>
      <c r="E184">
        <v>50</v>
      </c>
      <c r="F184">
        <v>14.899475098</v>
      </c>
      <c r="G184">
        <v>1898.8477783000001</v>
      </c>
      <c r="H184">
        <v>1771.9174805</v>
      </c>
      <c r="I184">
        <v>572.69305420000001</v>
      </c>
      <c r="J184">
        <v>177.20481873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23.876545</v>
      </c>
      <c r="B185" s="1">
        <f>DATE(2010,5,24) + TIME(21,2,13)</f>
        <v>40322.876539351855</v>
      </c>
      <c r="C185">
        <v>80</v>
      </c>
      <c r="D185">
        <v>79.891021729000002</v>
      </c>
      <c r="E185">
        <v>50</v>
      </c>
      <c r="F185">
        <v>14.899759293000001</v>
      </c>
      <c r="G185">
        <v>1898.8139647999999</v>
      </c>
      <c r="H185">
        <v>1771.8922118999999</v>
      </c>
      <c r="I185">
        <v>571.75402831999997</v>
      </c>
      <c r="J185">
        <v>176.26820373999999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24.260784000000001</v>
      </c>
      <c r="B186" s="1">
        <f>DATE(2010,5,25) + TIME(6,15,31)</f>
        <v>40323.260775462964</v>
      </c>
      <c r="C186">
        <v>80</v>
      </c>
      <c r="D186">
        <v>79.890983582000004</v>
      </c>
      <c r="E186">
        <v>50</v>
      </c>
      <c r="F186">
        <v>14.900051117</v>
      </c>
      <c r="G186">
        <v>1898.7611084</v>
      </c>
      <c r="H186">
        <v>1771.8477783000001</v>
      </c>
      <c r="I186">
        <v>570.83599853999999</v>
      </c>
      <c r="J186">
        <v>175.35267639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24.648503999999999</v>
      </c>
      <c r="B187" s="1">
        <f>DATE(2010,5,25) + TIME(15,33,50)</f>
        <v>40323.648495370369</v>
      </c>
      <c r="C187">
        <v>80</v>
      </c>
      <c r="D187">
        <v>79.890953064000001</v>
      </c>
      <c r="E187">
        <v>50</v>
      </c>
      <c r="F187">
        <v>14.90034771</v>
      </c>
      <c r="G187">
        <v>1898.6934814000001</v>
      </c>
      <c r="H187">
        <v>1771.7883300999999</v>
      </c>
      <c r="I187">
        <v>569.93731689000003</v>
      </c>
      <c r="J187">
        <v>174.45651244999999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25.040315</v>
      </c>
      <c r="B188" s="1">
        <f>DATE(2010,5,26) + TIME(0,58,3)</f>
        <v>40324.040312500001</v>
      </c>
      <c r="C188">
        <v>80</v>
      </c>
      <c r="D188">
        <v>79.890930175999998</v>
      </c>
      <c r="E188">
        <v>50</v>
      </c>
      <c r="F188">
        <v>14.900649071</v>
      </c>
      <c r="G188">
        <v>1898.6132812000001</v>
      </c>
      <c r="H188">
        <v>1771.7161865</v>
      </c>
      <c r="I188">
        <v>569.05633545000001</v>
      </c>
      <c r="J188">
        <v>173.57814026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25.436843</v>
      </c>
      <c r="B189" s="1">
        <f>DATE(2010,5,26) + TIME(10,29,3)</f>
        <v>40324.436840277776</v>
      </c>
      <c r="C189">
        <v>80</v>
      </c>
      <c r="D189">
        <v>79.890914917000003</v>
      </c>
      <c r="E189">
        <v>50</v>
      </c>
      <c r="F189">
        <v>14.900956153999999</v>
      </c>
      <c r="G189">
        <v>1898.5216064000001</v>
      </c>
      <c r="H189">
        <v>1771.6322021000001</v>
      </c>
      <c r="I189">
        <v>568.19171143000005</v>
      </c>
      <c r="J189">
        <v>172.71615600999999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25.838837999999999</v>
      </c>
      <c r="B190" s="1">
        <f>DATE(2010,5,26) + TIME(20,7,55)</f>
        <v>40324.838831018518</v>
      </c>
      <c r="C190">
        <v>80</v>
      </c>
      <c r="D190">
        <v>79.890914917000003</v>
      </c>
      <c r="E190">
        <v>50</v>
      </c>
      <c r="F190">
        <v>14.901268005</v>
      </c>
      <c r="G190">
        <v>1898.4188231999999</v>
      </c>
      <c r="H190">
        <v>1771.5371094</v>
      </c>
      <c r="I190">
        <v>567.34185791000004</v>
      </c>
      <c r="J190">
        <v>171.86904906999999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26.247178999999999</v>
      </c>
      <c r="B191" s="1">
        <f>DATE(2010,5,27) + TIME(5,55,56)</f>
        <v>40325.247175925928</v>
      </c>
      <c r="C191">
        <v>80</v>
      </c>
      <c r="D191">
        <v>79.890914917000003</v>
      </c>
      <c r="E191">
        <v>50</v>
      </c>
      <c r="F191">
        <v>14.901584625</v>
      </c>
      <c r="G191">
        <v>1898.3052978999999</v>
      </c>
      <c r="H191">
        <v>1771.4311522999999</v>
      </c>
      <c r="I191">
        <v>566.50531006000006</v>
      </c>
      <c r="J191">
        <v>171.03523254000001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26.662413000000001</v>
      </c>
      <c r="B192" s="1">
        <f>DATE(2010,5,27) + TIME(15,53,52)</f>
        <v>40325.662407407406</v>
      </c>
      <c r="C192">
        <v>80</v>
      </c>
      <c r="D192">
        <v>79.890922545999999</v>
      </c>
      <c r="E192">
        <v>50</v>
      </c>
      <c r="F192">
        <v>14.901907920999999</v>
      </c>
      <c r="G192">
        <v>1898.1809082</v>
      </c>
      <c r="H192">
        <v>1771.3142089999999</v>
      </c>
      <c r="I192">
        <v>565.68121338000003</v>
      </c>
      <c r="J192">
        <v>170.21397400000001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27.085319999999999</v>
      </c>
      <c r="B193" s="1">
        <f>DATE(2010,5,28) + TIME(2,2,51)</f>
        <v>40326.085312499999</v>
      </c>
      <c r="C193">
        <v>80</v>
      </c>
      <c r="D193">
        <v>79.890937804999993</v>
      </c>
      <c r="E193">
        <v>50</v>
      </c>
      <c r="F193">
        <v>14.902236938</v>
      </c>
      <c r="G193">
        <v>1898.0455322</v>
      </c>
      <c r="H193">
        <v>1771.1860352000001</v>
      </c>
      <c r="I193">
        <v>564.86859131000006</v>
      </c>
      <c r="J193">
        <v>169.40422057999999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27.515526000000001</v>
      </c>
      <c r="B194" s="1">
        <f>DATE(2010,5,28) + TIME(12,22,21)</f>
        <v>40326.515520833331</v>
      </c>
      <c r="C194">
        <v>80</v>
      </c>
      <c r="D194">
        <v>79.890953064000001</v>
      </c>
      <c r="E194">
        <v>50</v>
      </c>
      <c r="F194">
        <v>14.902572632</v>
      </c>
      <c r="G194">
        <v>1897.8984375</v>
      </c>
      <c r="H194">
        <v>1771.0461425999999</v>
      </c>
      <c r="I194">
        <v>564.06860352000001</v>
      </c>
      <c r="J194">
        <v>168.60716248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27.953339</v>
      </c>
      <c r="B195" s="1">
        <f>DATE(2010,5,28) + TIME(22,52,48)</f>
        <v>40326.953333333331</v>
      </c>
      <c r="C195">
        <v>80</v>
      </c>
      <c r="D195">
        <v>79.890975952000005</v>
      </c>
      <c r="E195">
        <v>50</v>
      </c>
      <c r="F195">
        <v>14.902914046999999</v>
      </c>
      <c r="G195">
        <v>1897.739624</v>
      </c>
      <c r="H195">
        <v>1770.8942870999999</v>
      </c>
      <c r="I195">
        <v>563.28106689000003</v>
      </c>
      <c r="J195">
        <v>167.82267761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28.398607999999999</v>
      </c>
      <c r="B196" s="1">
        <f>DATE(2010,5,29) + TIME(9,33,59)</f>
        <v>40327.398599537039</v>
      </c>
      <c r="C196">
        <v>80</v>
      </c>
      <c r="D196">
        <v>79.891006469999994</v>
      </c>
      <c r="E196">
        <v>50</v>
      </c>
      <c r="F196">
        <v>14.903261185</v>
      </c>
      <c r="G196">
        <v>1897.5687256000001</v>
      </c>
      <c r="H196">
        <v>1770.7303466999999</v>
      </c>
      <c r="I196">
        <v>562.50677489999998</v>
      </c>
      <c r="J196">
        <v>167.05143738000001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28.851853999999999</v>
      </c>
      <c r="B197" s="1">
        <f>DATE(2010,5,29) + TIME(20,26,40)</f>
        <v>40327.851851851854</v>
      </c>
      <c r="C197">
        <v>80</v>
      </c>
      <c r="D197">
        <v>79.891036987000007</v>
      </c>
      <c r="E197">
        <v>50</v>
      </c>
      <c r="F197">
        <v>14.903615951999999</v>
      </c>
      <c r="G197">
        <v>1897.3858643000001</v>
      </c>
      <c r="H197">
        <v>1770.5543213000001</v>
      </c>
      <c r="I197">
        <v>561.74517821999996</v>
      </c>
      <c r="J197">
        <v>166.29301452999999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29.081035</v>
      </c>
      <c r="B198" s="1">
        <f>DATE(2010,5,30) + TIME(1,56,41)</f>
        <v>40328.081030092595</v>
      </c>
      <c r="C198">
        <v>80</v>
      </c>
      <c r="D198">
        <v>79.890830993999998</v>
      </c>
      <c r="E198">
        <v>50</v>
      </c>
      <c r="F198">
        <v>14.903839111</v>
      </c>
      <c r="G198">
        <v>1897.1965332</v>
      </c>
      <c r="H198">
        <v>1770.3704834</v>
      </c>
      <c r="I198">
        <v>561.36773682</v>
      </c>
      <c r="J198">
        <v>165.9175415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29.538129000000001</v>
      </c>
      <c r="B199" s="1">
        <f>DATE(2010,5,30) + TIME(12,54,54)</f>
        <v>40328.538124999999</v>
      </c>
      <c r="C199">
        <v>80</v>
      </c>
      <c r="D199">
        <v>79.890991210999999</v>
      </c>
      <c r="E199">
        <v>50</v>
      </c>
      <c r="F199">
        <v>14.904180526999999</v>
      </c>
      <c r="G199">
        <v>1897.0261230000001</v>
      </c>
      <c r="H199">
        <v>1770.2048339999999</v>
      </c>
      <c r="I199">
        <v>560.63793944999998</v>
      </c>
      <c r="J199">
        <v>165.19081116000001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29.766694999999999</v>
      </c>
      <c r="B200" s="1">
        <f>DATE(2010,5,30) + TIME(18,24,2)</f>
        <v>40328.766689814816</v>
      </c>
      <c r="C200">
        <v>80</v>
      </c>
      <c r="D200">
        <v>79.890853882000002</v>
      </c>
      <c r="E200">
        <v>50</v>
      </c>
      <c r="F200">
        <v>14.904397963999999</v>
      </c>
      <c r="G200">
        <v>1896.8496094</v>
      </c>
      <c r="H200">
        <v>1770.0332031</v>
      </c>
      <c r="I200">
        <v>560.28057861000002</v>
      </c>
      <c r="J200">
        <v>164.83538818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30.223827</v>
      </c>
      <c r="B201" s="1">
        <f>DATE(2010,5,31) + TIME(5,22,18)</f>
        <v>40329.223819444444</v>
      </c>
      <c r="C201">
        <v>80</v>
      </c>
      <c r="D201">
        <v>79.891052246000001</v>
      </c>
      <c r="E201">
        <v>50</v>
      </c>
      <c r="F201">
        <v>14.904734612</v>
      </c>
      <c r="G201">
        <v>1896.6794434000001</v>
      </c>
      <c r="H201">
        <v>1769.8675536999999</v>
      </c>
      <c r="I201">
        <v>559.58770751999998</v>
      </c>
      <c r="J201">
        <v>164.14552307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30.681298999999999</v>
      </c>
      <c r="B202" s="1">
        <f>DATE(2010,5,31) + TIME(16,21,4)</f>
        <v>40329.681296296294</v>
      </c>
      <c r="C202">
        <v>80</v>
      </c>
      <c r="D202">
        <v>79.891174316000004</v>
      </c>
      <c r="E202">
        <v>50</v>
      </c>
      <c r="F202">
        <v>14.905081749000001</v>
      </c>
      <c r="G202">
        <v>1896.4879149999999</v>
      </c>
      <c r="H202">
        <v>1769.6818848</v>
      </c>
      <c r="I202">
        <v>558.91857909999999</v>
      </c>
      <c r="J202">
        <v>163.47956848000001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31</v>
      </c>
      <c r="B203" s="1">
        <f>DATE(2010,6,1) + TIME(0,0,0)</f>
        <v>40330</v>
      </c>
      <c r="C203">
        <v>80</v>
      </c>
      <c r="D203">
        <v>79.891075134000005</v>
      </c>
      <c r="E203">
        <v>50</v>
      </c>
      <c r="F203">
        <v>14.905361176</v>
      </c>
      <c r="G203">
        <v>1896.2734375</v>
      </c>
      <c r="H203">
        <v>1769.4726562000001</v>
      </c>
      <c r="I203">
        <v>558.46435546999999</v>
      </c>
      <c r="J203">
        <v>163.02784729000001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31.458556999999999</v>
      </c>
      <c r="B204" s="1">
        <f>DATE(2010,6,1) + TIME(11,0,19)</f>
        <v>40330.458553240744</v>
      </c>
      <c r="C204">
        <v>80</v>
      </c>
      <c r="D204">
        <v>79.891212463000002</v>
      </c>
      <c r="E204">
        <v>50</v>
      </c>
      <c r="F204">
        <v>14.905705451999999</v>
      </c>
      <c r="G204">
        <v>1896.0675048999999</v>
      </c>
      <c r="H204">
        <v>1769.2713623</v>
      </c>
      <c r="I204">
        <v>557.83178711000005</v>
      </c>
      <c r="J204">
        <v>162.39839172000001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31.921226000000001</v>
      </c>
      <c r="B205" s="1">
        <f>DATE(2010,6,1) + TIME(22,6,33)</f>
        <v>40330.921215277776</v>
      </c>
      <c r="C205">
        <v>80</v>
      </c>
      <c r="D205">
        <v>79.891304016000007</v>
      </c>
      <c r="E205">
        <v>50</v>
      </c>
      <c r="F205">
        <v>14.906060219</v>
      </c>
      <c r="G205">
        <v>1895.8450928</v>
      </c>
      <c r="H205">
        <v>1769.0544434000001</v>
      </c>
      <c r="I205">
        <v>557.21606444999998</v>
      </c>
      <c r="J205">
        <v>161.78584290000001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32.387013000000003</v>
      </c>
      <c r="B206" s="1">
        <f>DATE(2010,6,2) + TIME(9,17,17)</f>
        <v>40331.387002314812</v>
      </c>
      <c r="C206">
        <v>80</v>
      </c>
      <c r="D206">
        <v>79.891365050999994</v>
      </c>
      <c r="E206">
        <v>50</v>
      </c>
      <c r="F206">
        <v>14.906421661</v>
      </c>
      <c r="G206">
        <v>1895.6032714999999</v>
      </c>
      <c r="H206">
        <v>1768.8179932</v>
      </c>
      <c r="I206">
        <v>556.61785888999998</v>
      </c>
      <c r="J206">
        <v>161.19090270999999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32.856755</v>
      </c>
      <c r="B207" s="1">
        <f>DATE(2010,6,2) + TIME(20,33,43)</f>
        <v>40331.856747685182</v>
      </c>
      <c r="C207">
        <v>80</v>
      </c>
      <c r="D207">
        <v>79.891410828000005</v>
      </c>
      <c r="E207">
        <v>50</v>
      </c>
      <c r="F207">
        <v>14.906788826</v>
      </c>
      <c r="G207">
        <v>1895.3474120999999</v>
      </c>
      <c r="H207">
        <v>1768.5673827999999</v>
      </c>
      <c r="I207">
        <v>556.03582763999998</v>
      </c>
      <c r="J207">
        <v>160.61219788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33.331231000000002</v>
      </c>
      <c r="B208" s="1">
        <f>DATE(2010,6,3) + TIME(7,56,58)</f>
        <v>40332.331226851849</v>
      </c>
      <c r="C208">
        <v>80</v>
      </c>
      <c r="D208">
        <v>79.891456603999998</v>
      </c>
      <c r="E208">
        <v>50</v>
      </c>
      <c r="F208">
        <v>14.907160759</v>
      </c>
      <c r="G208">
        <v>1895.0804443</v>
      </c>
      <c r="H208">
        <v>1768.3055420000001</v>
      </c>
      <c r="I208">
        <v>555.46887206999997</v>
      </c>
      <c r="J208">
        <v>160.04864502000001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33.811284000000001</v>
      </c>
      <c r="B209" s="1">
        <f>DATE(2010,6,3) + TIME(19,28,14)</f>
        <v>40332.811273148145</v>
      </c>
      <c r="C209">
        <v>80</v>
      </c>
      <c r="D209">
        <v>79.891502380000006</v>
      </c>
      <c r="E209">
        <v>50</v>
      </c>
      <c r="F209">
        <v>14.90753746</v>
      </c>
      <c r="G209">
        <v>1894.8033447</v>
      </c>
      <c r="H209">
        <v>1768.0334473</v>
      </c>
      <c r="I209">
        <v>554.91601562000005</v>
      </c>
      <c r="J209">
        <v>159.49922179999999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34.297854999999998</v>
      </c>
      <c r="B210" s="1">
        <f>DATE(2010,6,4) + TIME(7,8,54)</f>
        <v>40333.297847222224</v>
      </c>
      <c r="C210">
        <v>80</v>
      </c>
      <c r="D210">
        <v>79.891563415999997</v>
      </c>
      <c r="E210">
        <v>50</v>
      </c>
      <c r="F210">
        <v>14.907918929999999</v>
      </c>
      <c r="G210">
        <v>1894.5164795000001</v>
      </c>
      <c r="H210">
        <v>1767.7514647999999</v>
      </c>
      <c r="I210">
        <v>554.37622069999998</v>
      </c>
      <c r="J210">
        <v>158.96290587999999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34.792019000000003</v>
      </c>
      <c r="B211" s="1">
        <f>DATE(2010,6,4) + TIME(19,0,30)</f>
        <v>40333.792013888888</v>
      </c>
      <c r="C211">
        <v>80</v>
      </c>
      <c r="D211">
        <v>79.891616821</v>
      </c>
      <c r="E211">
        <v>50</v>
      </c>
      <c r="F211">
        <v>14.908306122000001</v>
      </c>
      <c r="G211">
        <v>1894.2197266000001</v>
      </c>
      <c r="H211">
        <v>1767.4594727000001</v>
      </c>
      <c r="I211">
        <v>553.84851074000005</v>
      </c>
      <c r="J211">
        <v>158.43875122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35.294460999999998</v>
      </c>
      <c r="B212" s="1">
        <f>DATE(2010,6,5) + TIME(7,4,1)</f>
        <v>40334.294456018521</v>
      </c>
      <c r="C212">
        <v>80</v>
      </c>
      <c r="D212">
        <v>79.891685486</v>
      </c>
      <c r="E212">
        <v>50</v>
      </c>
      <c r="F212">
        <v>14.908699036</v>
      </c>
      <c r="G212">
        <v>1893.9125977000001</v>
      </c>
      <c r="H212">
        <v>1767.1571045000001</v>
      </c>
      <c r="I212">
        <v>553.33239746000004</v>
      </c>
      <c r="J212">
        <v>157.92630005000001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35.804450000000003</v>
      </c>
      <c r="B213" s="1">
        <f>DATE(2010,6,5) + TIME(19,18,24)</f>
        <v>40334.804444444446</v>
      </c>
      <c r="C213">
        <v>80</v>
      </c>
      <c r="D213">
        <v>79.891754149999997</v>
      </c>
      <c r="E213">
        <v>50</v>
      </c>
      <c r="F213">
        <v>14.909097672</v>
      </c>
      <c r="G213">
        <v>1893.5949707</v>
      </c>
      <c r="H213">
        <v>1766.8441161999999</v>
      </c>
      <c r="I213">
        <v>552.82897949000005</v>
      </c>
      <c r="J213">
        <v>157.42655945000001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36.322670000000002</v>
      </c>
      <c r="B214" s="1">
        <f>DATE(2010,6,6) + TIME(7,44,38)</f>
        <v>40335.322662037041</v>
      </c>
      <c r="C214">
        <v>80</v>
      </c>
      <c r="D214">
        <v>79.891822814999998</v>
      </c>
      <c r="E214">
        <v>50</v>
      </c>
      <c r="F214">
        <v>14.909502029</v>
      </c>
      <c r="G214">
        <v>1893.2667236</v>
      </c>
      <c r="H214">
        <v>1766.5202637</v>
      </c>
      <c r="I214">
        <v>552.33776854999996</v>
      </c>
      <c r="J214">
        <v>156.93907166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36.849530999999999</v>
      </c>
      <c r="B215" s="1">
        <f>DATE(2010,6,6) + TIME(20,23,19)</f>
        <v>40335.84952546296</v>
      </c>
      <c r="C215">
        <v>80</v>
      </c>
      <c r="D215">
        <v>79.891891478999995</v>
      </c>
      <c r="E215">
        <v>50</v>
      </c>
      <c r="F215">
        <v>14.909912109</v>
      </c>
      <c r="G215">
        <v>1892.9274902</v>
      </c>
      <c r="H215">
        <v>1766.1855469</v>
      </c>
      <c r="I215">
        <v>551.85864258000004</v>
      </c>
      <c r="J215">
        <v>156.46372986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37.115817</v>
      </c>
      <c r="B216" s="1">
        <f>DATE(2010,6,7) + TIME(2,46,46)</f>
        <v>40336.115810185183</v>
      </c>
      <c r="C216">
        <v>80</v>
      </c>
      <c r="D216">
        <v>79.891754149999997</v>
      </c>
      <c r="E216">
        <v>50</v>
      </c>
      <c r="F216">
        <v>14.910176277</v>
      </c>
      <c r="G216">
        <v>1892.6743164</v>
      </c>
      <c r="H216">
        <v>1765.9359131000001</v>
      </c>
      <c r="I216">
        <v>551.62280272999999</v>
      </c>
      <c r="J216">
        <v>156.23031616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37.382103000000001</v>
      </c>
      <c r="B217" s="1">
        <f>DATE(2010,6,7) + TIME(9,10,13)</f>
        <v>40336.382094907407</v>
      </c>
      <c r="C217">
        <v>80</v>
      </c>
      <c r="D217">
        <v>79.891662597999996</v>
      </c>
      <c r="E217">
        <v>50</v>
      </c>
      <c r="F217">
        <v>14.910425185999999</v>
      </c>
      <c r="G217">
        <v>1892.4278564000001</v>
      </c>
      <c r="H217">
        <v>1765.6917725000001</v>
      </c>
      <c r="I217">
        <v>551.39111328000001</v>
      </c>
      <c r="J217">
        <v>156.00091552999999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37.648387999999997</v>
      </c>
      <c r="B218" s="1">
        <f>DATE(2010,6,7) + TIME(15,33,40)</f>
        <v>40336.648379629631</v>
      </c>
      <c r="C218">
        <v>80</v>
      </c>
      <c r="D218">
        <v>79.891654967999997</v>
      </c>
      <c r="E218">
        <v>50</v>
      </c>
      <c r="F218">
        <v>14.910662651000001</v>
      </c>
      <c r="G218">
        <v>1892.2000731999999</v>
      </c>
      <c r="H218">
        <v>1765.4660644999999</v>
      </c>
      <c r="I218">
        <v>551.16412353999999</v>
      </c>
      <c r="J218">
        <v>155.77613830999999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37.914673999999998</v>
      </c>
      <c r="B219" s="1">
        <f>DATE(2010,6,7) + TIME(21,57,7)</f>
        <v>40336.914664351854</v>
      </c>
      <c r="C219">
        <v>80</v>
      </c>
      <c r="D219">
        <v>79.891693114999995</v>
      </c>
      <c r="E219">
        <v>50</v>
      </c>
      <c r="F219">
        <v>14.910891532999999</v>
      </c>
      <c r="G219">
        <v>1891.9858397999999</v>
      </c>
      <c r="H219">
        <v>1765.2539062000001</v>
      </c>
      <c r="I219">
        <v>550.94189453000001</v>
      </c>
      <c r="J219">
        <v>155.55606079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38.180959000000001</v>
      </c>
      <c r="B220" s="1">
        <f>DATE(2010,6,8) + TIME(4,20,34)</f>
        <v>40337.180949074071</v>
      </c>
      <c r="C220">
        <v>80</v>
      </c>
      <c r="D220">
        <v>79.891746521000002</v>
      </c>
      <c r="E220">
        <v>50</v>
      </c>
      <c r="F220">
        <v>14.911114693</v>
      </c>
      <c r="G220">
        <v>1891.7797852000001</v>
      </c>
      <c r="H220">
        <v>1765.0499268000001</v>
      </c>
      <c r="I220">
        <v>550.72442626999998</v>
      </c>
      <c r="J220">
        <v>155.34065247000001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38.447245000000002</v>
      </c>
      <c r="B221" s="1">
        <f>DATE(2010,6,8) + TIME(10,44,1)</f>
        <v>40337.447233796294</v>
      </c>
      <c r="C221">
        <v>80</v>
      </c>
      <c r="D221">
        <v>79.891815186000002</v>
      </c>
      <c r="E221">
        <v>50</v>
      </c>
      <c r="F221">
        <v>14.911333084000001</v>
      </c>
      <c r="G221">
        <v>1891.5788574000001</v>
      </c>
      <c r="H221">
        <v>1764.8509521000001</v>
      </c>
      <c r="I221">
        <v>550.51159668000003</v>
      </c>
      <c r="J221">
        <v>155.12986755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38.979816</v>
      </c>
      <c r="B222" s="1">
        <f>DATE(2010,6,8) + TIME(23,30,56)</f>
        <v>40337.979814814818</v>
      </c>
      <c r="C222">
        <v>80</v>
      </c>
      <c r="D222">
        <v>79.892189025999997</v>
      </c>
      <c r="E222">
        <v>50</v>
      </c>
      <c r="F222">
        <v>14.911672592</v>
      </c>
      <c r="G222">
        <v>1891.3120117000001</v>
      </c>
      <c r="H222">
        <v>1764.5867920000001</v>
      </c>
      <c r="I222">
        <v>550.10253906000003</v>
      </c>
      <c r="J222">
        <v>154.7240448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39.512594</v>
      </c>
      <c r="B223" s="1">
        <f>DATE(2010,6,9) + TIME(12,18,8)</f>
        <v>40338.512592592589</v>
      </c>
      <c r="C223">
        <v>80</v>
      </c>
      <c r="D223">
        <v>79.892379761000001</v>
      </c>
      <c r="E223">
        <v>50</v>
      </c>
      <c r="F223">
        <v>14.912046432</v>
      </c>
      <c r="G223">
        <v>1891.0024414</v>
      </c>
      <c r="H223">
        <v>1764.2810059000001</v>
      </c>
      <c r="I223">
        <v>549.71209716999999</v>
      </c>
      <c r="J223">
        <v>154.33703613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40.047620999999999</v>
      </c>
      <c r="B224" s="1">
        <f>DATE(2010,6,10) + TIME(1,8,34)</f>
        <v>40339.047615740739</v>
      </c>
      <c r="C224">
        <v>80</v>
      </c>
      <c r="D224">
        <v>79.892478943</v>
      </c>
      <c r="E224">
        <v>50</v>
      </c>
      <c r="F224">
        <v>14.912439345999999</v>
      </c>
      <c r="G224">
        <v>1890.6571045000001</v>
      </c>
      <c r="H224">
        <v>1763.9393310999999</v>
      </c>
      <c r="I224">
        <v>549.33709716999999</v>
      </c>
      <c r="J224">
        <v>153.96575927999999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40.586025999999997</v>
      </c>
      <c r="B225" s="1">
        <f>DATE(2010,6,10) + TIME(14,3,52)</f>
        <v>40339.586018518516</v>
      </c>
      <c r="C225">
        <v>80</v>
      </c>
      <c r="D225">
        <v>79.892539978000002</v>
      </c>
      <c r="E225">
        <v>50</v>
      </c>
      <c r="F225">
        <v>14.912844657999999</v>
      </c>
      <c r="G225">
        <v>1890.2905272999999</v>
      </c>
      <c r="H225">
        <v>1763.5762939000001</v>
      </c>
      <c r="I225">
        <v>548.97644043000003</v>
      </c>
      <c r="J225">
        <v>153.60888671999999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41.128743</v>
      </c>
      <c r="B226" s="1">
        <f>DATE(2010,6,11) + TIME(3,5,23)</f>
        <v>40340.128738425927</v>
      </c>
      <c r="C226">
        <v>80</v>
      </c>
      <c r="D226">
        <v>79.892601013000004</v>
      </c>
      <c r="E226">
        <v>50</v>
      </c>
      <c r="F226">
        <v>14.913257599</v>
      </c>
      <c r="G226">
        <v>1889.9099120999999</v>
      </c>
      <c r="H226">
        <v>1763.1990966999999</v>
      </c>
      <c r="I226">
        <v>548.62915038999995</v>
      </c>
      <c r="J226">
        <v>153.26544189000001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41.676665</v>
      </c>
      <c r="B227" s="1">
        <f>DATE(2010,6,11) + TIME(16,14,23)</f>
        <v>40340.676655092589</v>
      </c>
      <c r="C227">
        <v>80</v>
      </c>
      <c r="D227">
        <v>79.892669678000004</v>
      </c>
      <c r="E227">
        <v>50</v>
      </c>
      <c r="F227">
        <v>14.913676261999999</v>
      </c>
      <c r="G227">
        <v>1889.5184326000001</v>
      </c>
      <c r="H227">
        <v>1762.8109131000001</v>
      </c>
      <c r="I227">
        <v>548.29443359000004</v>
      </c>
      <c r="J227">
        <v>152.93467712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42.230693000000002</v>
      </c>
      <c r="B228" s="1">
        <f>DATE(2010,6,12) + TIME(5,32,11)</f>
        <v>40341.230682870373</v>
      </c>
      <c r="C228">
        <v>80</v>
      </c>
      <c r="D228">
        <v>79.892738342000001</v>
      </c>
      <c r="E228">
        <v>50</v>
      </c>
      <c r="F228">
        <v>14.914100647</v>
      </c>
      <c r="G228">
        <v>1889.1170654</v>
      </c>
      <c r="H228">
        <v>1762.4128418</v>
      </c>
      <c r="I228">
        <v>547.97167968999997</v>
      </c>
      <c r="J228">
        <v>152.61595154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42.791863999999997</v>
      </c>
      <c r="B229" s="1">
        <f>DATE(2010,6,12) + TIME(19,0,17)</f>
        <v>40341.791863425926</v>
      </c>
      <c r="C229">
        <v>80</v>
      </c>
      <c r="D229">
        <v>79.892822265999996</v>
      </c>
      <c r="E229">
        <v>50</v>
      </c>
      <c r="F229">
        <v>14.9145298</v>
      </c>
      <c r="G229">
        <v>1888.7064209</v>
      </c>
      <c r="H229">
        <v>1762.0054932</v>
      </c>
      <c r="I229">
        <v>547.66033935999997</v>
      </c>
      <c r="J229">
        <v>152.30867004000001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43.361507000000003</v>
      </c>
      <c r="B230" s="1">
        <f>DATE(2010,6,13) + TIME(8,40,34)</f>
        <v>40342.361504629633</v>
      </c>
      <c r="C230">
        <v>80</v>
      </c>
      <c r="D230">
        <v>79.892906189000001</v>
      </c>
      <c r="E230">
        <v>50</v>
      </c>
      <c r="F230">
        <v>14.914963722</v>
      </c>
      <c r="G230">
        <v>1888.2861327999999</v>
      </c>
      <c r="H230">
        <v>1761.5883789</v>
      </c>
      <c r="I230">
        <v>547.35974121000004</v>
      </c>
      <c r="J230">
        <v>152.01217650999999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43.939559000000003</v>
      </c>
      <c r="B231" s="1">
        <f>DATE(2010,6,13) + TIME(22,32,57)</f>
        <v>40342.93954861111</v>
      </c>
      <c r="C231">
        <v>80</v>
      </c>
      <c r="D231">
        <v>79.892997742000006</v>
      </c>
      <c r="E231">
        <v>50</v>
      </c>
      <c r="F231">
        <v>14.915402412000001</v>
      </c>
      <c r="G231">
        <v>1887.8563231999999</v>
      </c>
      <c r="H231">
        <v>1761.161499</v>
      </c>
      <c r="I231">
        <v>547.07006836000005</v>
      </c>
      <c r="J231">
        <v>151.72666931000001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44.526792</v>
      </c>
      <c r="B232" s="1">
        <f>DATE(2010,6,14) + TIME(12,38,34)</f>
        <v>40343.526782407411</v>
      </c>
      <c r="C232">
        <v>80</v>
      </c>
      <c r="D232">
        <v>79.893096924000005</v>
      </c>
      <c r="E232">
        <v>50</v>
      </c>
      <c r="F232">
        <v>14.915846824999999</v>
      </c>
      <c r="G232">
        <v>1887.4165039</v>
      </c>
      <c r="H232">
        <v>1760.7247314000001</v>
      </c>
      <c r="I232">
        <v>546.79107666000004</v>
      </c>
      <c r="J232">
        <v>151.45187378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45.121952</v>
      </c>
      <c r="B233" s="1">
        <f>DATE(2010,6,15) + TIME(2,55,36)</f>
        <v>40344.121944444443</v>
      </c>
      <c r="C233">
        <v>80</v>
      </c>
      <c r="D233">
        <v>79.893196106000005</v>
      </c>
      <c r="E233">
        <v>50</v>
      </c>
      <c r="F233">
        <v>14.916296959</v>
      </c>
      <c r="G233">
        <v>1886.9671631000001</v>
      </c>
      <c r="H233">
        <v>1760.2783202999999</v>
      </c>
      <c r="I233">
        <v>546.5234375</v>
      </c>
      <c r="J233">
        <v>151.18850707999999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45.726281</v>
      </c>
      <c r="B234" s="1">
        <f>DATE(2010,6,15) + TIME(17,25,50)</f>
        <v>40344.726273148146</v>
      </c>
      <c r="C234">
        <v>80</v>
      </c>
      <c r="D234">
        <v>79.893295288000004</v>
      </c>
      <c r="E234">
        <v>50</v>
      </c>
      <c r="F234">
        <v>14.916751862</v>
      </c>
      <c r="G234">
        <v>1886.5080565999999</v>
      </c>
      <c r="H234">
        <v>1759.8220214999999</v>
      </c>
      <c r="I234">
        <v>546.26666260000002</v>
      </c>
      <c r="J234">
        <v>150.93608093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46.031081999999998</v>
      </c>
      <c r="B235" s="1">
        <f>DATE(2010,6,16) + TIME(0,44,45)</f>
        <v>40345.031076388892</v>
      </c>
      <c r="C235">
        <v>80</v>
      </c>
      <c r="D235">
        <v>79.893196106000005</v>
      </c>
      <c r="E235">
        <v>50</v>
      </c>
      <c r="F235">
        <v>14.917050361999999</v>
      </c>
      <c r="G235">
        <v>1886.2059326000001</v>
      </c>
      <c r="H235">
        <v>1759.5222168</v>
      </c>
      <c r="I235">
        <v>546.14239501999998</v>
      </c>
      <c r="J235">
        <v>150.81466674999999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46.335884</v>
      </c>
      <c r="B236" s="1">
        <f>DATE(2010,6,16) + TIME(8,3,40)</f>
        <v>40345.335879629631</v>
      </c>
      <c r="C236">
        <v>80</v>
      </c>
      <c r="D236">
        <v>79.893142699999999</v>
      </c>
      <c r="E236">
        <v>50</v>
      </c>
      <c r="F236">
        <v>14.917327881</v>
      </c>
      <c r="G236">
        <v>1885.9072266000001</v>
      </c>
      <c r="H236">
        <v>1759.2249756000001</v>
      </c>
      <c r="I236">
        <v>546.02081298999997</v>
      </c>
      <c r="J236">
        <v>150.69570923000001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46.640684999999998</v>
      </c>
      <c r="B237" s="1">
        <f>DATE(2010,6,16) + TIME(15,22,35)</f>
        <v>40345.640682870369</v>
      </c>
      <c r="C237">
        <v>80</v>
      </c>
      <c r="D237">
        <v>79.893157959000007</v>
      </c>
      <c r="E237">
        <v>50</v>
      </c>
      <c r="F237">
        <v>14.917591095000001</v>
      </c>
      <c r="G237">
        <v>1885.6247559000001</v>
      </c>
      <c r="H237">
        <v>1758.9438477000001</v>
      </c>
      <c r="I237">
        <v>545.90258788999995</v>
      </c>
      <c r="J237">
        <v>150.58001709000001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46.945486000000002</v>
      </c>
      <c r="B238" s="1">
        <f>DATE(2010,6,16) + TIME(22,41,29)</f>
        <v>40345.945474537039</v>
      </c>
      <c r="C238">
        <v>80</v>
      </c>
      <c r="D238">
        <v>79.893211364999999</v>
      </c>
      <c r="E238">
        <v>50</v>
      </c>
      <c r="F238">
        <v>14.917842865000001</v>
      </c>
      <c r="G238">
        <v>1885.3548584</v>
      </c>
      <c r="H238">
        <v>1758.675293</v>
      </c>
      <c r="I238">
        <v>545.78790283000001</v>
      </c>
      <c r="J238">
        <v>150.46771240000001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47.250287</v>
      </c>
      <c r="B239" s="1">
        <f>DATE(2010,6,17) + TIME(6,0,24)</f>
        <v>40346.250277777777</v>
      </c>
      <c r="C239">
        <v>80</v>
      </c>
      <c r="D239">
        <v>79.893280028999996</v>
      </c>
      <c r="E239">
        <v>50</v>
      </c>
      <c r="F239">
        <v>14.918087958999999</v>
      </c>
      <c r="G239">
        <v>1885.0932617000001</v>
      </c>
      <c r="H239">
        <v>1758.4150391000001</v>
      </c>
      <c r="I239">
        <v>545.67663574000005</v>
      </c>
      <c r="J239">
        <v>150.35884093999999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47.555087999999998</v>
      </c>
      <c r="B240" s="1">
        <f>DATE(2010,6,17) + TIME(13,19,19)</f>
        <v>40346.555081018516</v>
      </c>
      <c r="C240">
        <v>80</v>
      </c>
      <c r="D240">
        <v>79.893363953000005</v>
      </c>
      <c r="E240">
        <v>50</v>
      </c>
      <c r="F240">
        <v>14.918327332</v>
      </c>
      <c r="G240">
        <v>1884.8367920000001</v>
      </c>
      <c r="H240">
        <v>1758.1599120999999</v>
      </c>
      <c r="I240">
        <v>545.56890868999994</v>
      </c>
      <c r="J240">
        <v>150.25338744999999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47.859889000000003</v>
      </c>
      <c r="B241" s="1">
        <f>DATE(2010,6,17) + TIME(20,38,14)</f>
        <v>40346.859884259262</v>
      </c>
      <c r="C241">
        <v>80</v>
      </c>
      <c r="D241">
        <v>79.893447875999996</v>
      </c>
      <c r="E241">
        <v>50</v>
      </c>
      <c r="F241">
        <v>14.918563842999999</v>
      </c>
      <c r="G241">
        <v>1884.5838623</v>
      </c>
      <c r="H241">
        <v>1757.9082031</v>
      </c>
      <c r="I241">
        <v>545.46453856999995</v>
      </c>
      <c r="J241">
        <v>150.15132141000001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48.469490999999998</v>
      </c>
      <c r="B242" s="1">
        <f>DATE(2010,6,18) + TIME(11,16,4)</f>
        <v>40347.469490740739</v>
      </c>
      <c r="C242">
        <v>80</v>
      </c>
      <c r="D242">
        <v>79.893798828000001</v>
      </c>
      <c r="E242">
        <v>50</v>
      </c>
      <c r="F242">
        <v>14.918921471000001</v>
      </c>
      <c r="G242">
        <v>1884.1965332</v>
      </c>
      <c r="H242">
        <v>1757.5227050999999</v>
      </c>
      <c r="I242">
        <v>545.26727295000001</v>
      </c>
      <c r="J242">
        <v>149.95748900999999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49.079853</v>
      </c>
      <c r="B243" s="1">
        <f>DATE(2010,6,19) + TIME(1,54,59)</f>
        <v>40348.07984953704</v>
      </c>
      <c r="C243">
        <v>80</v>
      </c>
      <c r="D243">
        <v>79.893997192</v>
      </c>
      <c r="E243">
        <v>50</v>
      </c>
      <c r="F243">
        <v>14.919325829</v>
      </c>
      <c r="G243">
        <v>1883.7758789</v>
      </c>
      <c r="H243">
        <v>1757.1044922000001</v>
      </c>
      <c r="I243">
        <v>545.08367920000001</v>
      </c>
      <c r="J243">
        <v>149.77781676999999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49.693406000000003</v>
      </c>
      <c r="B244" s="1">
        <f>DATE(2010,6,19) + TIME(16,38,30)</f>
        <v>40348.693402777775</v>
      </c>
      <c r="C244">
        <v>80</v>
      </c>
      <c r="D244">
        <v>79.894111632999994</v>
      </c>
      <c r="E244">
        <v>50</v>
      </c>
      <c r="F244">
        <v>14.919754982000001</v>
      </c>
      <c r="G244">
        <v>1883.3237305</v>
      </c>
      <c r="H244">
        <v>1756.6547852000001</v>
      </c>
      <c r="I244">
        <v>544.91156006000006</v>
      </c>
      <c r="J244">
        <v>149.60980225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50.311461000000001</v>
      </c>
      <c r="B245" s="1">
        <f>DATE(2010,6,20) + TIME(7,28,30)</f>
        <v>40349.31145833333</v>
      </c>
      <c r="C245">
        <v>80</v>
      </c>
      <c r="D245">
        <v>79.894195557000003</v>
      </c>
      <c r="E245">
        <v>50</v>
      </c>
      <c r="F245">
        <v>14.920197486999999</v>
      </c>
      <c r="G245">
        <v>1882.8525391000001</v>
      </c>
      <c r="H245">
        <v>1756.1857910000001</v>
      </c>
      <c r="I245">
        <v>544.74993896000001</v>
      </c>
      <c r="J245">
        <v>149.45246886999999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50.935110000000002</v>
      </c>
      <c r="B246" s="1">
        <f>DATE(2010,6,20) + TIME(22,26,33)</f>
        <v>40349.935104166667</v>
      </c>
      <c r="C246">
        <v>80</v>
      </c>
      <c r="D246">
        <v>79.894287109000004</v>
      </c>
      <c r="E246">
        <v>50</v>
      </c>
      <c r="F246">
        <v>14.920649529</v>
      </c>
      <c r="G246">
        <v>1882.3685303</v>
      </c>
      <c r="H246">
        <v>1755.7039795000001</v>
      </c>
      <c r="I246">
        <v>544.59832763999998</v>
      </c>
      <c r="J246">
        <v>149.30520630000001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51.565398000000002</v>
      </c>
      <c r="B247" s="1">
        <f>DATE(2010,6,21) + TIME(13,34,10)</f>
        <v>40350.565393518518</v>
      </c>
      <c r="C247">
        <v>80</v>
      </c>
      <c r="D247">
        <v>79.894378661999994</v>
      </c>
      <c r="E247">
        <v>50</v>
      </c>
      <c r="F247">
        <v>14.921106339</v>
      </c>
      <c r="G247">
        <v>1881.8745117000001</v>
      </c>
      <c r="H247">
        <v>1755.2120361</v>
      </c>
      <c r="I247">
        <v>544.45629883000004</v>
      </c>
      <c r="J247">
        <v>149.16763306000001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52.203440999999998</v>
      </c>
      <c r="B248" s="1">
        <f>DATE(2010,6,22) + TIME(4,52,57)</f>
        <v>40351.2034375</v>
      </c>
      <c r="C248">
        <v>80</v>
      </c>
      <c r="D248">
        <v>79.894485474000007</v>
      </c>
      <c r="E248">
        <v>50</v>
      </c>
      <c r="F248">
        <v>14.921568871</v>
      </c>
      <c r="G248">
        <v>1881.3713379000001</v>
      </c>
      <c r="H248">
        <v>1754.7109375</v>
      </c>
      <c r="I248">
        <v>544.32360840000001</v>
      </c>
      <c r="J248">
        <v>149.03941345000001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52.850876999999997</v>
      </c>
      <c r="B249" s="1">
        <f>DATE(2010,6,22) + TIME(20,25,15)</f>
        <v>40351.850868055553</v>
      </c>
      <c r="C249">
        <v>80</v>
      </c>
      <c r="D249">
        <v>79.894592285000002</v>
      </c>
      <c r="E249">
        <v>50</v>
      </c>
      <c r="F249">
        <v>14.922035216999999</v>
      </c>
      <c r="G249">
        <v>1880.8590088000001</v>
      </c>
      <c r="H249">
        <v>1754.2006836</v>
      </c>
      <c r="I249">
        <v>544.19995116999996</v>
      </c>
      <c r="J249">
        <v>148.92025756999999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53.508584999999997</v>
      </c>
      <c r="B250" s="1">
        <f>DATE(2010,6,23) + TIME(12,12,21)</f>
        <v>40352.508576388886</v>
      </c>
      <c r="C250">
        <v>80</v>
      </c>
      <c r="D250">
        <v>79.894706725999995</v>
      </c>
      <c r="E250">
        <v>50</v>
      </c>
      <c r="F250">
        <v>14.922507286</v>
      </c>
      <c r="G250">
        <v>1880.3374022999999</v>
      </c>
      <c r="H250">
        <v>1753.6810303</v>
      </c>
      <c r="I250">
        <v>544.08514404000005</v>
      </c>
      <c r="J250">
        <v>148.81005859000001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54.176468999999997</v>
      </c>
      <c r="B251" s="1">
        <f>DATE(2010,6,24) + TIME(4,14,6)</f>
        <v>40353.176458333335</v>
      </c>
      <c r="C251">
        <v>80</v>
      </c>
      <c r="D251">
        <v>79.894828795999999</v>
      </c>
      <c r="E251">
        <v>50</v>
      </c>
      <c r="F251">
        <v>14.922985077</v>
      </c>
      <c r="G251">
        <v>1879.8065185999999</v>
      </c>
      <c r="H251">
        <v>1753.1522216999999</v>
      </c>
      <c r="I251">
        <v>543.97937012</v>
      </c>
      <c r="J251">
        <v>148.70895386000001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54.852848000000002</v>
      </c>
      <c r="B252" s="1">
        <f>DATE(2010,6,24) + TIME(20,28,6)</f>
        <v>40353.852847222224</v>
      </c>
      <c r="C252">
        <v>80</v>
      </c>
      <c r="D252">
        <v>79.894950867000006</v>
      </c>
      <c r="E252">
        <v>50</v>
      </c>
      <c r="F252">
        <v>14.923466682000001</v>
      </c>
      <c r="G252">
        <v>1879.2673339999999</v>
      </c>
      <c r="H252">
        <v>1752.6149902</v>
      </c>
      <c r="I252">
        <v>543.88293456999997</v>
      </c>
      <c r="J252">
        <v>148.61721802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55.537768999999997</v>
      </c>
      <c r="B253" s="1">
        <f>DATE(2010,6,25) + TIME(12,54,23)</f>
        <v>40354.537766203706</v>
      </c>
      <c r="C253">
        <v>80</v>
      </c>
      <c r="D253">
        <v>79.895072936999995</v>
      </c>
      <c r="E253">
        <v>50</v>
      </c>
      <c r="F253">
        <v>14.923952103</v>
      </c>
      <c r="G253">
        <v>1878.7202147999999</v>
      </c>
      <c r="H253">
        <v>1752.0697021000001</v>
      </c>
      <c r="I253">
        <v>543.79577637</v>
      </c>
      <c r="J253">
        <v>148.53479003999999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55.881363</v>
      </c>
      <c r="B254" s="1">
        <f>DATE(2010,6,25) + TIME(21,9,9)</f>
        <v>40354.881354166668</v>
      </c>
      <c r="C254">
        <v>80</v>
      </c>
      <c r="D254">
        <v>79.895004271999994</v>
      </c>
      <c r="E254">
        <v>50</v>
      </c>
      <c r="F254">
        <v>14.924277306</v>
      </c>
      <c r="G254">
        <v>1878.3842772999999</v>
      </c>
      <c r="H254">
        <v>1751.7351074000001</v>
      </c>
      <c r="I254">
        <v>543.75634765999996</v>
      </c>
      <c r="J254">
        <v>148.49851989999999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56.224957000000003</v>
      </c>
      <c r="B255" s="1">
        <f>DATE(2010,6,26) + TIME(5,23,56)</f>
        <v>40355.224953703706</v>
      </c>
      <c r="C255">
        <v>80</v>
      </c>
      <c r="D255">
        <v>79.894973754999995</v>
      </c>
      <c r="E255">
        <v>50</v>
      </c>
      <c r="F255">
        <v>14.924573898</v>
      </c>
      <c r="G255">
        <v>1878.0493164</v>
      </c>
      <c r="H255">
        <v>1751.401001</v>
      </c>
      <c r="I255">
        <v>543.71832274999997</v>
      </c>
      <c r="J255">
        <v>148.46336364999999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56.568551999999997</v>
      </c>
      <c r="B256" s="1">
        <f>DATE(2010,6,26) + TIME(13,38,42)</f>
        <v>40355.568541666667</v>
      </c>
      <c r="C256">
        <v>80</v>
      </c>
      <c r="D256">
        <v>79.895004271999994</v>
      </c>
      <c r="E256">
        <v>50</v>
      </c>
      <c r="F256">
        <v>14.924853325000001</v>
      </c>
      <c r="G256">
        <v>1877.7285156</v>
      </c>
      <c r="H256">
        <v>1751.0811768000001</v>
      </c>
      <c r="I256">
        <v>543.68255614999998</v>
      </c>
      <c r="J256">
        <v>148.43032837000001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56.912146</v>
      </c>
      <c r="B257" s="1">
        <f>DATE(2010,6,26) + TIME(21,53,29)</f>
        <v>40355.912141203706</v>
      </c>
      <c r="C257">
        <v>80</v>
      </c>
      <c r="D257">
        <v>79.895072936999995</v>
      </c>
      <c r="E257">
        <v>50</v>
      </c>
      <c r="F257">
        <v>14.9251194</v>
      </c>
      <c r="G257">
        <v>1877.4196777</v>
      </c>
      <c r="H257">
        <v>1750.7731934000001</v>
      </c>
      <c r="I257">
        <v>543.64916991999996</v>
      </c>
      <c r="J257">
        <v>148.39961242999999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57.255740000000003</v>
      </c>
      <c r="B258" s="1">
        <f>DATE(2010,6,27) + TIME(6,8,15)</f>
        <v>40356.255729166667</v>
      </c>
      <c r="C258">
        <v>80</v>
      </c>
      <c r="D258">
        <v>79.89515686</v>
      </c>
      <c r="E258">
        <v>50</v>
      </c>
      <c r="F258">
        <v>14.925377846</v>
      </c>
      <c r="G258">
        <v>1877.1190185999999</v>
      </c>
      <c r="H258">
        <v>1750.4733887</v>
      </c>
      <c r="I258">
        <v>543.61834716999999</v>
      </c>
      <c r="J258">
        <v>148.37127685999999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57.942928999999999</v>
      </c>
      <c r="B259" s="1">
        <f>DATE(2010,6,27) + TIME(22,37,49)</f>
        <v>40356.942928240744</v>
      </c>
      <c r="C259">
        <v>80</v>
      </c>
      <c r="D259">
        <v>79.895500182999996</v>
      </c>
      <c r="E259">
        <v>50</v>
      </c>
      <c r="F259">
        <v>14.925756454</v>
      </c>
      <c r="G259">
        <v>1876.6367187999999</v>
      </c>
      <c r="H259">
        <v>1749.9924315999999</v>
      </c>
      <c r="I259">
        <v>543.56408691000001</v>
      </c>
      <c r="J259">
        <v>148.32080078000001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58.630530999999998</v>
      </c>
      <c r="B260" s="1">
        <f>DATE(2010,6,28) + TIME(15,7,57)</f>
        <v>40357.630520833336</v>
      </c>
      <c r="C260">
        <v>80</v>
      </c>
      <c r="D260">
        <v>79.895713806000003</v>
      </c>
      <c r="E260">
        <v>50</v>
      </c>
      <c r="F260">
        <v>14.926186562</v>
      </c>
      <c r="G260">
        <v>1876.1329346</v>
      </c>
      <c r="H260">
        <v>1749.4902344</v>
      </c>
      <c r="I260">
        <v>543.52032470999995</v>
      </c>
      <c r="J260">
        <v>148.28129577999999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59.321185</v>
      </c>
      <c r="B261" s="1">
        <f>DATE(2010,6,29) + TIME(7,42,30)</f>
        <v>40358.321180555555</v>
      </c>
      <c r="C261">
        <v>80</v>
      </c>
      <c r="D261">
        <v>79.895858765</v>
      </c>
      <c r="E261">
        <v>50</v>
      </c>
      <c r="F261">
        <v>14.926642418</v>
      </c>
      <c r="G261">
        <v>1875.6043701000001</v>
      </c>
      <c r="H261">
        <v>1748.9632568</v>
      </c>
      <c r="I261">
        <v>543.48516845999995</v>
      </c>
      <c r="J261">
        <v>148.25057982999999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60.01641</v>
      </c>
      <c r="B262" s="1">
        <f>DATE(2010,6,30) + TIME(0,23,37)</f>
        <v>40359.016400462962</v>
      </c>
      <c r="C262">
        <v>80</v>
      </c>
      <c r="D262">
        <v>79.895973205999994</v>
      </c>
      <c r="E262">
        <v>50</v>
      </c>
      <c r="F262">
        <v>14.927110672</v>
      </c>
      <c r="G262">
        <v>1875.0604248</v>
      </c>
      <c r="H262">
        <v>1748.4208983999999</v>
      </c>
      <c r="I262">
        <v>543.45788574000005</v>
      </c>
      <c r="J262">
        <v>148.22792053000001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60.717453999999996</v>
      </c>
      <c r="B263" s="1">
        <f>DATE(2010,6,30) + TIME(17,13,8)</f>
        <v>40359.717453703706</v>
      </c>
      <c r="C263">
        <v>80</v>
      </c>
      <c r="D263">
        <v>79.896087645999998</v>
      </c>
      <c r="E263">
        <v>50</v>
      </c>
      <c r="F263">
        <v>14.927586555</v>
      </c>
      <c r="G263">
        <v>1874.5065918</v>
      </c>
      <c r="H263">
        <v>1747.8684082</v>
      </c>
      <c r="I263">
        <v>543.43823241999996</v>
      </c>
      <c r="J263">
        <v>148.21296692000001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61</v>
      </c>
      <c r="B264" s="1">
        <f>DATE(2010,7,1) + TIME(0,0,0)</f>
        <v>40360</v>
      </c>
      <c r="C264">
        <v>80</v>
      </c>
      <c r="D264">
        <v>79.896018982000001</v>
      </c>
      <c r="E264">
        <v>50</v>
      </c>
      <c r="F264">
        <v>14.927862167000001</v>
      </c>
      <c r="G264">
        <v>1874.2320557</v>
      </c>
      <c r="H264">
        <v>1747.5949707</v>
      </c>
      <c r="I264">
        <v>543.43347168000003</v>
      </c>
      <c r="J264">
        <v>148.21092224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61.708039999999997</v>
      </c>
      <c r="B265" s="1">
        <f>DATE(2010,7,1) + TIME(16,59,34)</f>
        <v>40360.708032407405</v>
      </c>
      <c r="C265">
        <v>80</v>
      </c>
      <c r="D265">
        <v>79.896202087000006</v>
      </c>
      <c r="E265">
        <v>50</v>
      </c>
      <c r="F265">
        <v>14.928299903999999</v>
      </c>
      <c r="G265">
        <v>1873.6751709</v>
      </c>
      <c r="H265">
        <v>1747.0390625</v>
      </c>
      <c r="I265">
        <v>543.42285156000003</v>
      </c>
      <c r="J265">
        <v>148.20469666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62.428552000000003</v>
      </c>
      <c r="B266" s="1">
        <f>DATE(2010,7,2) + TIME(10,17,6)</f>
        <v>40361.428541666668</v>
      </c>
      <c r="C266">
        <v>80</v>
      </c>
      <c r="D266">
        <v>79.896385193</v>
      </c>
      <c r="E266">
        <v>50</v>
      </c>
      <c r="F266">
        <v>14.928764342999999</v>
      </c>
      <c r="G266">
        <v>1873.1201172000001</v>
      </c>
      <c r="H266">
        <v>1746.4853516000001</v>
      </c>
      <c r="I266">
        <v>543.42102050999995</v>
      </c>
      <c r="J266">
        <v>148.20747374999999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63.158450999999999</v>
      </c>
      <c r="B267" s="1">
        <f>DATE(2010,7,3) + TIME(3,48,10)</f>
        <v>40362.158449074072</v>
      </c>
      <c r="C267">
        <v>80</v>
      </c>
      <c r="D267">
        <v>79.896537781000006</v>
      </c>
      <c r="E267">
        <v>50</v>
      </c>
      <c r="F267">
        <v>14.929243088</v>
      </c>
      <c r="G267">
        <v>1872.5511475000001</v>
      </c>
      <c r="H267">
        <v>1745.9177245999999</v>
      </c>
      <c r="I267">
        <v>543.42681885000002</v>
      </c>
      <c r="J267">
        <v>148.21800232000001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63.897976</v>
      </c>
      <c r="B268" s="1">
        <f>DATE(2010,7,3) + TIME(21,33,5)</f>
        <v>40362.897974537038</v>
      </c>
      <c r="C268">
        <v>80</v>
      </c>
      <c r="D268">
        <v>79.896675110000004</v>
      </c>
      <c r="E268">
        <v>50</v>
      </c>
      <c r="F268">
        <v>14.929731369000001</v>
      </c>
      <c r="G268">
        <v>1871.9704589999999</v>
      </c>
      <c r="H268">
        <v>1745.338501</v>
      </c>
      <c r="I268">
        <v>543.44000243999994</v>
      </c>
      <c r="J268">
        <v>148.23603821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64.644835999999998</v>
      </c>
      <c r="B269" s="1">
        <f>DATE(2010,7,4) + TIME(15,28,33)</f>
        <v>40363.644826388889</v>
      </c>
      <c r="C269">
        <v>80</v>
      </c>
      <c r="D269">
        <v>79.896812439000001</v>
      </c>
      <c r="E269">
        <v>50</v>
      </c>
      <c r="F269">
        <v>14.930224419</v>
      </c>
      <c r="G269">
        <v>1871.3817139</v>
      </c>
      <c r="H269">
        <v>1744.7509766000001</v>
      </c>
      <c r="I269">
        <v>543.46044921999999</v>
      </c>
      <c r="J269">
        <v>148.26138306000001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65.399700999999993</v>
      </c>
      <c r="B270" s="1">
        <f>DATE(2010,7,5) + TIME(9,35,34)</f>
        <v>40364.399699074071</v>
      </c>
      <c r="C270">
        <v>80</v>
      </c>
      <c r="D270">
        <v>79.896949767999999</v>
      </c>
      <c r="E270">
        <v>50</v>
      </c>
      <c r="F270">
        <v>14.930722236999999</v>
      </c>
      <c r="G270">
        <v>1870.7861327999999</v>
      </c>
      <c r="H270">
        <v>1744.1567382999999</v>
      </c>
      <c r="I270">
        <v>543.48803711000005</v>
      </c>
      <c r="J270">
        <v>148.29394531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65.781908999999999</v>
      </c>
      <c r="B271" s="1">
        <f>DATE(2010,7,5) + TIME(18,45,56)</f>
        <v>40364.781898148147</v>
      </c>
      <c r="C271">
        <v>80</v>
      </c>
      <c r="D271">
        <v>79.896903992000006</v>
      </c>
      <c r="E271">
        <v>50</v>
      </c>
      <c r="F271">
        <v>14.931061744999999</v>
      </c>
      <c r="G271">
        <v>1870.4307861</v>
      </c>
      <c r="H271">
        <v>1743.8022461</v>
      </c>
      <c r="I271">
        <v>543.50561522999999</v>
      </c>
      <c r="J271">
        <v>148.31491088999999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66.164117000000005</v>
      </c>
      <c r="B272" s="1">
        <f>DATE(2010,7,6) + TIME(3,56,19)</f>
        <v>40365.1641087963</v>
      </c>
      <c r="C272">
        <v>80</v>
      </c>
      <c r="D272">
        <v>79.896896362000007</v>
      </c>
      <c r="E272">
        <v>50</v>
      </c>
      <c r="F272">
        <v>14.931369781000001</v>
      </c>
      <c r="G272">
        <v>1870.0749512</v>
      </c>
      <c r="H272">
        <v>1743.4468993999999</v>
      </c>
      <c r="I272">
        <v>543.52368163999995</v>
      </c>
      <c r="J272">
        <v>148.33605957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66.546324999999996</v>
      </c>
      <c r="B273" s="1">
        <f>DATE(2010,7,6) + TIME(13,6,42)</f>
        <v>40365.546319444446</v>
      </c>
      <c r="C273">
        <v>80</v>
      </c>
      <c r="D273">
        <v>79.896942139000004</v>
      </c>
      <c r="E273">
        <v>50</v>
      </c>
      <c r="F273">
        <v>14.931656837</v>
      </c>
      <c r="G273">
        <v>1869.7313231999999</v>
      </c>
      <c r="H273">
        <v>1743.1038818</v>
      </c>
      <c r="I273">
        <v>543.54333496000004</v>
      </c>
      <c r="J273">
        <v>148.35855103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66.928533000000002</v>
      </c>
      <c r="B274" s="1">
        <f>DATE(2010,7,6) + TIME(22,17,5)</f>
        <v>40365.928530092591</v>
      </c>
      <c r="C274">
        <v>80</v>
      </c>
      <c r="D274">
        <v>79.897010803000001</v>
      </c>
      <c r="E274">
        <v>50</v>
      </c>
      <c r="F274">
        <v>14.931930542</v>
      </c>
      <c r="G274">
        <v>1869.3988036999999</v>
      </c>
      <c r="H274">
        <v>1742.7719727000001</v>
      </c>
      <c r="I274">
        <v>543.56469727000001</v>
      </c>
      <c r="J274">
        <v>148.38264465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67.310740999999993</v>
      </c>
      <c r="B275" s="1">
        <f>DATE(2010,7,7) + TIME(7,27,27)</f>
        <v>40366.310729166667</v>
      </c>
      <c r="C275">
        <v>80</v>
      </c>
      <c r="D275">
        <v>79.897102356000005</v>
      </c>
      <c r="E275">
        <v>50</v>
      </c>
      <c r="F275">
        <v>14.932194709999999</v>
      </c>
      <c r="G275">
        <v>1869.0742187999999</v>
      </c>
      <c r="H275">
        <v>1742.447876</v>
      </c>
      <c r="I275">
        <v>543.58782958999996</v>
      </c>
      <c r="J275">
        <v>148.40846252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67.692948000000001</v>
      </c>
      <c r="B276" s="1">
        <f>DATE(2010,7,7) + TIME(16,37,50)</f>
        <v>40366.692939814813</v>
      </c>
      <c r="C276">
        <v>80</v>
      </c>
      <c r="D276">
        <v>79.897193908999995</v>
      </c>
      <c r="E276">
        <v>50</v>
      </c>
      <c r="F276">
        <v>14.932454109</v>
      </c>
      <c r="G276">
        <v>1868.7550048999999</v>
      </c>
      <c r="H276">
        <v>1742.1293945</v>
      </c>
      <c r="I276">
        <v>543.61279296999999</v>
      </c>
      <c r="J276">
        <v>148.43600463999999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68.457363999999998</v>
      </c>
      <c r="B277" s="1">
        <f>DATE(2010,7,8) + TIME(10,58,36)</f>
        <v>40367.457361111112</v>
      </c>
      <c r="C277">
        <v>80</v>
      </c>
      <c r="D277">
        <v>79.897529602000006</v>
      </c>
      <c r="E277">
        <v>50</v>
      </c>
      <c r="F277">
        <v>14.932829857</v>
      </c>
      <c r="G277">
        <v>1868.222168</v>
      </c>
      <c r="H277">
        <v>1741.5975341999999</v>
      </c>
      <c r="I277">
        <v>543.66693114999998</v>
      </c>
      <c r="J277">
        <v>148.49397278000001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69.221986000000001</v>
      </c>
      <c r="B278" s="1">
        <f>DATE(2010,7,9) + TIME(5,19,39)</f>
        <v>40368.221979166665</v>
      </c>
      <c r="C278">
        <v>80</v>
      </c>
      <c r="D278">
        <v>79.897743224999999</v>
      </c>
      <c r="E278">
        <v>50</v>
      </c>
      <c r="F278">
        <v>14.933267593</v>
      </c>
      <c r="G278">
        <v>1867.6721190999999</v>
      </c>
      <c r="H278">
        <v>1741.0484618999999</v>
      </c>
      <c r="I278">
        <v>543.72851562000005</v>
      </c>
      <c r="J278">
        <v>148.55996704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69.990487999999999</v>
      </c>
      <c r="B279" s="1">
        <f>DATE(2010,7,9) + TIME(23,46,18)</f>
        <v>40368.990486111114</v>
      </c>
      <c r="C279">
        <v>80</v>
      </c>
      <c r="D279">
        <v>79.897895813000005</v>
      </c>
      <c r="E279">
        <v>50</v>
      </c>
      <c r="F279">
        <v>14.93373394</v>
      </c>
      <c r="G279">
        <v>1867.0994873</v>
      </c>
      <c r="H279">
        <v>1740.4769286999999</v>
      </c>
      <c r="I279">
        <v>543.79583739999998</v>
      </c>
      <c r="J279">
        <v>148.63197327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70.764570000000006</v>
      </c>
      <c r="B280" s="1">
        <f>DATE(2010,7,10) + TIME(18,20,58)</f>
        <v>40369.764560185184</v>
      </c>
      <c r="C280">
        <v>80</v>
      </c>
      <c r="D280">
        <v>79.898025512999993</v>
      </c>
      <c r="E280">
        <v>50</v>
      </c>
      <c r="F280">
        <v>14.934214592</v>
      </c>
      <c r="G280">
        <v>1866.5126952999999</v>
      </c>
      <c r="H280">
        <v>1739.8911132999999</v>
      </c>
      <c r="I280">
        <v>543.86859131000006</v>
      </c>
      <c r="J280">
        <v>148.70957946999999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71.545634000000007</v>
      </c>
      <c r="B281" s="1">
        <f>DATE(2010,7,11) + TIME(13,5,42)</f>
        <v>40370.545624999999</v>
      </c>
      <c r="C281">
        <v>80</v>
      </c>
      <c r="D281">
        <v>79.898155212000006</v>
      </c>
      <c r="E281">
        <v>50</v>
      </c>
      <c r="F281">
        <v>14.934702873000001</v>
      </c>
      <c r="G281">
        <v>1865.9165039</v>
      </c>
      <c r="H281">
        <v>1739.2958983999999</v>
      </c>
      <c r="I281">
        <v>543.94683838000003</v>
      </c>
      <c r="J281">
        <v>148.79275512999999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72.335010999999994</v>
      </c>
      <c r="B282" s="1">
        <f>DATE(2010,7,12) + TIME(8,2,24)</f>
        <v>40371.334999999999</v>
      </c>
      <c r="C282">
        <v>80</v>
      </c>
      <c r="D282">
        <v>79.898284911999994</v>
      </c>
      <c r="E282">
        <v>50</v>
      </c>
      <c r="F282">
        <v>14.935194968999999</v>
      </c>
      <c r="G282">
        <v>1865.3129882999999</v>
      </c>
      <c r="H282">
        <v>1738.6933594</v>
      </c>
      <c r="I282">
        <v>544.03070068</v>
      </c>
      <c r="J282">
        <v>148.88157654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73.134034</v>
      </c>
      <c r="B283" s="1">
        <f>DATE(2010,7,13) + TIME(3,13,0)</f>
        <v>40372.134027777778</v>
      </c>
      <c r="C283">
        <v>80</v>
      </c>
      <c r="D283">
        <v>79.898429871000005</v>
      </c>
      <c r="E283">
        <v>50</v>
      </c>
      <c r="F283">
        <v>14.935689926</v>
      </c>
      <c r="G283">
        <v>1864.7026367000001</v>
      </c>
      <c r="H283">
        <v>1738.0839844</v>
      </c>
      <c r="I283">
        <v>544.12036133000004</v>
      </c>
      <c r="J283">
        <v>148.97624207000001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73.941134000000005</v>
      </c>
      <c r="B284" s="1">
        <f>DATE(2010,7,13) + TIME(22,35,13)</f>
        <v>40372.941122685188</v>
      </c>
      <c r="C284">
        <v>80</v>
      </c>
      <c r="D284">
        <v>79.898574828999998</v>
      </c>
      <c r="E284">
        <v>50</v>
      </c>
      <c r="F284">
        <v>14.936188698</v>
      </c>
      <c r="G284">
        <v>1864.0871582</v>
      </c>
      <c r="H284">
        <v>1737.4693603999999</v>
      </c>
      <c r="I284">
        <v>544.21563720999995</v>
      </c>
      <c r="J284">
        <v>149.07659912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74.753894000000003</v>
      </c>
      <c r="B285" s="1">
        <f>DATE(2010,7,14) + TIME(18,5,36)</f>
        <v>40373.753888888888</v>
      </c>
      <c r="C285">
        <v>80</v>
      </c>
      <c r="D285">
        <v>79.898719787999994</v>
      </c>
      <c r="E285">
        <v>50</v>
      </c>
      <c r="F285">
        <v>14.936688423</v>
      </c>
      <c r="G285">
        <v>1863.4682617000001</v>
      </c>
      <c r="H285">
        <v>1736.8513184000001</v>
      </c>
      <c r="I285">
        <v>544.31634521000001</v>
      </c>
      <c r="J285">
        <v>149.18232727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75.573689999999999</v>
      </c>
      <c r="B286" s="1">
        <f>DATE(2010,7,15) + TIME(13,46,6)</f>
        <v>40374.573680555557</v>
      </c>
      <c r="C286">
        <v>80</v>
      </c>
      <c r="D286">
        <v>79.898872374999996</v>
      </c>
      <c r="E286">
        <v>50</v>
      </c>
      <c r="F286">
        <v>14.937189102</v>
      </c>
      <c r="G286">
        <v>1862.8457031</v>
      </c>
      <c r="H286">
        <v>1736.2297363</v>
      </c>
      <c r="I286">
        <v>544.42242432</v>
      </c>
      <c r="J286">
        <v>149.29354857999999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76.399264000000002</v>
      </c>
      <c r="B287" s="1">
        <f>DATE(2010,7,16) + TIME(9,34,56)</f>
        <v>40375.399259259262</v>
      </c>
      <c r="C287">
        <v>80</v>
      </c>
      <c r="D287">
        <v>79.899024963000002</v>
      </c>
      <c r="E287">
        <v>50</v>
      </c>
      <c r="F287">
        <v>14.937690735</v>
      </c>
      <c r="G287">
        <v>1862.2207031</v>
      </c>
      <c r="H287">
        <v>1735.6054687999999</v>
      </c>
      <c r="I287">
        <v>544.53381348000005</v>
      </c>
      <c r="J287">
        <v>149.41001892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77.228418000000005</v>
      </c>
      <c r="B288" s="1">
        <f>DATE(2010,7,17) + TIME(5,28,55)</f>
        <v>40376.228414351855</v>
      </c>
      <c r="C288">
        <v>80</v>
      </c>
      <c r="D288">
        <v>79.899177550999994</v>
      </c>
      <c r="E288">
        <v>50</v>
      </c>
      <c r="F288">
        <v>14.938192367999999</v>
      </c>
      <c r="G288">
        <v>1861.5946045000001</v>
      </c>
      <c r="H288">
        <v>1734.9802245999999</v>
      </c>
      <c r="I288">
        <v>544.65002441000001</v>
      </c>
      <c r="J288">
        <v>149.53135681000001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78.062830000000005</v>
      </c>
      <c r="B289" s="1">
        <f>DATE(2010,7,18) + TIME(1,30,28)</f>
        <v>40377.062824074077</v>
      </c>
      <c r="C289">
        <v>80</v>
      </c>
      <c r="D289">
        <v>79.899330139</v>
      </c>
      <c r="E289">
        <v>50</v>
      </c>
      <c r="F289">
        <v>14.938694</v>
      </c>
      <c r="G289">
        <v>1860.9669189000001</v>
      </c>
      <c r="H289">
        <v>1734.3532714999999</v>
      </c>
      <c r="I289">
        <v>544.77124022999999</v>
      </c>
      <c r="J289">
        <v>149.65768433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78.903358999999995</v>
      </c>
      <c r="B290" s="1">
        <f>DATE(2010,7,18) + TIME(21,40,50)</f>
        <v>40377.903356481482</v>
      </c>
      <c r="C290">
        <v>80</v>
      </c>
      <c r="D290">
        <v>79.899490356000001</v>
      </c>
      <c r="E290">
        <v>50</v>
      </c>
      <c r="F290">
        <v>14.939195633000001</v>
      </c>
      <c r="G290">
        <v>1860.3372803</v>
      </c>
      <c r="H290">
        <v>1733.7244873</v>
      </c>
      <c r="I290">
        <v>544.89746093999997</v>
      </c>
      <c r="J290">
        <v>149.78903198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79.746409999999997</v>
      </c>
      <c r="B291" s="1">
        <f>DATE(2010,7,19) + TIME(17,54,49)</f>
        <v>40378.746400462966</v>
      </c>
      <c r="C291">
        <v>80</v>
      </c>
      <c r="D291">
        <v>79.899642943999993</v>
      </c>
      <c r="E291">
        <v>50</v>
      </c>
      <c r="F291">
        <v>14.939696312000001</v>
      </c>
      <c r="G291">
        <v>1859.7080077999999</v>
      </c>
      <c r="H291">
        <v>1733.0959473</v>
      </c>
      <c r="I291">
        <v>545.02807616999996</v>
      </c>
      <c r="J291">
        <v>149.92478943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80.593474999999998</v>
      </c>
      <c r="B292" s="1">
        <f>DATE(2010,7,20) + TIME(14,14,36)</f>
        <v>40379.593472222223</v>
      </c>
      <c r="C292">
        <v>80</v>
      </c>
      <c r="D292">
        <v>79.899803161999998</v>
      </c>
      <c r="E292">
        <v>50</v>
      </c>
      <c r="F292">
        <v>14.940196037</v>
      </c>
      <c r="G292">
        <v>1859.0783690999999</v>
      </c>
      <c r="H292">
        <v>1732.4670410000001</v>
      </c>
      <c r="I292">
        <v>545.16314696999996</v>
      </c>
      <c r="J292">
        <v>150.06504821999999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81.444175000000001</v>
      </c>
      <c r="B293" s="1">
        <f>DATE(2010,7,21) + TIME(10,39,36)</f>
        <v>40380.444166666668</v>
      </c>
      <c r="C293">
        <v>80</v>
      </c>
      <c r="D293">
        <v>79.899963378999999</v>
      </c>
      <c r="E293">
        <v>50</v>
      </c>
      <c r="F293">
        <v>14.940694809</v>
      </c>
      <c r="G293">
        <v>1858.4488524999999</v>
      </c>
      <c r="H293">
        <v>1731.8382568</v>
      </c>
      <c r="I293">
        <v>545.30261229999996</v>
      </c>
      <c r="J293">
        <v>150.20964050000001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82.299634999999995</v>
      </c>
      <c r="B294" s="1">
        <f>DATE(2010,7,22) + TIME(7,11,28)</f>
        <v>40381.299629629626</v>
      </c>
      <c r="C294">
        <v>80</v>
      </c>
      <c r="D294">
        <v>79.900115967000005</v>
      </c>
      <c r="E294">
        <v>50</v>
      </c>
      <c r="F294">
        <v>14.941193581</v>
      </c>
      <c r="G294">
        <v>1857.8188477000001</v>
      </c>
      <c r="H294">
        <v>1731.2088623</v>
      </c>
      <c r="I294">
        <v>545.44653319999998</v>
      </c>
      <c r="J294">
        <v>150.35865784000001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83.161310999999998</v>
      </c>
      <c r="B295" s="1">
        <f>DATE(2010,7,23) + TIME(3,52,17)</f>
        <v>40382.161307870374</v>
      </c>
      <c r="C295">
        <v>80</v>
      </c>
      <c r="D295">
        <v>79.900276184000006</v>
      </c>
      <c r="E295">
        <v>50</v>
      </c>
      <c r="F295">
        <v>14.941691399</v>
      </c>
      <c r="G295">
        <v>1857.1876221</v>
      </c>
      <c r="H295">
        <v>1730.5783690999999</v>
      </c>
      <c r="I295">
        <v>545.59497069999998</v>
      </c>
      <c r="J295">
        <v>150.51225281000001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84.026731999999996</v>
      </c>
      <c r="B296" s="1">
        <f>DATE(2010,7,24) + TIME(0,38,29)</f>
        <v>40383.026724537034</v>
      </c>
      <c r="C296">
        <v>80</v>
      </c>
      <c r="D296">
        <v>79.900436400999993</v>
      </c>
      <c r="E296">
        <v>50</v>
      </c>
      <c r="F296">
        <v>14.942189216999999</v>
      </c>
      <c r="G296">
        <v>1856.5566406</v>
      </c>
      <c r="H296">
        <v>1729.9481201000001</v>
      </c>
      <c r="I296">
        <v>545.74755859000004</v>
      </c>
      <c r="J296">
        <v>150.66995238999999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84.896906999999999</v>
      </c>
      <c r="B297" s="1">
        <f>DATE(2010,7,24) + TIME(21,31,32)</f>
        <v>40383.896898148145</v>
      </c>
      <c r="C297">
        <v>80</v>
      </c>
      <c r="D297">
        <v>79.900596618999998</v>
      </c>
      <c r="E297">
        <v>50</v>
      </c>
      <c r="F297">
        <v>14.942686081</v>
      </c>
      <c r="G297">
        <v>1855.9254149999999</v>
      </c>
      <c r="H297">
        <v>1729.3175048999999</v>
      </c>
      <c r="I297">
        <v>545.90429687999995</v>
      </c>
      <c r="J297">
        <v>150.83183288999999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85.771386000000007</v>
      </c>
      <c r="B298" s="1">
        <f>DATE(2010,7,25) + TIME(18,30,47)</f>
        <v>40384.771377314813</v>
      </c>
      <c r="C298">
        <v>80</v>
      </c>
      <c r="D298">
        <v>79.900764464999995</v>
      </c>
      <c r="E298">
        <v>50</v>
      </c>
      <c r="F298">
        <v>14.943182945</v>
      </c>
      <c r="G298">
        <v>1855.2941894999999</v>
      </c>
      <c r="H298">
        <v>1728.6868896000001</v>
      </c>
      <c r="I298">
        <v>546.06500243999994</v>
      </c>
      <c r="J298">
        <v>150.99774170000001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86.647184999999993</v>
      </c>
      <c r="B299" s="1">
        <f>DATE(2010,7,26) + TIME(15,31,56)</f>
        <v>40385.647175925929</v>
      </c>
      <c r="C299">
        <v>80</v>
      </c>
      <c r="D299">
        <v>79.900924683</v>
      </c>
      <c r="E299">
        <v>50</v>
      </c>
      <c r="F299">
        <v>14.943677901999999</v>
      </c>
      <c r="G299">
        <v>1854.6647949000001</v>
      </c>
      <c r="H299">
        <v>1728.0581055</v>
      </c>
      <c r="I299">
        <v>546.22918701000003</v>
      </c>
      <c r="J299">
        <v>151.16702271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87.525987000000001</v>
      </c>
      <c r="B300" s="1">
        <f>DATE(2010,7,27) + TIME(12,37,25)</f>
        <v>40386.525983796295</v>
      </c>
      <c r="C300">
        <v>80</v>
      </c>
      <c r="D300">
        <v>79.901084900000001</v>
      </c>
      <c r="E300">
        <v>50</v>
      </c>
      <c r="F300">
        <v>14.944171905999999</v>
      </c>
      <c r="G300">
        <v>1854.0363769999999</v>
      </c>
      <c r="H300">
        <v>1727.4301757999999</v>
      </c>
      <c r="I300">
        <v>546.39697265999996</v>
      </c>
      <c r="J300">
        <v>151.33993530000001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88.409361000000004</v>
      </c>
      <c r="B301" s="1">
        <f>DATE(2010,7,28) + TIME(9,49,28)</f>
        <v>40387.409351851849</v>
      </c>
      <c r="C301">
        <v>80</v>
      </c>
      <c r="D301">
        <v>79.901245117000002</v>
      </c>
      <c r="E301">
        <v>50</v>
      </c>
      <c r="F301">
        <v>14.944664001</v>
      </c>
      <c r="G301">
        <v>1853.4082031</v>
      </c>
      <c r="H301">
        <v>1726.8026123</v>
      </c>
      <c r="I301">
        <v>546.56854248000002</v>
      </c>
      <c r="J301">
        <v>151.51667785999999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89.298997999999997</v>
      </c>
      <c r="B302" s="1">
        <f>DATE(2010,7,29) + TIME(7,10,33)</f>
        <v>40388.298993055556</v>
      </c>
      <c r="C302">
        <v>80</v>
      </c>
      <c r="D302">
        <v>79.901405334000003</v>
      </c>
      <c r="E302">
        <v>50</v>
      </c>
      <c r="F302">
        <v>14.945157051000001</v>
      </c>
      <c r="G302">
        <v>1852.7795410000001</v>
      </c>
      <c r="H302">
        <v>1726.1744385</v>
      </c>
      <c r="I302">
        <v>546.74432373000002</v>
      </c>
      <c r="J302">
        <v>151.69755554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90.196909000000005</v>
      </c>
      <c r="B303" s="1">
        <f>DATE(2010,7,30) + TIME(4,43,32)</f>
        <v>40389.196898148148</v>
      </c>
      <c r="C303">
        <v>80</v>
      </c>
      <c r="D303">
        <v>79.901573181000003</v>
      </c>
      <c r="E303">
        <v>50</v>
      </c>
      <c r="F303">
        <v>14.945650101</v>
      </c>
      <c r="G303">
        <v>1852.1490478999999</v>
      </c>
      <c r="H303">
        <v>1725.5445557</v>
      </c>
      <c r="I303">
        <v>546.92456055000002</v>
      </c>
      <c r="J303">
        <v>151.88293457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91.105448999999993</v>
      </c>
      <c r="B304" s="1">
        <f>DATE(2010,7,31) + TIME(2,31,50)</f>
        <v>40390.105439814812</v>
      </c>
      <c r="C304">
        <v>80</v>
      </c>
      <c r="D304">
        <v>79.901741028000004</v>
      </c>
      <c r="E304">
        <v>50</v>
      </c>
      <c r="F304">
        <v>14.946145058000001</v>
      </c>
      <c r="G304">
        <v>1851.515625</v>
      </c>
      <c r="H304">
        <v>1724.9116211</v>
      </c>
      <c r="I304">
        <v>547.10968018000005</v>
      </c>
      <c r="J304">
        <v>152.07325745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92</v>
      </c>
      <c r="B305" s="1">
        <f>DATE(2010,8,1) + TIME(0,0,0)</f>
        <v>40391</v>
      </c>
      <c r="C305">
        <v>80</v>
      </c>
      <c r="D305">
        <v>79.901893615999995</v>
      </c>
      <c r="E305">
        <v>50</v>
      </c>
      <c r="F305">
        <v>14.9466362</v>
      </c>
      <c r="G305">
        <v>1850.8918457</v>
      </c>
      <c r="H305">
        <v>1724.2884521000001</v>
      </c>
      <c r="I305">
        <v>547.29479979999996</v>
      </c>
      <c r="J305">
        <v>152.26351929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92.913066000000001</v>
      </c>
      <c r="B306" s="1">
        <f>DATE(2010,8,1) + TIME(21,54,48)</f>
        <v>40391.913055555553</v>
      </c>
      <c r="C306">
        <v>80</v>
      </c>
      <c r="D306">
        <v>79.902061462000006</v>
      </c>
      <c r="E306">
        <v>50</v>
      </c>
      <c r="F306">
        <v>14.947128296000001</v>
      </c>
      <c r="G306">
        <v>1850.2613524999999</v>
      </c>
      <c r="H306">
        <v>1723.6584473</v>
      </c>
      <c r="I306">
        <v>547.48632812000005</v>
      </c>
      <c r="J306">
        <v>152.46018982000001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93.828776000000005</v>
      </c>
      <c r="B307" s="1">
        <f>DATE(2010,8,2) + TIME(19,53,26)</f>
        <v>40392.828773148147</v>
      </c>
      <c r="C307">
        <v>80</v>
      </c>
      <c r="D307">
        <v>79.902229309000006</v>
      </c>
      <c r="E307">
        <v>50</v>
      </c>
      <c r="F307">
        <v>14.947620391999999</v>
      </c>
      <c r="G307">
        <v>1849.6324463000001</v>
      </c>
      <c r="H307">
        <v>1723.0299072</v>
      </c>
      <c r="I307">
        <v>547.68109131000006</v>
      </c>
      <c r="J307">
        <v>152.66014099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94.287983999999994</v>
      </c>
      <c r="B308" s="1">
        <f>DATE(2010,8,3) + TIME(6,54,41)</f>
        <v>40393.287974537037</v>
      </c>
      <c r="C308">
        <v>80</v>
      </c>
      <c r="D308">
        <v>79.902236938000001</v>
      </c>
      <c r="E308">
        <v>50</v>
      </c>
      <c r="F308">
        <v>14.947964667999999</v>
      </c>
      <c r="G308">
        <v>1849.2801514</v>
      </c>
      <c r="H308">
        <v>1722.6779785000001</v>
      </c>
      <c r="I308">
        <v>547.78179932</v>
      </c>
      <c r="J308">
        <v>152.76441955999999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94.747191999999998</v>
      </c>
      <c r="B309" s="1">
        <f>DATE(2010,8,3) + TIME(17,55,57)</f>
        <v>40393.747187499997</v>
      </c>
      <c r="C309">
        <v>80</v>
      </c>
      <c r="D309">
        <v>79.902259826999995</v>
      </c>
      <c r="E309">
        <v>50</v>
      </c>
      <c r="F309">
        <v>14.94826889</v>
      </c>
      <c r="G309">
        <v>1848.9243164</v>
      </c>
      <c r="H309">
        <v>1722.3222656</v>
      </c>
      <c r="I309">
        <v>547.88220215000001</v>
      </c>
      <c r="J309">
        <v>152.86807250999999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95.206401</v>
      </c>
      <c r="B310" s="1">
        <f>DATE(2010,8,4) + TIME(4,57,13)</f>
        <v>40394.206400462965</v>
      </c>
      <c r="C310">
        <v>80</v>
      </c>
      <c r="D310">
        <v>79.902320861999996</v>
      </c>
      <c r="E310">
        <v>50</v>
      </c>
      <c r="F310">
        <v>14.948549270999999</v>
      </c>
      <c r="G310">
        <v>1848.5767822</v>
      </c>
      <c r="H310">
        <v>1721.9748535000001</v>
      </c>
      <c r="I310">
        <v>547.98376465000001</v>
      </c>
      <c r="J310">
        <v>152.97256469999999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95.665609000000003</v>
      </c>
      <c r="B311" s="1">
        <f>DATE(2010,8,4) + TIME(15,58,28)</f>
        <v>40394.665601851855</v>
      </c>
      <c r="C311">
        <v>80</v>
      </c>
      <c r="D311">
        <v>79.902404785000002</v>
      </c>
      <c r="E311">
        <v>50</v>
      </c>
      <c r="F311">
        <v>14.948815346</v>
      </c>
      <c r="G311">
        <v>1848.237793</v>
      </c>
      <c r="H311">
        <v>1721.6362305</v>
      </c>
      <c r="I311">
        <v>548.08654784999999</v>
      </c>
      <c r="J311">
        <v>153.07817077999999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96.124816999999993</v>
      </c>
      <c r="B312" s="1">
        <f>DATE(2010,8,5) + TIME(2,59,44)</f>
        <v>40395.124814814815</v>
      </c>
      <c r="C312">
        <v>80</v>
      </c>
      <c r="D312">
        <v>79.902496338000006</v>
      </c>
      <c r="E312">
        <v>50</v>
      </c>
      <c r="F312">
        <v>14.949072837999999</v>
      </c>
      <c r="G312">
        <v>1847.9058838000001</v>
      </c>
      <c r="H312">
        <v>1721.3044434000001</v>
      </c>
      <c r="I312">
        <v>548.19061279000005</v>
      </c>
      <c r="J312">
        <v>153.18493652000001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96.584024999999997</v>
      </c>
      <c r="B313" s="1">
        <f>DATE(2010,8,5) + TIME(14,0,59)</f>
        <v>40395.584016203706</v>
      </c>
      <c r="C313">
        <v>80</v>
      </c>
      <c r="D313">
        <v>79.902595520000006</v>
      </c>
      <c r="E313">
        <v>50</v>
      </c>
      <c r="F313">
        <v>14.949325562</v>
      </c>
      <c r="G313">
        <v>1847.5792236</v>
      </c>
      <c r="H313">
        <v>1720.9780272999999</v>
      </c>
      <c r="I313">
        <v>548.29577637</v>
      </c>
      <c r="J313">
        <v>153.29273986999999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97.043233000000001</v>
      </c>
      <c r="B314" s="1">
        <f>DATE(2010,8,6) + TIME(1,2,15)</f>
        <v>40396.043229166666</v>
      </c>
      <c r="C314">
        <v>80</v>
      </c>
      <c r="D314">
        <v>79.902694702000005</v>
      </c>
      <c r="E314">
        <v>50</v>
      </c>
      <c r="F314">
        <v>14.949573516999999</v>
      </c>
      <c r="G314">
        <v>1847.2565918</v>
      </c>
      <c r="H314">
        <v>1720.6556396000001</v>
      </c>
      <c r="I314">
        <v>548.40185546999999</v>
      </c>
      <c r="J314">
        <v>153.40147400000001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97.502441000000005</v>
      </c>
      <c r="B315" s="1">
        <f>DATE(2010,8,6) + TIME(12,3,30)</f>
        <v>40396.502430555556</v>
      </c>
      <c r="C315">
        <v>80</v>
      </c>
      <c r="D315">
        <v>79.902793884000005</v>
      </c>
      <c r="E315">
        <v>50</v>
      </c>
      <c r="F315">
        <v>14.949819565</v>
      </c>
      <c r="G315">
        <v>1846.9372559000001</v>
      </c>
      <c r="H315">
        <v>1720.3365478999999</v>
      </c>
      <c r="I315">
        <v>548.50878906000003</v>
      </c>
      <c r="J315">
        <v>153.51103209999999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97.961648999999994</v>
      </c>
      <c r="B316" s="1">
        <f>DATE(2010,8,6) + TIME(23,4,46)</f>
        <v>40396.961643518516</v>
      </c>
      <c r="C316">
        <v>80</v>
      </c>
      <c r="D316">
        <v>79.902885436999995</v>
      </c>
      <c r="E316">
        <v>50</v>
      </c>
      <c r="F316">
        <v>14.950064659000001</v>
      </c>
      <c r="G316">
        <v>1846.6204834</v>
      </c>
      <c r="H316">
        <v>1720.0200195</v>
      </c>
      <c r="I316">
        <v>548.61651611000002</v>
      </c>
      <c r="J316">
        <v>153.62132263000001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98.880065999999999</v>
      </c>
      <c r="B317" s="1">
        <f>DATE(2010,8,7) + TIME(21,7,17)</f>
        <v>40397.880057870374</v>
      </c>
      <c r="C317">
        <v>80</v>
      </c>
      <c r="D317">
        <v>79.903167725000003</v>
      </c>
      <c r="E317">
        <v>50</v>
      </c>
      <c r="F317">
        <v>14.95041275</v>
      </c>
      <c r="G317">
        <v>1846.0622559000001</v>
      </c>
      <c r="H317">
        <v>1719.4622803</v>
      </c>
      <c r="I317">
        <v>548.82977295000001</v>
      </c>
      <c r="J317">
        <v>153.83830261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99.799356000000003</v>
      </c>
      <c r="B318" s="1">
        <f>DATE(2010,8,8) + TIME(19,11,4)</f>
        <v>40398.799351851849</v>
      </c>
      <c r="C318">
        <v>80</v>
      </c>
      <c r="D318">
        <v>79.903366089000002</v>
      </c>
      <c r="E318">
        <v>50</v>
      </c>
      <c r="F318">
        <v>14.950837135</v>
      </c>
      <c r="G318">
        <v>1845.4976807</v>
      </c>
      <c r="H318">
        <v>1718.8980713000001</v>
      </c>
      <c r="I318">
        <v>549.04461670000001</v>
      </c>
      <c r="J318">
        <v>154.05763245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100.726572</v>
      </c>
      <c r="B319" s="1">
        <f>DATE(2010,8,9) + TIME(17,26,15)</f>
        <v>40399.7265625</v>
      </c>
      <c r="C319">
        <v>80</v>
      </c>
      <c r="D319">
        <v>79.903533936000002</v>
      </c>
      <c r="E319">
        <v>50</v>
      </c>
      <c r="F319">
        <v>14.951294899000001</v>
      </c>
      <c r="G319">
        <v>1844.9161377</v>
      </c>
      <c r="H319">
        <v>1718.3170166</v>
      </c>
      <c r="I319">
        <v>549.26153564000003</v>
      </c>
      <c r="J319">
        <v>154.27938843000001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101.664064</v>
      </c>
      <c r="B320" s="1">
        <f>DATE(2010,8,10) + TIME(15,56,15)</f>
        <v>40400.6640625</v>
      </c>
      <c r="C320">
        <v>80</v>
      </c>
      <c r="D320">
        <v>79.903678893999995</v>
      </c>
      <c r="E320">
        <v>50</v>
      </c>
      <c r="F320">
        <v>14.951768875000001</v>
      </c>
      <c r="G320">
        <v>1844.3218993999999</v>
      </c>
      <c r="H320">
        <v>1717.7231445</v>
      </c>
      <c r="I320">
        <v>549.48168944999998</v>
      </c>
      <c r="J320">
        <v>154.50456238000001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102.614469</v>
      </c>
      <c r="B321" s="1">
        <f>DATE(2010,8,11) + TIME(14,44,50)</f>
        <v>40401.61446759259</v>
      </c>
      <c r="C321">
        <v>80</v>
      </c>
      <c r="D321">
        <v>79.903831482000001</v>
      </c>
      <c r="E321">
        <v>50</v>
      </c>
      <c r="F321">
        <v>14.952251434000001</v>
      </c>
      <c r="G321">
        <v>1843.7178954999999</v>
      </c>
      <c r="H321">
        <v>1717.1193848</v>
      </c>
      <c r="I321">
        <v>549.70642090000001</v>
      </c>
      <c r="J321">
        <v>154.73440552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103.576868</v>
      </c>
      <c r="B322" s="1">
        <f>DATE(2010,8,12) + TIME(13,50,41)</f>
        <v>40402.576863425929</v>
      </c>
      <c r="C322">
        <v>80</v>
      </c>
      <c r="D322">
        <v>79.903984070000007</v>
      </c>
      <c r="E322">
        <v>50</v>
      </c>
      <c r="F322">
        <v>14.952740669000001</v>
      </c>
      <c r="G322">
        <v>1843.1065673999999</v>
      </c>
      <c r="H322">
        <v>1716.5084228999999</v>
      </c>
      <c r="I322">
        <v>549.93597411999997</v>
      </c>
      <c r="J322">
        <v>154.96917725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104.058375</v>
      </c>
      <c r="B323" s="1">
        <f>DATE(2010,8,13) + TIME(1,24,3)</f>
        <v>40403.058368055557</v>
      </c>
      <c r="C323">
        <v>80</v>
      </c>
      <c r="D323">
        <v>79.903999329000001</v>
      </c>
      <c r="E323">
        <v>50</v>
      </c>
      <c r="F323">
        <v>14.95308876</v>
      </c>
      <c r="G323">
        <v>1842.7669678</v>
      </c>
      <c r="H323">
        <v>1716.1689452999999</v>
      </c>
      <c r="I323">
        <v>550.05419921999999</v>
      </c>
      <c r="J323">
        <v>155.09101867999999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104.539742</v>
      </c>
      <c r="B324" s="1">
        <f>DATE(2010,8,13) + TIME(12,57,13)</f>
        <v>40403.539733796293</v>
      </c>
      <c r="C324">
        <v>80</v>
      </c>
      <c r="D324">
        <v>79.904022217000005</v>
      </c>
      <c r="E324">
        <v>50</v>
      </c>
      <c r="F324">
        <v>14.953395843999999</v>
      </c>
      <c r="G324">
        <v>1842.4224853999999</v>
      </c>
      <c r="H324">
        <v>1715.824707</v>
      </c>
      <c r="I324">
        <v>550.17242432</v>
      </c>
      <c r="J324">
        <v>155.21250916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105.02110999999999</v>
      </c>
      <c r="B325" s="1">
        <f>DATE(2010,8,14) + TIME(0,30,23)</f>
        <v>40404.021099537036</v>
      </c>
      <c r="C325">
        <v>80</v>
      </c>
      <c r="D325">
        <v>79.904083252000007</v>
      </c>
      <c r="E325">
        <v>50</v>
      </c>
      <c r="F325">
        <v>14.953679084999999</v>
      </c>
      <c r="G325">
        <v>1842.0843506000001</v>
      </c>
      <c r="H325">
        <v>1715.4866943</v>
      </c>
      <c r="I325">
        <v>550.29211425999995</v>
      </c>
      <c r="J325">
        <v>155.33518982000001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105.502478</v>
      </c>
      <c r="B326" s="1">
        <f>DATE(2010,8,14) + TIME(12,3,34)</f>
        <v>40404.502476851849</v>
      </c>
      <c r="C326">
        <v>80</v>
      </c>
      <c r="D326">
        <v>79.904159546000002</v>
      </c>
      <c r="E326">
        <v>50</v>
      </c>
      <c r="F326">
        <v>14.953948974999999</v>
      </c>
      <c r="G326">
        <v>1841.7536620999999</v>
      </c>
      <c r="H326">
        <v>1715.1561279</v>
      </c>
      <c r="I326">
        <v>550.41333008000004</v>
      </c>
      <c r="J326">
        <v>155.45925903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105.983845</v>
      </c>
      <c r="B327" s="1">
        <f>DATE(2010,8,14) + TIME(23,36,44)</f>
        <v>40404.983842592592</v>
      </c>
      <c r="C327">
        <v>80</v>
      </c>
      <c r="D327">
        <v>79.904251099000007</v>
      </c>
      <c r="E327">
        <v>50</v>
      </c>
      <c r="F327">
        <v>14.954210281</v>
      </c>
      <c r="G327">
        <v>1841.4290771000001</v>
      </c>
      <c r="H327">
        <v>1714.8316649999999</v>
      </c>
      <c r="I327">
        <v>550.53594970999995</v>
      </c>
      <c r="J327">
        <v>155.58462524000001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106.46521300000001</v>
      </c>
      <c r="B328" s="1">
        <f>DATE(2010,8,15) + TIME(11,9,54)</f>
        <v>40405.465208333335</v>
      </c>
      <c r="C328">
        <v>80</v>
      </c>
      <c r="D328">
        <v>79.904342650999993</v>
      </c>
      <c r="E328">
        <v>50</v>
      </c>
      <c r="F328">
        <v>14.95446682</v>
      </c>
      <c r="G328">
        <v>1841.1092529</v>
      </c>
      <c r="H328">
        <v>1714.5119629000001</v>
      </c>
      <c r="I328">
        <v>550.65972899999997</v>
      </c>
      <c r="J328">
        <v>155.71110535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106.94658099999999</v>
      </c>
      <c r="B329" s="1">
        <f>DATE(2010,8,15) + TIME(22,43,4)</f>
        <v>40405.946574074071</v>
      </c>
      <c r="C329">
        <v>80</v>
      </c>
      <c r="D329">
        <v>79.904441833000007</v>
      </c>
      <c r="E329">
        <v>50</v>
      </c>
      <c r="F329">
        <v>14.954720497</v>
      </c>
      <c r="G329">
        <v>1840.7929687999999</v>
      </c>
      <c r="H329">
        <v>1714.1959228999999</v>
      </c>
      <c r="I329">
        <v>550.78448486000002</v>
      </c>
      <c r="J329">
        <v>155.83854675000001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107.427949</v>
      </c>
      <c r="B330" s="1">
        <f>DATE(2010,8,16) + TIME(10,16,14)</f>
        <v>40406.427939814814</v>
      </c>
      <c r="C330">
        <v>80</v>
      </c>
      <c r="D330">
        <v>79.904533385999997</v>
      </c>
      <c r="E330">
        <v>50</v>
      </c>
      <c r="F330">
        <v>14.954974174</v>
      </c>
      <c r="G330">
        <v>1840.4797363</v>
      </c>
      <c r="H330">
        <v>1713.8829346</v>
      </c>
      <c r="I330">
        <v>550.91009521000001</v>
      </c>
      <c r="J330">
        <v>155.96682738999999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107.909316</v>
      </c>
      <c r="B331" s="1">
        <f>DATE(2010,8,16) + TIME(21,49,24)</f>
        <v>40406.909305555557</v>
      </c>
      <c r="C331">
        <v>80</v>
      </c>
      <c r="D331">
        <v>79.904624939000001</v>
      </c>
      <c r="E331">
        <v>50</v>
      </c>
      <c r="F331">
        <v>14.955225945</v>
      </c>
      <c r="G331">
        <v>1840.1688231999999</v>
      </c>
      <c r="H331">
        <v>1713.5721435999999</v>
      </c>
      <c r="I331">
        <v>551.03637694999998</v>
      </c>
      <c r="J331">
        <v>156.09582520000001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108.39068399999999</v>
      </c>
      <c r="B332" s="1">
        <f>DATE(2010,8,17) + TIME(9,22,35)</f>
        <v>40407.390682870369</v>
      </c>
      <c r="C332">
        <v>80</v>
      </c>
      <c r="D332">
        <v>79.904716492000006</v>
      </c>
      <c r="E332">
        <v>50</v>
      </c>
      <c r="F332">
        <v>14.955478668</v>
      </c>
      <c r="G332">
        <v>1839.8601074000001</v>
      </c>
      <c r="H332">
        <v>1713.2635498</v>
      </c>
      <c r="I332">
        <v>551.16339111000002</v>
      </c>
      <c r="J332">
        <v>156.22547913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108.872052</v>
      </c>
      <c r="B333" s="1">
        <f>DATE(2010,8,17) + TIME(20,55,45)</f>
        <v>40407.872048611112</v>
      </c>
      <c r="C333">
        <v>80</v>
      </c>
      <c r="D333">
        <v>79.904808044000006</v>
      </c>
      <c r="E333">
        <v>50</v>
      </c>
      <c r="F333">
        <v>14.955730438</v>
      </c>
      <c r="G333">
        <v>1839.5531006000001</v>
      </c>
      <c r="H333">
        <v>1712.9566649999999</v>
      </c>
      <c r="I333">
        <v>551.29101562000005</v>
      </c>
      <c r="J333">
        <v>156.35572815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109.353419</v>
      </c>
      <c r="B334" s="1">
        <f>DATE(2010,8,18) + TIME(8,28,55)</f>
        <v>40408.353414351855</v>
      </c>
      <c r="C334">
        <v>80</v>
      </c>
      <c r="D334">
        <v>79.904899596999996</v>
      </c>
      <c r="E334">
        <v>50</v>
      </c>
      <c r="F334">
        <v>14.955983162000001</v>
      </c>
      <c r="G334">
        <v>1839.2476807</v>
      </c>
      <c r="H334">
        <v>1712.6514893000001</v>
      </c>
      <c r="I334">
        <v>551.41925048999997</v>
      </c>
      <c r="J334">
        <v>156.48658752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109.83478700000001</v>
      </c>
      <c r="B335" s="1">
        <f>DATE(2010,8,18) + TIME(20,2,5)</f>
        <v>40408.834780092591</v>
      </c>
      <c r="C335">
        <v>80</v>
      </c>
      <c r="D335">
        <v>79.904983521000005</v>
      </c>
      <c r="E335">
        <v>50</v>
      </c>
      <c r="F335">
        <v>14.956236839000001</v>
      </c>
      <c r="G335">
        <v>1838.9437256000001</v>
      </c>
      <c r="H335">
        <v>1712.3477783000001</v>
      </c>
      <c r="I335">
        <v>551.54797363</v>
      </c>
      <c r="J335">
        <v>156.61799622000001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110.31615499999999</v>
      </c>
      <c r="B336" s="1">
        <f>DATE(2010,8,19) + TIME(7,35,15)</f>
        <v>40409.316145833334</v>
      </c>
      <c r="C336">
        <v>80</v>
      </c>
      <c r="D336">
        <v>79.905067443999997</v>
      </c>
      <c r="E336">
        <v>50</v>
      </c>
      <c r="F336">
        <v>14.956490517000001</v>
      </c>
      <c r="G336">
        <v>1838.6412353999999</v>
      </c>
      <c r="H336">
        <v>1712.0452881000001</v>
      </c>
      <c r="I336">
        <v>551.67730713000003</v>
      </c>
      <c r="J336">
        <v>156.74996948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111.27889</v>
      </c>
      <c r="B337" s="1">
        <f>DATE(2010,8,20) + TIME(6,41,36)</f>
        <v>40410.27888888889</v>
      </c>
      <c r="C337">
        <v>80</v>
      </c>
      <c r="D337">
        <v>79.905319214000002</v>
      </c>
      <c r="E337">
        <v>50</v>
      </c>
      <c r="F337">
        <v>14.956851006000001</v>
      </c>
      <c r="G337">
        <v>1838.0999756000001</v>
      </c>
      <c r="H337">
        <v>1711.5043945</v>
      </c>
      <c r="I337">
        <v>551.93139647999999</v>
      </c>
      <c r="J337">
        <v>157.00785827999999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112.241991</v>
      </c>
      <c r="B338" s="1">
        <f>DATE(2010,8,21) + TIME(5,48,28)</f>
        <v>40411.241990740738</v>
      </c>
      <c r="C338">
        <v>80</v>
      </c>
      <c r="D338">
        <v>79.905509949000006</v>
      </c>
      <c r="E338">
        <v>50</v>
      </c>
      <c r="F338">
        <v>14.957300185999999</v>
      </c>
      <c r="G338">
        <v>1837.5541992000001</v>
      </c>
      <c r="H338">
        <v>1710.9589844</v>
      </c>
      <c r="I338">
        <v>552.18591308999999</v>
      </c>
      <c r="J338">
        <v>157.26701355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113.217175</v>
      </c>
      <c r="B339" s="1">
        <f>DATE(2010,8,22) + TIME(5,12,43)</f>
        <v>40412.217164351852</v>
      </c>
      <c r="C339">
        <v>80</v>
      </c>
      <c r="D339">
        <v>79.905670165999993</v>
      </c>
      <c r="E339">
        <v>50</v>
      </c>
      <c r="F339">
        <v>14.957790375</v>
      </c>
      <c r="G339">
        <v>1836.9910889</v>
      </c>
      <c r="H339">
        <v>1710.3961182</v>
      </c>
      <c r="I339">
        <v>552.44378661999997</v>
      </c>
      <c r="J339">
        <v>157.52993774000001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114.20736100000001</v>
      </c>
      <c r="B340" s="1">
        <f>DATE(2010,8,23) + TIME(4,58,36)</f>
        <v>40413.207361111112</v>
      </c>
      <c r="C340">
        <v>80</v>
      </c>
      <c r="D340">
        <v>79.905815125000004</v>
      </c>
      <c r="E340">
        <v>50</v>
      </c>
      <c r="F340">
        <v>14.958305359000001</v>
      </c>
      <c r="G340">
        <v>1836.4134521000001</v>
      </c>
      <c r="H340">
        <v>1709.8187256000001</v>
      </c>
      <c r="I340">
        <v>552.70715331999997</v>
      </c>
      <c r="J340">
        <v>157.79856873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114.708635</v>
      </c>
      <c r="B341" s="1">
        <f>DATE(2010,8,23) + TIME(17,0,26)</f>
        <v>40413.708634259259</v>
      </c>
      <c r="C341">
        <v>80</v>
      </c>
      <c r="D341">
        <v>79.905838012999993</v>
      </c>
      <c r="E341">
        <v>50</v>
      </c>
      <c r="F341">
        <v>14.958684921</v>
      </c>
      <c r="G341">
        <v>1836.0908202999999</v>
      </c>
      <c r="H341">
        <v>1709.4962158000001</v>
      </c>
      <c r="I341">
        <v>552.84466553000004</v>
      </c>
      <c r="J341">
        <v>157.93988037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115.20953799999999</v>
      </c>
      <c r="B342" s="1">
        <f>DATE(2010,8,24) + TIME(5,1,44)</f>
        <v>40414.209537037037</v>
      </c>
      <c r="C342">
        <v>80</v>
      </c>
      <c r="D342">
        <v>79.905868530000006</v>
      </c>
      <c r="E342">
        <v>50</v>
      </c>
      <c r="F342">
        <v>14.959022522</v>
      </c>
      <c r="G342">
        <v>1835.762207</v>
      </c>
      <c r="H342">
        <v>1709.1677245999999</v>
      </c>
      <c r="I342">
        <v>552.98284911999997</v>
      </c>
      <c r="J342">
        <v>158.08146667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115.710441</v>
      </c>
      <c r="B343" s="1">
        <f>DATE(2010,8,24) + TIME(17,3,2)</f>
        <v>40414.710439814815</v>
      </c>
      <c r="C343">
        <v>80</v>
      </c>
      <c r="D343">
        <v>79.905921935999999</v>
      </c>
      <c r="E343">
        <v>50</v>
      </c>
      <c r="F343">
        <v>14.959338188</v>
      </c>
      <c r="G343">
        <v>1835.4378661999999</v>
      </c>
      <c r="H343">
        <v>1708.8433838000001</v>
      </c>
      <c r="I343">
        <v>553.12304687999995</v>
      </c>
      <c r="J343">
        <v>158.22483826000001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116.21134499999999</v>
      </c>
      <c r="B344" s="1">
        <f>DATE(2010,8,25) + TIME(5,4,20)</f>
        <v>40415.211342592593</v>
      </c>
      <c r="C344">
        <v>80</v>
      </c>
      <c r="D344">
        <v>79.905998229999994</v>
      </c>
      <c r="E344">
        <v>50</v>
      </c>
      <c r="F344">
        <v>14.959641457</v>
      </c>
      <c r="G344">
        <v>1835.1192627</v>
      </c>
      <c r="H344">
        <v>1708.5249022999999</v>
      </c>
      <c r="I344">
        <v>553.26513671999999</v>
      </c>
      <c r="J344">
        <v>158.36997986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116.712248</v>
      </c>
      <c r="B345" s="1">
        <f>DATE(2010,8,25) + TIME(17,5,38)</f>
        <v>40415.712245370371</v>
      </c>
      <c r="C345">
        <v>80</v>
      </c>
      <c r="D345">
        <v>79.906082153</v>
      </c>
      <c r="E345">
        <v>50</v>
      </c>
      <c r="F345">
        <v>14.959939957</v>
      </c>
      <c r="G345">
        <v>1834.8056641000001</v>
      </c>
      <c r="H345">
        <v>1708.2114257999999</v>
      </c>
      <c r="I345">
        <v>553.40887451000003</v>
      </c>
      <c r="J345">
        <v>158.51667785999999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117.213151</v>
      </c>
      <c r="B346" s="1">
        <f>DATE(2010,8,26) + TIME(5,6,56)</f>
        <v>40416.213148148148</v>
      </c>
      <c r="C346">
        <v>80</v>
      </c>
      <c r="D346">
        <v>79.906173706000004</v>
      </c>
      <c r="E346">
        <v>50</v>
      </c>
      <c r="F346">
        <v>14.960237503</v>
      </c>
      <c r="G346">
        <v>1834.4959716999999</v>
      </c>
      <c r="H346">
        <v>1707.9019774999999</v>
      </c>
      <c r="I346">
        <v>553.55389404000005</v>
      </c>
      <c r="J346">
        <v>158.66467284999999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117.714055</v>
      </c>
      <c r="B347" s="1">
        <f>DATE(2010,8,26) + TIME(17,8,14)</f>
        <v>40416.714050925926</v>
      </c>
      <c r="C347">
        <v>80</v>
      </c>
      <c r="D347">
        <v>79.906265258999994</v>
      </c>
      <c r="E347">
        <v>50</v>
      </c>
      <c r="F347">
        <v>14.960536003</v>
      </c>
      <c r="G347">
        <v>1834.1894531</v>
      </c>
      <c r="H347">
        <v>1707.5955810999999</v>
      </c>
      <c r="I347">
        <v>553.70007324000005</v>
      </c>
      <c r="J347">
        <v>158.81376648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118.214958</v>
      </c>
      <c r="B348" s="1">
        <f>DATE(2010,8,27) + TIME(5,9,32)</f>
        <v>40417.214953703704</v>
      </c>
      <c r="C348">
        <v>80</v>
      </c>
      <c r="D348">
        <v>79.906349182</v>
      </c>
      <c r="E348">
        <v>50</v>
      </c>
      <c r="F348">
        <v>14.960836411000001</v>
      </c>
      <c r="G348">
        <v>1833.8854980000001</v>
      </c>
      <c r="H348">
        <v>1707.291626</v>
      </c>
      <c r="I348">
        <v>553.84722899999997</v>
      </c>
      <c r="J348">
        <v>158.96382141000001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118.715861</v>
      </c>
      <c r="B349" s="1">
        <f>DATE(2010,8,27) + TIME(17,10,50)</f>
        <v>40417.715856481482</v>
      </c>
      <c r="C349">
        <v>80</v>
      </c>
      <c r="D349">
        <v>79.906440735000004</v>
      </c>
      <c r="E349">
        <v>50</v>
      </c>
      <c r="F349">
        <v>14.961140632999999</v>
      </c>
      <c r="G349">
        <v>1833.5834961</v>
      </c>
      <c r="H349">
        <v>1706.9898682</v>
      </c>
      <c r="I349">
        <v>553.99523925999995</v>
      </c>
      <c r="J349">
        <v>159.11477661000001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119.216764</v>
      </c>
      <c r="B350" s="1">
        <f>DATE(2010,8,28) + TIME(5,12,8)</f>
        <v>40418.21675925926</v>
      </c>
      <c r="C350">
        <v>80</v>
      </c>
      <c r="D350">
        <v>79.906532287999994</v>
      </c>
      <c r="E350">
        <v>50</v>
      </c>
      <c r="F350">
        <v>14.961447716</v>
      </c>
      <c r="G350">
        <v>1833.2834473</v>
      </c>
      <c r="H350">
        <v>1706.6899414</v>
      </c>
      <c r="I350">
        <v>554.14404296999999</v>
      </c>
      <c r="J350">
        <v>159.26655579000001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119.717668</v>
      </c>
      <c r="B351" s="1">
        <f>DATE(2010,8,28) + TIME(17,13,26)</f>
        <v>40418.717662037037</v>
      </c>
      <c r="C351">
        <v>80</v>
      </c>
      <c r="D351">
        <v>79.906616210999999</v>
      </c>
      <c r="E351">
        <v>50</v>
      </c>
      <c r="F351">
        <v>14.961760521</v>
      </c>
      <c r="G351">
        <v>1832.9848632999999</v>
      </c>
      <c r="H351">
        <v>1706.3914795000001</v>
      </c>
      <c r="I351">
        <v>554.29370116999996</v>
      </c>
      <c r="J351">
        <v>159.41914367999999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120.218571</v>
      </c>
      <c r="B352" s="1">
        <f>DATE(2010,8,29) + TIME(5,14,44)</f>
        <v>40419.218564814815</v>
      </c>
      <c r="C352">
        <v>80</v>
      </c>
      <c r="D352">
        <v>79.906700134000005</v>
      </c>
      <c r="E352">
        <v>50</v>
      </c>
      <c r="F352">
        <v>14.962078094000001</v>
      </c>
      <c r="G352">
        <v>1832.6877440999999</v>
      </c>
      <c r="H352">
        <v>1706.0944824000001</v>
      </c>
      <c r="I352">
        <v>554.44409180000002</v>
      </c>
      <c r="J352">
        <v>159.57254028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120.71947400000001</v>
      </c>
      <c r="B353" s="1">
        <f>DATE(2010,8,29) + TIME(17,16,2)</f>
        <v>40419.719467592593</v>
      </c>
      <c r="C353">
        <v>80</v>
      </c>
      <c r="D353">
        <v>79.906791686999995</v>
      </c>
      <c r="E353">
        <v>50</v>
      </c>
      <c r="F353">
        <v>14.96240139</v>
      </c>
      <c r="G353">
        <v>1832.3919678</v>
      </c>
      <c r="H353">
        <v>1705.7988281</v>
      </c>
      <c r="I353">
        <v>554.59527588000003</v>
      </c>
      <c r="J353">
        <v>159.72676086000001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121.220378</v>
      </c>
      <c r="B354" s="1">
        <f>DATE(2010,8,30) + TIME(5,17,20)</f>
        <v>40420.220370370371</v>
      </c>
      <c r="C354">
        <v>80</v>
      </c>
      <c r="D354">
        <v>79.90687561</v>
      </c>
      <c r="E354">
        <v>50</v>
      </c>
      <c r="F354">
        <v>14.962731360999999</v>
      </c>
      <c r="G354">
        <v>1832.0974120999999</v>
      </c>
      <c r="H354">
        <v>1705.5043945</v>
      </c>
      <c r="I354">
        <v>554.74725341999999</v>
      </c>
      <c r="J354">
        <v>159.88180542000001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121.721281</v>
      </c>
      <c r="B355" s="1">
        <f>DATE(2010,8,30) + TIME(17,18,38)</f>
        <v>40420.721273148149</v>
      </c>
      <c r="C355">
        <v>80</v>
      </c>
      <c r="D355">
        <v>79.906951903999996</v>
      </c>
      <c r="E355">
        <v>50</v>
      </c>
      <c r="F355">
        <v>14.963067055</v>
      </c>
      <c r="G355">
        <v>1831.8039550999999</v>
      </c>
      <c r="H355">
        <v>1705.2110596</v>
      </c>
      <c r="I355">
        <v>554.90008545000001</v>
      </c>
      <c r="J355">
        <v>160.03768921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122.222184</v>
      </c>
      <c r="B356" s="1">
        <f>DATE(2010,8,31) + TIME(5,19,56)</f>
        <v>40421.222175925926</v>
      </c>
      <c r="C356">
        <v>80</v>
      </c>
      <c r="D356">
        <v>79.907035828000005</v>
      </c>
      <c r="E356">
        <v>50</v>
      </c>
      <c r="F356">
        <v>14.963409424</v>
      </c>
      <c r="G356">
        <v>1831.5115966999999</v>
      </c>
      <c r="H356">
        <v>1704.9188231999999</v>
      </c>
      <c r="I356">
        <v>555.05377196999996</v>
      </c>
      <c r="J356">
        <v>160.19444275000001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123</v>
      </c>
      <c r="B357" s="1">
        <f>DATE(2010,9,1) + TIME(0,0,0)</f>
        <v>40422</v>
      </c>
      <c r="C357">
        <v>80</v>
      </c>
      <c r="D357">
        <v>79.907203674000002</v>
      </c>
      <c r="E357">
        <v>50</v>
      </c>
      <c r="F357">
        <v>14.963850975</v>
      </c>
      <c r="G357">
        <v>1831.0828856999999</v>
      </c>
      <c r="H357">
        <v>1704.4902344</v>
      </c>
      <c r="I357">
        <v>555.28973388999998</v>
      </c>
      <c r="J357">
        <v>160.43444823999999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124.001807</v>
      </c>
      <c r="B358" s="1">
        <f>DATE(2010,9,2) + TIME(0,2,36)</f>
        <v>40423.001805555556</v>
      </c>
      <c r="C358">
        <v>80</v>
      </c>
      <c r="D358">
        <v>79.907417296999995</v>
      </c>
      <c r="E358">
        <v>50</v>
      </c>
      <c r="F358">
        <v>14.964422226</v>
      </c>
      <c r="G358">
        <v>1830.5557861</v>
      </c>
      <c r="H358">
        <v>1703.963501</v>
      </c>
      <c r="I358">
        <v>555.59039307</v>
      </c>
      <c r="J358">
        <v>160.74017334000001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125.015762</v>
      </c>
      <c r="B359" s="1">
        <f>DATE(2010,9,3) + TIME(0,22,41)</f>
        <v>40424.015752314815</v>
      </c>
      <c r="C359">
        <v>80</v>
      </c>
      <c r="D359">
        <v>79.907585143999995</v>
      </c>
      <c r="E359">
        <v>50</v>
      </c>
      <c r="F359">
        <v>14.965110779</v>
      </c>
      <c r="G359">
        <v>1830.0163574000001</v>
      </c>
      <c r="H359">
        <v>1703.4243164</v>
      </c>
      <c r="I359">
        <v>555.89569091999999</v>
      </c>
      <c r="J359">
        <v>161.05145264000001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125.532011</v>
      </c>
      <c r="B360" s="1">
        <f>DATE(2010,9,3) + TIME(12,46,5)</f>
        <v>40424.532002314816</v>
      </c>
      <c r="C360">
        <v>80</v>
      </c>
      <c r="D360">
        <v>79.907615661999998</v>
      </c>
      <c r="E360">
        <v>50</v>
      </c>
      <c r="F360">
        <v>14.965660095</v>
      </c>
      <c r="G360">
        <v>1829.7141113</v>
      </c>
      <c r="H360">
        <v>1703.1220702999999</v>
      </c>
      <c r="I360">
        <v>556.05773925999995</v>
      </c>
      <c r="J360">
        <v>161.21789551000001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126.04826</v>
      </c>
      <c r="B361" s="1">
        <f>DATE(2010,9,4) + TIME(1,9,29)</f>
        <v>40425.048252314817</v>
      </c>
      <c r="C361">
        <v>80</v>
      </c>
      <c r="D361">
        <v>79.907653808999996</v>
      </c>
      <c r="E361">
        <v>50</v>
      </c>
      <c r="F361">
        <v>14.966163634999999</v>
      </c>
      <c r="G361">
        <v>1829.4040527</v>
      </c>
      <c r="H361">
        <v>1702.8120117000001</v>
      </c>
      <c r="I361">
        <v>556.22100829999999</v>
      </c>
      <c r="J361">
        <v>161.38537597999999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126.564509</v>
      </c>
      <c r="B362" s="1">
        <f>DATE(2010,9,4) + TIME(13,32,53)</f>
        <v>40425.564502314817</v>
      </c>
      <c r="C362">
        <v>80</v>
      </c>
      <c r="D362">
        <v>79.907707213999998</v>
      </c>
      <c r="E362">
        <v>50</v>
      </c>
      <c r="F362">
        <v>14.966647148</v>
      </c>
      <c r="G362">
        <v>1829.0957031</v>
      </c>
      <c r="H362">
        <v>1702.5037841999999</v>
      </c>
      <c r="I362">
        <v>556.38690185999997</v>
      </c>
      <c r="J362">
        <v>161.55529784999999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127.080759</v>
      </c>
      <c r="B363" s="1">
        <f>DATE(2010,9,5) + TIME(1,56,17)</f>
        <v>40426.080752314818</v>
      </c>
      <c r="C363">
        <v>80</v>
      </c>
      <c r="D363">
        <v>79.907775878999999</v>
      </c>
      <c r="E363">
        <v>50</v>
      </c>
      <c r="F363">
        <v>14.967126845999999</v>
      </c>
      <c r="G363">
        <v>1828.7913818</v>
      </c>
      <c r="H363">
        <v>1702.1995850000001</v>
      </c>
      <c r="I363">
        <v>556.55517578000001</v>
      </c>
      <c r="J363">
        <v>161.72747802999999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127.597008</v>
      </c>
      <c r="B364" s="1">
        <f>DATE(2010,9,5) + TIME(14,19,41)</f>
        <v>40426.597002314818</v>
      </c>
      <c r="C364">
        <v>80</v>
      </c>
      <c r="D364">
        <v>79.907859802000004</v>
      </c>
      <c r="E364">
        <v>50</v>
      </c>
      <c r="F364">
        <v>14.967611313000001</v>
      </c>
      <c r="G364">
        <v>1828.4907227000001</v>
      </c>
      <c r="H364">
        <v>1701.8990478999999</v>
      </c>
      <c r="I364">
        <v>556.72534180000002</v>
      </c>
      <c r="J364">
        <v>161.90156554999999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128.113257</v>
      </c>
      <c r="B365" s="1">
        <f>DATE(2010,9,6) + TIME(2,43,5)</f>
        <v>40427.113252314812</v>
      </c>
      <c r="C365">
        <v>80</v>
      </c>
      <c r="D365">
        <v>79.907943725999999</v>
      </c>
      <c r="E365">
        <v>50</v>
      </c>
      <c r="F365">
        <v>14.968105316000001</v>
      </c>
      <c r="G365">
        <v>1828.1931152</v>
      </c>
      <c r="H365">
        <v>1701.6014404</v>
      </c>
      <c r="I365">
        <v>556.89715576000003</v>
      </c>
      <c r="J365">
        <v>162.07728577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128.62950599999999</v>
      </c>
      <c r="B366" s="1">
        <f>DATE(2010,9,6) + TIME(15,6,29)</f>
        <v>40427.629502314812</v>
      </c>
      <c r="C366">
        <v>80</v>
      </c>
      <c r="D366">
        <v>79.908027649000005</v>
      </c>
      <c r="E366">
        <v>50</v>
      </c>
      <c r="F366">
        <v>14.968614578</v>
      </c>
      <c r="G366">
        <v>1827.8979492000001</v>
      </c>
      <c r="H366">
        <v>1701.3063964999999</v>
      </c>
      <c r="I366">
        <v>557.07037353999999</v>
      </c>
      <c r="J366">
        <v>162.25448607999999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129.14575500000001</v>
      </c>
      <c r="B367" s="1">
        <f>DATE(2010,9,7) + TIME(3,29,53)</f>
        <v>40428.145752314813</v>
      </c>
      <c r="C367">
        <v>80</v>
      </c>
      <c r="D367">
        <v>79.908111571999996</v>
      </c>
      <c r="E367">
        <v>50</v>
      </c>
      <c r="F367">
        <v>14.969140053</v>
      </c>
      <c r="G367">
        <v>1827.6047363</v>
      </c>
      <c r="H367">
        <v>1701.0133057</v>
      </c>
      <c r="I367">
        <v>557.24493408000001</v>
      </c>
      <c r="J367">
        <v>162.43307494999999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129.66200499999999</v>
      </c>
      <c r="B368" s="1">
        <f>DATE(2010,9,7) + TIME(15,53,17)</f>
        <v>40428.662002314813</v>
      </c>
      <c r="C368">
        <v>80</v>
      </c>
      <c r="D368">
        <v>79.908195496000005</v>
      </c>
      <c r="E368">
        <v>50</v>
      </c>
      <c r="F368">
        <v>14.969683647</v>
      </c>
      <c r="G368">
        <v>1827.3133545000001</v>
      </c>
      <c r="H368">
        <v>1700.7220459</v>
      </c>
      <c r="I368">
        <v>557.42077637</v>
      </c>
      <c r="J368">
        <v>162.61300659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130.17726999999999</v>
      </c>
      <c r="B369" s="1">
        <f>DATE(2010,9,8) + TIME(4,15,16)</f>
        <v>40429.177268518521</v>
      </c>
      <c r="C369">
        <v>80</v>
      </c>
      <c r="D369">
        <v>79.908287048000005</v>
      </c>
      <c r="E369">
        <v>50</v>
      </c>
      <c r="F369">
        <v>14.970247269</v>
      </c>
      <c r="G369">
        <v>1827.0238036999999</v>
      </c>
      <c r="H369">
        <v>1700.4326172000001</v>
      </c>
      <c r="I369">
        <v>557.59753418000003</v>
      </c>
      <c r="J369">
        <v>162.79396057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130.690945</v>
      </c>
      <c r="B370" s="1">
        <f>DATE(2010,9,8) + TIME(16,34,57)</f>
        <v>40429.690937500003</v>
      </c>
      <c r="C370">
        <v>80</v>
      </c>
      <c r="D370">
        <v>79.908363342000001</v>
      </c>
      <c r="E370">
        <v>50</v>
      </c>
      <c r="F370">
        <v>14.970832825</v>
      </c>
      <c r="G370">
        <v>1826.7364502</v>
      </c>
      <c r="H370">
        <v>1700.1452637</v>
      </c>
      <c r="I370">
        <v>557.77496338000003</v>
      </c>
      <c r="J370">
        <v>162.97573853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131.20320699999999</v>
      </c>
      <c r="B371" s="1">
        <f>DATE(2010,9,9) + TIME(4,52,37)</f>
        <v>40430.203206018516</v>
      </c>
      <c r="C371">
        <v>80</v>
      </c>
      <c r="D371">
        <v>79.908447265999996</v>
      </c>
      <c r="E371">
        <v>50</v>
      </c>
      <c r="F371">
        <v>14.971439362</v>
      </c>
      <c r="G371">
        <v>1826.4509277</v>
      </c>
      <c r="H371">
        <v>1699.8599853999999</v>
      </c>
      <c r="I371">
        <v>557.95324706999997</v>
      </c>
      <c r="J371">
        <v>163.15841674999999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131.71419599999999</v>
      </c>
      <c r="B372" s="1">
        <f>DATE(2010,9,9) + TIME(17,8,26)</f>
        <v>40430.714189814818</v>
      </c>
      <c r="C372">
        <v>80</v>
      </c>
      <c r="D372">
        <v>79.908531189000001</v>
      </c>
      <c r="E372">
        <v>50</v>
      </c>
      <c r="F372">
        <v>14.97206974</v>
      </c>
      <c r="G372">
        <v>1826.1672363</v>
      </c>
      <c r="H372">
        <v>1699.5762939000001</v>
      </c>
      <c r="I372">
        <v>558.13244628999996</v>
      </c>
      <c r="J372">
        <v>163.34210204999999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132.22406599999999</v>
      </c>
      <c r="B373" s="1">
        <f>DATE(2010,9,10) + TIME(5,22,39)</f>
        <v>40431.224062499998</v>
      </c>
      <c r="C373">
        <v>80</v>
      </c>
      <c r="D373">
        <v>79.908607482999997</v>
      </c>
      <c r="E373">
        <v>50</v>
      </c>
      <c r="F373">
        <v>14.972725867999999</v>
      </c>
      <c r="G373">
        <v>1825.8850098</v>
      </c>
      <c r="H373">
        <v>1699.2941894999999</v>
      </c>
      <c r="I373">
        <v>558.31256103999999</v>
      </c>
      <c r="J373">
        <v>163.52685546999999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133.24188899999999</v>
      </c>
      <c r="B374" s="1">
        <f>DATE(2010,9,11) + TIME(5,48,19)</f>
        <v>40432.241886574076</v>
      </c>
      <c r="C374">
        <v>80</v>
      </c>
      <c r="D374">
        <v>79.908836364999999</v>
      </c>
      <c r="E374">
        <v>50</v>
      </c>
      <c r="F374">
        <v>14.973684311</v>
      </c>
      <c r="G374">
        <v>1825.3719481999999</v>
      </c>
      <c r="H374">
        <v>1698.7813721</v>
      </c>
      <c r="I374">
        <v>558.65795897999999</v>
      </c>
      <c r="J374">
        <v>163.87937926999999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134.261022</v>
      </c>
      <c r="B375" s="1">
        <f>DATE(2010,9,12) + TIME(6,15,52)</f>
        <v>40433.261018518519</v>
      </c>
      <c r="C375">
        <v>80</v>
      </c>
      <c r="D375">
        <v>79.909019470000004</v>
      </c>
      <c r="E375">
        <v>50</v>
      </c>
      <c r="F375">
        <v>14.974964141999999</v>
      </c>
      <c r="G375">
        <v>1824.8580322</v>
      </c>
      <c r="H375">
        <v>1698.2675781</v>
      </c>
      <c r="I375">
        <v>559.0078125</v>
      </c>
      <c r="J375">
        <v>164.23780823000001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135.294591</v>
      </c>
      <c r="B376" s="1">
        <f>DATE(2010,9,13) + TIME(7,4,12)</f>
        <v>40434.294583333336</v>
      </c>
      <c r="C376">
        <v>80</v>
      </c>
      <c r="D376">
        <v>79.909172057999996</v>
      </c>
      <c r="E376">
        <v>50</v>
      </c>
      <c r="F376">
        <v>14.976463318</v>
      </c>
      <c r="G376">
        <v>1824.3294678</v>
      </c>
      <c r="H376">
        <v>1697.7392577999999</v>
      </c>
      <c r="I376">
        <v>559.36730956999997</v>
      </c>
      <c r="J376">
        <v>164.60728455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135.81887900000001</v>
      </c>
      <c r="B377" s="1">
        <f>DATE(2010,9,13) + TIME(19,39,11)</f>
        <v>40434.818877314814</v>
      </c>
      <c r="C377">
        <v>80</v>
      </c>
      <c r="D377">
        <v>79.909202575999998</v>
      </c>
      <c r="E377">
        <v>50</v>
      </c>
      <c r="F377">
        <v>14.977678299000001</v>
      </c>
      <c r="G377">
        <v>1824.0377197</v>
      </c>
      <c r="H377">
        <v>1697.4476318</v>
      </c>
      <c r="I377">
        <v>559.56359863</v>
      </c>
      <c r="J377">
        <v>164.81076049999999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136.33704700000001</v>
      </c>
      <c r="B378" s="1">
        <f>DATE(2010,9,14) + TIME(8,5,20)</f>
        <v>40435.337037037039</v>
      </c>
      <c r="C378">
        <v>80</v>
      </c>
      <c r="D378">
        <v>79.909240722999996</v>
      </c>
      <c r="E378">
        <v>50</v>
      </c>
      <c r="F378">
        <v>14.978798866</v>
      </c>
      <c r="G378">
        <v>1823.7421875</v>
      </c>
      <c r="H378">
        <v>1697.1519774999999</v>
      </c>
      <c r="I378">
        <v>559.75891113</v>
      </c>
      <c r="J378">
        <v>165.01347351000001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136.85472899999999</v>
      </c>
      <c r="B379" s="1">
        <f>DATE(2010,9,14) + TIME(20,30,48)</f>
        <v>40435.854722222219</v>
      </c>
      <c r="C379">
        <v>80</v>
      </c>
      <c r="D379">
        <v>79.909294127999999</v>
      </c>
      <c r="E379">
        <v>50</v>
      </c>
      <c r="F379">
        <v>14.979890823</v>
      </c>
      <c r="G379">
        <v>1823.4481201000001</v>
      </c>
      <c r="H379">
        <v>1696.8580322</v>
      </c>
      <c r="I379">
        <v>559.95751953000001</v>
      </c>
      <c r="J379">
        <v>165.21922301999999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137.37129300000001</v>
      </c>
      <c r="B380" s="1">
        <f>DATE(2010,9,15) + TIME(8,54,39)</f>
        <v>40436.37128472222</v>
      </c>
      <c r="C380">
        <v>80</v>
      </c>
      <c r="D380">
        <v>79.909362793</v>
      </c>
      <c r="E380">
        <v>50</v>
      </c>
      <c r="F380">
        <v>14.980987549</v>
      </c>
      <c r="G380">
        <v>1823.1580810999999</v>
      </c>
      <c r="H380">
        <v>1696.5679932</v>
      </c>
      <c r="I380">
        <v>560.15869140999996</v>
      </c>
      <c r="J380">
        <v>165.42741394000001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137.88667100000001</v>
      </c>
      <c r="B381" s="1">
        <f>DATE(2010,9,15) + TIME(21,16,48)</f>
        <v>40436.886666666665</v>
      </c>
      <c r="C381">
        <v>80</v>
      </c>
      <c r="D381">
        <v>79.909439086999996</v>
      </c>
      <c r="E381">
        <v>50</v>
      </c>
      <c r="F381">
        <v>14.982110023000001</v>
      </c>
      <c r="G381">
        <v>1822.8720702999999</v>
      </c>
      <c r="H381">
        <v>1696.2821045000001</v>
      </c>
      <c r="I381">
        <v>560.36181640999996</v>
      </c>
      <c r="J381">
        <v>165.63760375999999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138.40083000000001</v>
      </c>
      <c r="B382" s="1">
        <f>DATE(2010,9,16) + TIME(9,37,11)</f>
        <v>40437.400821759256</v>
      </c>
      <c r="C382">
        <v>80</v>
      </c>
      <c r="D382">
        <v>79.909515381000006</v>
      </c>
      <c r="E382">
        <v>50</v>
      </c>
      <c r="F382">
        <v>14.983271599</v>
      </c>
      <c r="G382">
        <v>1822.5894774999999</v>
      </c>
      <c r="H382">
        <v>1695.9996338000001</v>
      </c>
      <c r="I382">
        <v>560.56652831999997</v>
      </c>
      <c r="J382">
        <v>165.84954834000001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138.91377600000001</v>
      </c>
      <c r="B383" s="1">
        <f>DATE(2010,9,16) + TIME(21,55,50)</f>
        <v>40437.913773148146</v>
      </c>
      <c r="C383">
        <v>80</v>
      </c>
      <c r="D383">
        <v>79.909599303999997</v>
      </c>
      <c r="E383">
        <v>50</v>
      </c>
      <c r="F383">
        <v>14.984479904000001</v>
      </c>
      <c r="G383">
        <v>1822.3099365</v>
      </c>
      <c r="H383">
        <v>1695.7200928</v>
      </c>
      <c r="I383">
        <v>560.77264404000005</v>
      </c>
      <c r="J383">
        <v>166.06315613000001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139.425544</v>
      </c>
      <c r="B384" s="1">
        <f>DATE(2010,9,17) + TIME(10,12,46)</f>
        <v>40438.425532407404</v>
      </c>
      <c r="C384">
        <v>80</v>
      </c>
      <c r="D384">
        <v>79.909683228000006</v>
      </c>
      <c r="E384">
        <v>50</v>
      </c>
      <c r="F384">
        <v>14.985743523</v>
      </c>
      <c r="G384">
        <v>1822.0328368999999</v>
      </c>
      <c r="H384">
        <v>1695.4431152</v>
      </c>
      <c r="I384">
        <v>560.98022461000005</v>
      </c>
      <c r="J384">
        <v>166.27839660999999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139.936193</v>
      </c>
      <c r="B385" s="1">
        <f>DATE(2010,9,17) + TIME(22,28,7)</f>
        <v>40438.936192129629</v>
      </c>
      <c r="C385">
        <v>80</v>
      </c>
      <c r="D385">
        <v>79.909759520999998</v>
      </c>
      <c r="E385">
        <v>50</v>
      </c>
      <c r="F385">
        <v>14.987065315000001</v>
      </c>
      <c r="G385">
        <v>1821.7579346</v>
      </c>
      <c r="H385">
        <v>1695.1683350000001</v>
      </c>
      <c r="I385">
        <v>561.18914795000001</v>
      </c>
      <c r="J385">
        <v>166.49534607000001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140.44580300000001</v>
      </c>
      <c r="B386" s="1">
        <f>DATE(2010,9,18) + TIME(10,41,57)</f>
        <v>40439.445798611108</v>
      </c>
      <c r="C386">
        <v>80</v>
      </c>
      <c r="D386">
        <v>79.909843445000007</v>
      </c>
      <c r="E386">
        <v>50</v>
      </c>
      <c r="F386">
        <v>14.988451004</v>
      </c>
      <c r="G386">
        <v>1821.4849853999999</v>
      </c>
      <c r="H386">
        <v>1694.8955077999999</v>
      </c>
      <c r="I386">
        <v>561.39959716999999</v>
      </c>
      <c r="J386">
        <v>166.71408081000001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141.46313599999999</v>
      </c>
      <c r="B387" s="1">
        <f>DATE(2010,9,19) + TIME(11,6,54)</f>
        <v>40440.463125000002</v>
      </c>
      <c r="C387">
        <v>80</v>
      </c>
      <c r="D387">
        <v>79.910057068</v>
      </c>
      <c r="E387">
        <v>50</v>
      </c>
      <c r="F387">
        <v>14.990491866999999</v>
      </c>
      <c r="G387">
        <v>1820.9857178</v>
      </c>
      <c r="H387">
        <v>1694.3963623</v>
      </c>
      <c r="I387">
        <v>561.79479979999996</v>
      </c>
      <c r="J387">
        <v>167.12258911000001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142.480976</v>
      </c>
      <c r="B388" s="1">
        <f>DATE(2010,9,20) + TIME(11,32,36)</f>
        <v>40441.48097222222</v>
      </c>
      <c r="C388">
        <v>80</v>
      </c>
      <c r="D388">
        <v>79.910232543999996</v>
      </c>
      <c r="E388">
        <v>50</v>
      </c>
      <c r="F388">
        <v>14.993248940000001</v>
      </c>
      <c r="G388">
        <v>1820.4880370999999</v>
      </c>
      <c r="H388">
        <v>1693.8989257999999</v>
      </c>
      <c r="I388">
        <v>562.20123291000004</v>
      </c>
      <c r="J388">
        <v>167.54470825000001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143.50976399999999</v>
      </c>
      <c r="B389" s="1">
        <f>DATE(2010,9,21) + TIME(12,14,3)</f>
        <v>40442.509756944448</v>
      </c>
      <c r="C389">
        <v>80</v>
      </c>
      <c r="D389">
        <v>79.910385132000002</v>
      </c>
      <c r="E389">
        <v>50</v>
      </c>
      <c r="F389">
        <v>14.996513367</v>
      </c>
      <c r="G389">
        <v>1819.9792480000001</v>
      </c>
      <c r="H389">
        <v>1693.3902588000001</v>
      </c>
      <c r="I389">
        <v>562.62103271000001</v>
      </c>
      <c r="J389">
        <v>167.98329163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144.03085999999999</v>
      </c>
      <c r="B390" s="1">
        <f>DATE(2010,9,22) + TIME(0,44,26)</f>
        <v>40443.030856481484</v>
      </c>
      <c r="C390">
        <v>80</v>
      </c>
      <c r="D390">
        <v>79.910423279</v>
      </c>
      <c r="E390">
        <v>50</v>
      </c>
      <c r="F390">
        <v>14.999177933</v>
      </c>
      <c r="G390">
        <v>1819.7014160000001</v>
      </c>
      <c r="H390">
        <v>1693.1124268000001</v>
      </c>
      <c r="I390">
        <v>562.85980225000003</v>
      </c>
      <c r="J390">
        <v>168.23526000999999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144.547911</v>
      </c>
      <c r="B391" s="1">
        <f>DATE(2010,9,22) + TIME(13,8,59)</f>
        <v>40443.547905092593</v>
      </c>
      <c r="C391">
        <v>80</v>
      </c>
      <c r="D391">
        <v>79.910461425999998</v>
      </c>
      <c r="E391">
        <v>50</v>
      </c>
      <c r="F391">
        <v>15.001654625</v>
      </c>
      <c r="G391">
        <v>1819.4187012</v>
      </c>
      <c r="H391">
        <v>1692.8298339999999</v>
      </c>
      <c r="I391">
        <v>563.09466553000004</v>
      </c>
      <c r="J391">
        <v>168.48480225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145.06441599999999</v>
      </c>
      <c r="B392" s="1">
        <f>DATE(2010,9,23) + TIME(1,32,45)</f>
        <v>40444.064409722225</v>
      </c>
      <c r="C392">
        <v>80</v>
      </c>
      <c r="D392">
        <v>79.910514832000004</v>
      </c>
      <c r="E392">
        <v>50</v>
      </c>
      <c r="F392">
        <v>15.004080772</v>
      </c>
      <c r="G392">
        <v>1819.1369629000001</v>
      </c>
      <c r="H392">
        <v>1692.5480957</v>
      </c>
      <c r="I392">
        <v>563.33282470999995</v>
      </c>
      <c r="J392">
        <v>168.73725891000001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145.57983100000001</v>
      </c>
      <c r="B393" s="1">
        <f>DATE(2010,9,23) + TIME(13,54,57)</f>
        <v>40444.579826388886</v>
      </c>
      <c r="C393">
        <v>80</v>
      </c>
      <c r="D393">
        <v>79.910583496000001</v>
      </c>
      <c r="E393">
        <v>50</v>
      </c>
      <c r="F393">
        <v>15.006529808</v>
      </c>
      <c r="G393">
        <v>1818.8585204999999</v>
      </c>
      <c r="H393">
        <v>1692.2696533000001</v>
      </c>
      <c r="I393">
        <v>563.57385253999996</v>
      </c>
      <c r="J393">
        <v>168.99246216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146.09406100000001</v>
      </c>
      <c r="B394" s="1">
        <f>DATE(2010,9,24) + TIME(2,15,26)</f>
        <v>40445.094050925924</v>
      </c>
      <c r="C394">
        <v>80</v>
      </c>
      <c r="D394">
        <v>79.910652161000002</v>
      </c>
      <c r="E394">
        <v>50</v>
      </c>
      <c r="F394">
        <v>15.009046554999999</v>
      </c>
      <c r="G394">
        <v>1818.5836182</v>
      </c>
      <c r="H394">
        <v>1691.994751</v>
      </c>
      <c r="I394">
        <v>563.81726074000005</v>
      </c>
      <c r="J394">
        <v>169.25024414000001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146.60704899999999</v>
      </c>
      <c r="B395" s="1">
        <f>DATE(2010,9,24) + TIME(14,34,9)</f>
        <v>40445.607048611113</v>
      </c>
      <c r="C395">
        <v>80</v>
      </c>
      <c r="D395">
        <v>79.910728454999997</v>
      </c>
      <c r="E395">
        <v>50</v>
      </c>
      <c r="F395">
        <v>15.011658668999999</v>
      </c>
      <c r="G395">
        <v>1818.3117675999999</v>
      </c>
      <c r="H395">
        <v>1691.7230225000001</v>
      </c>
      <c r="I395">
        <v>564.06274413999995</v>
      </c>
      <c r="J395">
        <v>169.51060486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147.11878100000001</v>
      </c>
      <c r="B396" s="1">
        <f>DATE(2010,9,25) + TIME(2,51,2)</f>
        <v>40446.118773148148</v>
      </c>
      <c r="C396">
        <v>80</v>
      </c>
      <c r="D396">
        <v>79.910804748999993</v>
      </c>
      <c r="E396">
        <v>50</v>
      </c>
      <c r="F396">
        <v>15.014386177</v>
      </c>
      <c r="G396">
        <v>1818.0427245999999</v>
      </c>
      <c r="H396">
        <v>1691.4541016000001</v>
      </c>
      <c r="I396">
        <v>564.31036376999998</v>
      </c>
      <c r="J396">
        <v>169.77359009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147.629289</v>
      </c>
      <c r="B397" s="1">
        <f>DATE(2010,9,25) + TIME(15,6,10)</f>
        <v>40446.629282407404</v>
      </c>
      <c r="C397">
        <v>80</v>
      </c>
      <c r="D397">
        <v>79.910888671999999</v>
      </c>
      <c r="E397">
        <v>50</v>
      </c>
      <c r="F397">
        <v>15.017242432</v>
      </c>
      <c r="G397">
        <v>1817.7758789</v>
      </c>
      <c r="H397">
        <v>1691.1873779</v>
      </c>
      <c r="I397">
        <v>564.56005859000004</v>
      </c>
      <c r="J397">
        <v>170.03938292999999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148.13863499999999</v>
      </c>
      <c r="B398" s="1">
        <f>DATE(2010,9,26) + TIME(3,19,38)</f>
        <v>40447.13863425926</v>
      </c>
      <c r="C398">
        <v>80</v>
      </c>
      <c r="D398">
        <v>79.910964965999995</v>
      </c>
      <c r="E398">
        <v>50</v>
      </c>
      <c r="F398">
        <v>15.020238876000001</v>
      </c>
      <c r="G398">
        <v>1817.5112305</v>
      </c>
      <c r="H398">
        <v>1690.9227295000001</v>
      </c>
      <c r="I398">
        <v>564.81207274999997</v>
      </c>
      <c r="J398">
        <v>170.30815125000001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148.64690300000001</v>
      </c>
      <c r="B399" s="1">
        <f>DATE(2010,9,26) + TIME(15,31,32)</f>
        <v>40447.646898148145</v>
      </c>
      <c r="C399">
        <v>80</v>
      </c>
      <c r="D399">
        <v>79.911041260000005</v>
      </c>
      <c r="E399">
        <v>50</v>
      </c>
      <c r="F399">
        <v>15.023384094000001</v>
      </c>
      <c r="G399">
        <v>1817.2482910000001</v>
      </c>
      <c r="H399">
        <v>1690.6597899999999</v>
      </c>
      <c r="I399">
        <v>565.06646728999999</v>
      </c>
      <c r="J399">
        <v>170.58013915999999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149.15419800000001</v>
      </c>
      <c r="B400" s="1">
        <f>DATE(2010,9,27) + TIME(3,42,2)</f>
        <v>40448.154189814813</v>
      </c>
      <c r="C400">
        <v>80</v>
      </c>
      <c r="D400">
        <v>79.911117554</v>
      </c>
      <c r="E400">
        <v>50</v>
      </c>
      <c r="F400">
        <v>15.026687622000001</v>
      </c>
      <c r="G400">
        <v>1816.9868164</v>
      </c>
      <c r="H400">
        <v>1690.3985596</v>
      </c>
      <c r="I400">
        <v>565.32342529000005</v>
      </c>
      <c r="J400">
        <v>170.85552978999999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149.660641</v>
      </c>
      <c r="B401" s="1">
        <f>DATE(2010,9,27) + TIME(15,51,19)</f>
        <v>40448.660636574074</v>
      </c>
      <c r="C401">
        <v>80</v>
      </c>
      <c r="D401">
        <v>79.911193847999996</v>
      </c>
      <c r="E401">
        <v>50</v>
      </c>
      <c r="F401">
        <v>15.03015995</v>
      </c>
      <c r="G401">
        <v>1816.7269286999999</v>
      </c>
      <c r="H401">
        <v>1690.1386719</v>
      </c>
      <c r="I401">
        <v>565.58306885000002</v>
      </c>
      <c r="J401">
        <v>171.13458252000001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150.16637</v>
      </c>
      <c r="B402" s="1">
        <f>DATE(2010,9,28) + TIME(3,59,34)</f>
        <v>40449.166365740741</v>
      </c>
      <c r="C402">
        <v>80</v>
      </c>
      <c r="D402">
        <v>79.911270142000006</v>
      </c>
      <c r="E402">
        <v>50</v>
      </c>
      <c r="F402">
        <v>15.033809661999999</v>
      </c>
      <c r="G402">
        <v>1816.4681396000001</v>
      </c>
      <c r="H402">
        <v>1689.8800048999999</v>
      </c>
      <c r="I402">
        <v>565.84570312000005</v>
      </c>
      <c r="J402">
        <v>171.4175415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151.176694</v>
      </c>
      <c r="B403" s="1">
        <f>DATE(2010,9,29) + TIME(4,14,26)</f>
        <v>40450.176689814813</v>
      </c>
      <c r="C403">
        <v>80</v>
      </c>
      <c r="D403">
        <v>79.911468506000006</v>
      </c>
      <c r="E403">
        <v>50</v>
      </c>
      <c r="F403">
        <v>15.039208412000001</v>
      </c>
      <c r="G403">
        <v>1815.9899902</v>
      </c>
      <c r="H403">
        <v>1689.4019774999999</v>
      </c>
      <c r="I403">
        <v>566.32000731999995</v>
      </c>
      <c r="J403">
        <v>171.92536926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152.18869799999999</v>
      </c>
      <c r="B404" s="1">
        <f>DATE(2010,9,30) + TIME(4,31,43)</f>
        <v>40451.188692129632</v>
      </c>
      <c r="C404">
        <v>80</v>
      </c>
      <c r="D404">
        <v>79.911636353000006</v>
      </c>
      <c r="E404">
        <v>50</v>
      </c>
      <c r="F404">
        <v>15.046513557000001</v>
      </c>
      <c r="G404">
        <v>1815.5135498</v>
      </c>
      <c r="H404">
        <v>1688.9257812000001</v>
      </c>
      <c r="I404">
        <v>566.82788086000005</v>
      </c>
      <c r="J404">
        <v>172.47245788999999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153</v>
      </c>
      <c r="B405" s="1">
        <f>DATE(2010,10,1) + TIME(0,0,0)</f>
        <v>40452</v>
      </c>
      <c r="C405">
        <v>80</v>
      </c>
      <c r="D405">
        <v>79.911735535000005</v>
      </c>
      <c r="E405">
        <v>50</v>
      </c>
      <c r="F405">
        <v>15.054348945999999</v>
      </c>
      <c r="G405">
        <v>1815.1171875</v>
      </c>
      <c r="H405">
        <v>1688.5292969</v>
      </c>
      <c r="I405">
        <v>567.27276611000002</v>
      </c>
      <c r="J405">
        <v>172.95852661000001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154.02735000000001</v>
      </c>
      <c r="B406" s="1">
        <f>DATE(2010,10,2) + TIME(0,39,23)</f>
        <v>40453.027349537035</v>
      </c>
      <c r="C406">
        <v>80</v>
      </c>
      <c r="D406">
        <v>79.911880492999998</v>
      </c>
      <c r="E406">
        <v>50</v>
      </c>
      <c r="F406">
        <v>15.063390732</v>
      </c>
      <c r="G406">
        <v>1814.6241454999999</v>
      </c>
      <c r="H406">
        <v>1688.036499</v>
      </c>
      <c r="I406">
        <v>567.81286621000004</v>
      </c>
      <c r="J406">
        <v>173.55140685999999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154.546144</v>
      </c>
      <c r="B407" s="1">
        <f>DATE(2010,10,2) + TIME(13,6,26)</f>
        <v>40453.546134259261</v>
      </c>
      <c r="C407">
        <v>80</v>
      </c>
      <c r="D407">
        <v>79.911926269999995</v>
      </c>
      <c r="E407">
        <v>50</v>
      </c>
      <c r="F407">
        <v>15.070963860000001</v>
      </c>
      <c r="G407">
        <v>1814.3602295000001</v>
      </c>
      <c r="H407">
        <v>1687.7725829999999</v>
      </c>
      <c r="I407">
        <v>568.15216064000003</v>
      </c>
      <c r="J407">
        <v>173.92614746000001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155.527716</v>
      </c>
      <c r="B408" s="1">
        <f>DATE(2010,10,3) + TIME(12,39,54)</f>
        <v>40454.527708333335</v>
      </c>
      <c r="C408">
        <v>80</v>
      </c>
      <c r="D408">
        <v>79.912063599000007</v>
      </c>
      <c r="E408">
        <v>50</v>
      </c>
      <c r="F408">
        <v>15.080691337999999</v>
      </c>
      <c r="G408">
        <v>1813.8811035000001</v>
      </c>
      <c r="H408">
        <v>1687.2935791</v>
      </c>
      <c r="I408">
        <v>568.68511963000003</v>
      </c>
      <c r="J408">
        <v>174.52114868000001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156.03985900000001</v>
      </c>
      <c r="B409" s="1">
        <f>DATE(2010,10,4) + TIME(0,57,23)</f>
        <v>40455.039849537039</v>
      </c>
      <c r="C409">
        <v>80</v>
      </c>
      <c r="D409">
        <v>79.912117003999995</v>
      </c>
      <c r="E409">
        <v>50</v>
      </c>
      <c r="F409">
        <v>15.089093208</v>
      </c>
      <c r="G409">
        <v>1813.6202393000001</v>
      </c>
      <c r="H409">
        <v>1687.0327147999999</v>
      </c>
      <c r="I409">
        <v>569.03936768000005</v>
      </c>
      <c r="J409">
        <v>174.91494750999999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157.01034999999999</v>
      </c>
      <c r="B410" s="1">
        <f>DATE(2010,10,5) + TIME(0,14,54)</f>
        <v>40456.010347222225</v>
      </c>
      <c r="C410">
        <v>80</v>
      </c>
      <c r="D410">
        <v>79.912261963000006</v>
      </c>
      <c r="E410">
        <v>50</v>
      </c>
      <c r="F410">
        <v>15.100051880000001</v>
      </c>
      <c r="G410">
        <v>1813.1480713000001</v>
      </c>
      <c r="H410">
        <v>1686.5606689000001</v>
      </c>
      <c r="I410">
        <v>569.58917236000002</v>
      </c>
      <c r="J410">
        <v>175.53491210999999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158.03091599999999</v>
      </c>
      <c r="B411" s="1">
        <f>DATE(2010,10,6) + TIME(0,44,31)</f>
        <v>40457.030914351853</v>
      </c>
      <c r="C411">
        <v>80</v>
      </c>
      <c r="D411">
        <v>79.912414550999998</v>
      </c>
      <c r="E411">
        <v>50</v>
      </c>
      <c r="F411">
        <v>15.113509177999999</v>
      </c>
      <c r="G411">
        <v>1812.6612548999999</v>
      </c>
      <c r="H411">
        <v>1686.0739745999999</v>
      </c>
      <c r="I411">
        <v>570.20861816000001</v>
      </c>
      <c r="J411">
        <v>176.23011779999999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158.54359600000001</v>
      </c>
      <c r="B412" s="1">
        <f>DATE(2010,10,6) + TIME(13,2,46)</f>
        <v>40457.543587962966</v>
      </c>
      <c r="C412">
        <v>80</v>
      </c>
      <c r="D412">
        <v>79.912467957000004</v>
      </c>
      <c r="E412">
        <v>50</v>
      </c>
      <c r="F412">
        <v>15.124646187</v>
      </c>
      <c r="G412">
        <v>1812.402832</v>
      </c>
      <c r="H412">
        <v>1685.8155518000001</v>
      </c>
      <c r="I412">
        <v>570.60827637</v>
      </c>
      <c r="J412">
        <v>176.68251038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159.056276</v>
      </c>
      <c r="B413" s="1">
        <f>DATE(2010,10,7) + TIME(1,21,2)</f>
        <v>40458.056273148148</v>
      </c>
      <c r="C413">
        <v>80</v>
      </c>
      <c r="D413">
        <v>79.912513732999997</v>
      </c>
      <c r="E413">
        <v>50</v>
      </c>
      <c r="F413">
        <v>15.135066986</v>
      </c>
      <c r="G413">
        <v>1812.1385498</v>
      </c>
      <c r="H413">
        <v>1685.5512695</v>
      </c>
      <c r="I413">
        <v>570.97607421999999</v>
      </c>
      <c r="J413">
        <v>177.11230469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159.56895599999999</v>
      </c>
      <c r="B414" s="1">
        <f>DATE(2010,10,7) + TIME(13,39,17)</f>
        <v>40458.56894675926</v>
      </c>
      <c r="C414">
        <v>80</v>
      </c>
      <c r="D414">
        <v>79.912567139000004</v>
      </c>
      <c r="E414">
        <v>50</v>
      </c>
      <c r="F414">
        <v>15.145285606</v>
      </c>
      <c r="G414">
        <v>1811.8742675999999</v>
      </c>
      <c r="H414">
        <v>1685.2871094</v>
      </c>
      <c r="I414">
        <v>571.34454345999995</v>
      </c>
      <c r="J414">
        <v>177.54148864999999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160.08163500000001</v>
      </c>
      <c r="B415" s="1">
        <f>DATE(2010,10,8) + TIME(1,57,33)</f>
        <v>40459.081631944442</v>
      </c>
      <c r="C415">
        <v>80</v>
      </c>
      <c r="D415">
        <v>79.912628174000005</v>
      </c>
      <c r="E415">
        <v>50</v>
      </c>
      <c r="F415">
        <v>15.155603408999999</v>
      </c>
      <c r="G415">
        <v>1811.6119385</v>
      </c>
      <c r="H415">
        <v>1685.0247803</v>
      </c>
      <c r="I415">
        <v>571.71691895000004</v>
      </c>
      <c r="J415">
        <v>177.97465514999999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160.59402</v>
      </c>
      <c r="B416" s="1">
        <f>DATE(2010,10,8) + TIME(14,15,23)</f>
        <v>40459.5940162037</v>
      </c>
      <c r="C416">
        <v>80</v>
      </c>
      <c r="D416">
        <v>79.912696838000002</v>
      </c>
      <c r="E416">
        <v>50</v>
      </c>
      <c r="F416">
        <v>15.166199684</v>
      </c>
      <c r="G416">
        <v>1811.3519286999999</v>
      </c>
      <c r="H416">
        <v>1684.7647704999999</v>
      </c>
      <c r="I416">
        <v>572.09387206999997</v>
      </c>
      <c r="J416">
        <v>178.41372681000001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161.10520700000001</v>
      </c>
      <c r="B417" s="1">
        <f>DATE(2010,10,9) + TIME(2,31,29)</f>
        <v>40460.105196759258</v>
      </c>
      <c r="C417">
        <v>80</v>
      </c>
      <c r="D417">
        <v>79.912765503000003</v>
      </c>
      <c r="E417">
        <v>50</v>
      </c>
      <c r="F417">
        <v>15.177175522000001</v>
      </c>
      <c r="G417">
        <v>1811.0944824000001</v>
      </c>
      <c r="H417">
        <v>1684.5074463000001</v>
      </c>
      <c r="I417">
        <v>572.47534180000002</v>
      </c>
      <c r="J417">
        <v>178.85945129000001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161.61517699999999</v>
      </c>
      <c r="B418" s="1">
        <f>DATE(2010,10,9) + TIME(14,45,51)</f>
        <v>40460.615173611113</v>
      </c>
      <c r="C418">
        <v>80</v>
      </c>
      <c r="D418">
        <v>79.912841796999999</v>
      </c>
      <c r="E418">
        <v>50</v>
      </c>
      <c r="F418">
        <v>15.188602447999999</v>
      </c>
      <c r="G418">
        <v>1810.8393555</v>
      </c>
      <c r="H418">
        <v>1684.2523193</v>
      </c>
      <c r="I418">
        <v>572.86163329999999</v>
      </c>
      <c r="J418">
        <v>179.31274414000001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162.123886</v>
      </c>
      <c r="B419" s="1">
        <f>DATE(2010,10,10) + TIME(2,58,23)</f>
        <v>40461.123877314814</v>
      </c>
      <c r="C419">
        <v>80</v>
      </c>
      <c r="D419">
        <v>79.912918090999995</v>
      </c>
      <c r="E419">
        <v>50</v>
      </c>
      <c r="F419">
        <v>15.200527191000001</v>
      </c>
      <c r="G419">
        <v>1810.5861815999999</v>
      </c>
      <c r="H419">
        <v>1683.9992675999999</v>
      </c>
      <c r="I419">
        <v>573.25305175999995</v>
      </c>
      <c r="J419">
        <v>179.77427673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162.631336</v>
      </c>
      <c r="B420" s="1">
        <f>DATE(2010,10,10) + TIME(15,9,7)</f>
        <v>40461.631331018521</v>
      </c>
      <c r="C420">
        <v>80</v>
      </c>
      <c r="D420">
        <v>79.912986755000006</v>
      </c>
      <c r="E420">
        <v>50</v>
      </c>
      <c r="F420">
        <v>15.212988853000001</v>
      </c>
      <c r="G420">
        <v>1810.3348389</v>
      </c>
      <c r="H420">
        <v>1683.7479248</v>
      </c>
      <c r="I420">
        <v>573.64990234000004</v>
      </c>
      <c r="J420">
        <v>180.24468994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163.13755900000001</v>
      </c>
      <c r="B421" s="1">
        <f>DATE(2010,10,11) + TIME(3,18,5)</f>
        <v>40462.137557870374</v>
      </c>
      <c r="C421">
        <v>80</v>
      </c>
      <c r="D421">
        <v>79.913063049000002</v>
      </c>
      <c r="E421">
        <v>50</v>
      </c>
      <c r="F421">
        <v>15.226017951999999</v>
      </c>
      <c r="G421">
        <v>1810.0850829999999</v>
      </c>
      <c r="H421">
        <v>1683.4981689000001</v>
      </c>
      <c r="I421">
        <v>574.05242920000001</v>
      </c>
      <c r="J421">
        <v>180.72451781999999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163.64261099999999</v>
      </c>
      <c r="B422" s="1">
        <f>DATE(2010,10,11) + TIME(15,25,21)</f>
        <v>40462.642604166664</v>
      </c>
      <c r="C422">
        <v>80</v>
      </c>
      <c r="D422">
        <v>79.913131714000002</v>
      </c>
      <c r="E422">
        <v>50</v>
      </c>
      <c r="F422">
        <v>15.239643097</v>
      </c>
      <c r="G422">
        <v>1809.8366699000001</v>
      </c>
      <c r="H422">
        <v>1683.2498779</v>
      </c>
      <c r="I422">
        <v>574.46099853999999</v>
      </c>
      <c r="J422">
        <v>181.21429443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164.14657299999999</v>
      </c>
      <c r="B423" s="1">
        <f>DATE(2010,10,12) + TIME(3,31,3)</f>
        <v>40463.146562499998</v>
      </c>
      <c r="C423">
        <v>80</v>
      </c>
      <c r="D423">
        <v>79.913200377999999</v>
      </c>
      <c r="E423">
        <v>50</v>
      </c>
      <c r="F423">
        <v>15.253890991</v>
      </c>
      <c r="G423">
        <v>1809.5897216999999</v>
      </c>
      <c r="H423">
        <v>1683.0029297000001</v>
      </c>
      <c r="I423">
        <v>574.87591553000004</v>
      </c>
      <c r="J423">
        <v>181.71453857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164.649551</v>
      </c>
      <c r="B424" s="1">
        <f>DATE(2010,10,12) + TIME(15,35,21)</f>
        <v>40463.649548611109</v>
      </c>
      <c r="C424">
        <v>80</v>
      </c>
      <c r="D424">
        <v>79.913269043</v>
      </c>
      <c r="E424">
        <v>50</v>
      </c>
      <c r="F424">
        <v>15.268790245</v>
      </c>
      <c r="G424">
        <v>1809.34375</v>
      </c>
      <c r="H424">
        <v>1682.7570800999999</v>
      </c>
      <c r="I424">
        <v>575.29742432</v>
      </c>
      <c r="J424">
        <v>182.22576903999999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165.151667</v>
      </c>
      <c r="B425" s="1">
        <f>DATE(2010,10,13) + TIME(3,38,23)</f>
        <v>40464.151655092595</v>
      </c>
      <c r="C425">
        <v>80</v>
      </c>
      <c r="D425">
        <v>79.913345336999996</v>
      </c>
      <c r="E425">
        <v>50</v>
      </c>
      <c r="F425">
        <v>15.284367561</v>
      </c>
      <c r="G425">
        <v>1809.098999</v>
      </c>
      <c r="H425">
        <v>1682.5123291</v>
      </c>
      <c r="I425">
        <v>575.72589111000002</v>
      </c>
      <c r="J425">
        <v>182.74850463999999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165.65306000000001</v>
      </c>
      <c r="B426" s="1">
        <f>DATE(2010,10,13) + TIME(15,40,24)</f>
        <v>40464.653055555558</v>
      </c>
      <c r="C426">
        <v>80</v>
      </c>
      <c r="D426">
        <v>79.913414001000007</v>
      </c>
      <c r="E426">
        <v>50</v>
      </c>
      <c r="F426">
        <v>15.300654411</v>
      </c>
      <c r="G426">
        <v>1808.8551024999999</v>
      </c>
      <c r="H426">
        <v>1682.2685547000001</v>
      </c>
      <c r="I426">
        <v>576.16149901999995</v>
      </c>
      <c r="J426">
        <v>183.28330994000001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166.153887</v>
      </c>
      <c r="B427" s="1">
        <f>DATE(2010,10,14) + TIME(3,41,35)</f>
        <v>40465.153877314813</v>
      </c>
      <c r="C427">
        <v>80</v>
      </c>
      <c r="D427">
        <v>79.913482665999993</v>
      </c>
      <c r="E427">
        <v>50</v>
      </c>
      <c r="F427">
        <v>15.317680359000001</v>
      </c>
      <c r="G427">
        <v>1808.6119385</v>
      </c>
      <c r="H427">
        <v>1682.0255127</v>
      </c>
      <c r="I427">
        <v>576.60467529000005</v>
      </c>
      <c r="J427">
        <v>183.83076477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166.65432100000001</v>
      </c>
      <c r="B428" s="1">
        <f>DATE(2010,10,14) + TIME(15,42,13)</f>
        <v>40465.654317129629</v>
      </c>
      <c r="C428">
        <v>80</v>
      </c>
      <c r="D428">
        <v>79.913543700999995</v>
      </c>
      <c r="E428">
        <v>50</v>
      </c>
      <c r="F428">
        <v>15.335478782999999</v>
      </c>
      <c r="G428">
        <v>1808.3696289</v>
      </c>
      <c r="H428">
        <v>1681.7830810999999</v>
      </c>
      <c r="I428">
        <v>577.05572510000002</v>
      </c>
      <c r="J428">
        <v>184.39144897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167.15454600000001</v>
      </c>
      <c r="B429" s="1">
        <f>DATE(2010,10,15) + TIME(3,42,32)</f>
        <v>40466.154537037037</v>
      </c>
      <c r="C429">
        <v>80</v>
      </c>
      <c r="D429">
        <v>79.913612365999995</v>
      </c>
      <c r="E429">
        <v>50</v>
      </c>
      <c r="F429">
        <v>15.354084015</v>
      </c>
      <c r="G429">
        <v>1808.1278076000001</v>
      </c>
      <c r="H429">
        <v>1681.5413818</v>
      </c>
      <c r="I429">
        <v>577.51501465000001</v>
      </c>
      <c r="J429">
        <v>184.96600341999999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167.65475599999999</v>
      </c>
      <c r="B430" s="1">
        <f>DATE(2010,10,15) + TIME(15,42,50)</f>
        <v>40466.654745370368</v>
      </c>
      <c r="C430">
        <v>80</v>
      </c>
      <c r="D430">
        <v>79.913681030000006</v>
      </c>
      <c r="E430">
        <v>50</v>
      </c>
      <c r="F430">
        <v>15.373533248999999</v>
      </c>
      <c r="G430">
        <v>1807.8863524999999</v>
      </c>
      <c r="H430">
        <v>1681.3000488</v>
      </c>
      <c r="I430">
        <v>577.98278808999999</v>
      </c>
      <c r="J430">
        <v>185.55509949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168.154967</v>
      </c>
      <c r="B431" s="1">
        <f>DATE(2010,10,16) + TIME(3,43,9)</f>
        <v>40467.154965277776</v>
      </c>
      <c r="C431">
        <v>80</v>
      </c>
      <c r="D431">
        <v>79.913749695000007</v>
      </c>
      <c r="E431">
        <v>50</v>
      </c>
      <c r="F431">
        <v>15.393860817</v>
      </c>
      <c r="G431">
        <v>1807.6455077999999</v>
      </c>
      <c r="H431">
        <v>1681.059082</v>
      </c>
      <c r="I431">
        <v>578.45941161999997</v>
      </c>
      <c r="J431">
        <v>186.15925598000001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169.15538799999999</v>
      </c>
      <c r="B432" s="1">
        <f>DATE(2010,10,17) + TIME(3,43,45)</f>
        <v>40468.155381944445</v>
      </c>
      <c r="C432">
        <v>80</v>
      </c>
      <c r="D432">
        <v>79.913917541999993</v>
      </c>
      <c r="E432">
        <v>50</v>
      </c>
      <c r="F432">
        <v>15.423795699999999</v>
      </c>
      <c r="G432">
        <v>1807.1926269999999</v>
      </c>
      <c r="H432">
        <v>1680.6064452999999</v>
      </c>
      <c r="I432">
        <v>579.21337890999996</v>
      </c>
      <c r="J432">
        <v>187.12254333000001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170.15799999999999</v>
      </c>
      <c r="B433" s="1">
        <f>DATE(2010,10,18) + TIME(3,47,31)</f>
        <v>40469.157997685186</v>
      </c>
      <c r="C433">
        <v>80</v>
      </c>
      <c r="D433">
        <v>79.914077758999994</v>
      </c>
      <c r="E433">
        <v>50</v>
      </c>
      <c r="F433">
        <v>15.463843346000001</v>
      </c>
      <c r="G433">
        <v>1806.7420654</v>
      </c>
      <c r="H433">
        <v>1680.1560059000001</v>
      </c>
      <c r="I433">
        <v>580.14324951000003</v>
      </c>
      <c r="J433">
        <v>188.29844666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171.18571800000001</v>
      </c>
      <c r="B434" s="1">
        <f>DATE(2010,10,19) + TIME(4,27,26)</f>
        <v>40470.185717592591</v>
      </c>
      <c r="C434">
        <v>80</v>
      </c>
      <c r="D434">
        <v>79.914215088000006</v>
      </c>
      <c r="E434">
        <v>50</v>
      </c>
      <c r="F434">
        <v>15.510988234999999</v>
      </c>
      <c r="G434">
        <v>1806.2773437999999</v>
      </c>
      <c r="H434">
        <v>1679.6914062000001</v>
      </c>
      <c r="I434">
        <v>581.14630126999998</v>
      </c>
      <c r="J434">
        <v>189.6018219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171.69995800000001</v>
      </c>
      <c r="B435" s="1">
        <f>DATE(2010,10,19) + TIME(16,47,56)</f>
        <v>40470.699953703705</v>
      </c>
      <c r="C435">
        <v>80</v>
      </c>
      <c r="D435">
        <v>79.914253235000004</v>
      </c>
      <c r="E435">
        <v>50</v>
      </c>
      <c r="F435">
        <v>15.548878670000001</v>
      </c>
      <c r="G435">
        <v>1806.0318603999999</v>
      </c>
      <c r="H435">
        <v>1679.4459228999999</v>
      </c>
      <c r="I435">
        <v>581.89727783000001</v>
      </c>
      <c r="J435">
        <v>190.56382751000001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172.20632800000001</v>
      </c>
      <c r="B436" s="1">
        <f>DATE(2010,10,20) + TIME(4,57,6)</f>
        <v>40471.206319444442</v>
      </c>
      <c r="C436">
        <v>80</v>
      </c>
      <c r="D436">
        <v>79.914299010999997</v>
      </c>
      <c r="E436">
        <v>50</v>
      </c>
      <c r="F436">
        <v>15.583547592</v>
      </c>
      <c r="G436">
        <v>1805.7838135</v>
      </c>
      <c r="H436">
        <v>1679.197876</v>
      </c>
      <c r="I436">
        <v>582.50524901999995</v>
      </c>
      <c r="J436">
        <v>191.40832520000001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172.71269699999999</v>
      </c>
      <c r="B437" s="1">
        <f>DATE(2010,10,20) + TIME(17,6,17)</f>
        <v>40471.712696759256</v>
      </c>
      <c r="C437">
        <v>80</v>
      </c>
      <c r="D437">
        <v>79.914344787999994</v>
      </c>
      <c r="E437">
        <v>50</v>
      </c>
      <c r="F437">
        <v>15.617053986</v>
      </c>
      <c r="G437">
        <v>1805.534668</v>
      </c>
      <c r="H437">
        <v>1678.9487305</v>
      </c>
      <c r="I437">
        <v>583.10003661999997</v>
      </c>
      <c r="J437">
        <v>192.23258971999999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173.219066</v>
      </c>
      <c r="B438" s="1">
        <f>DATE(2010,10,21) + TIME(5,15,27)</f>
        <v>40472.2190625</v>
      </c>
      <c r="C438">
        <v>80</v>
      </c>
      <c r="D438">
        <v>79.914398192999997</v>
      </c>
      <c r="E438">
        <v>50</v>
      </c>
      <c r="F438">
        <v>15.650447845</v>
      </c>
      <c r="G438">
        <v>1805.2862548999999</v>
      </c>
      <c r="H438">
        <v>1678.7003173999999</v>
      </c>
      <c r="I438">
        <v>583.69842529000005</v>
      </c>
      <c r="J438">
        <v>193.05838012999999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173.725436</v>
      </c>
      <c r="B439" s="1">
        <f>DATE(2010,10,21) + TIME(17,24,37)</f>
        <v>40472.725428240738</v>
      </c>
      <c r="C439">
        <v>80</v>
      </c>
      <c r="D439">
        <v>79.914459229000002</v>
      </c>
      <c r="E439">
        <v>50</v>
      </c>
      <c r="F439">
        <v>15.684349060000001</v>
      </c>
      <c r="G439">
        <v>1805.0393065999999</v>
      </c>
      <c r="H439">
        <v>1678.4533690999999</v>
      </c>
      <c r="I439">
        <v>584.30401611000002</v>
      </c>
      <c r="J439">
        <v>193.89437866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174.23180500000001</v>
      </c>
      <c r="B440" s="1">
        <f>DATE(2010,10,22) + TIME(5,33,47)</f>
        <v>40473.231793981482</v>
      </c>
      <c r="C440">
        <v>80</v>
      </c>
      <c r="D440">
        <v>79.914520264000004</v>
      </c>
      <c r="E440">
        <v>50</v>
      </c>
      <c r="F440">
        <v>15.719132423</v>
      </c>
      <c r="G440">
        <v>1804.7935791</v>
      </c>
      <c r="H440">
        <v>1678.2077637</v>
      </c>
      <c r="I440">
        <v>584.91815185999997</v>
      </c>
      <c r="J440">
        <v>194.74522400000001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174.73817399999999</v>
      </c>
      <c r="B441" s="1">
        <f>DATE(2010,10,22) + TIME(17,42,58)</f>
        <v>40473.738171296296</v>
      </c>
      <c r="C441">
        <v>80</v>
      </c>
      <c r="D441">
        <v>79.914588928000001</v>
      </c>
      <c r="E441">
        <v>50</v>
      </c>
      <c r="F441">
        <v>15.755028725000001</v>
      </c>
      <c r="G441">
        <v>1804.5489502</v>
      </c>
      <c r="H441">
        <v>1677.9632568</v>
      </c>
      <c r="I441">
        <v>585.54150390999996</v>
      </c>
      <c r="J441">
        <v>195.61372374999999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175.24454399999999</v>
      </c>
      <c r="B442" s="1">
        <f>DATE(2010,10,23) + TIME(5,52,8)</f>
        <v>40474.244537037041</v>
      </c>
      <c r="C442">
        <v>80</v>
      </c>
      <c r="D442">
        <v>79.914657593000001</v>
      </c>
      <c r="E442">
        <v>50</v>
      </c>
      <c r="F442">
        <v>15.792187691000001</v>
      </c>
      <c r="G442">
        <v>1804.3054199000001</v>
      </c>
      <c r="H442">
        <v>1677.7197266000001</v>
      </c>
      <c r="I442">
        <v>586.17449951000003</v>
      </c>
      <c r="J442">
        <v>196.50170897999999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175.750913</v>
      </c>
      <c r="B443" s="1">
        <f>DATE(2010,10,23) + TIME(18,1,18)</f>
        <v>40474.750902777778</v>
      </c>
      <c r="C443">
        <v>80</v>
      </c>
      <c r="D443">
        <v>79.914726256999998</v>
      </c>
      <c r="E443">
        <v>50</v>
      </c>
      <c r="F443">
        <v>15.830711365000001</v>
      </c>
      <c r="G443">
        <v>1804.0626221</v>
      </c>
      <c r="H443">
        <v>1677.4769286999999</v>
      </c>
      <c r="I443">
        <v>586.81744385000002</v>
      </c>
      <c r="J443">
        <v>197.41041565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176.257282</v>
      </c>
      <c r="B444" s="1">
        <f>DATE(2010,10,24) + TIME(6,10,29)</f>
        <v>40475.257280092592</v>
      </c>
      <c r="C444">
        <v>80</v>
      </c>
      <c r="D444">
        <v>79.914787292</v>
      </c>
      <c r="E444">
        <v>50</v>
      </c>
      <c r="F444">
        <v>15.870674133</v>
      </c>
      <c r="G444">
        <v>1803.8206786999999</v>
      </c>
      <c r="H444">
        <v>1677.2349853999999</v>
      </c>
      <c r="I444">
        <v>587.47052001999998</v>
      </c>
      <c r="J444">
        <v>198.34074401999999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176.76365200000001</v>
      </c>
      <c r="B445" s="1">
        <f>DATE(2010,10,24) + TIME(18,19,39)</f>
        <v>40475.763645833336</v>
      </c>
      <c r="C445">
        <v>80</v>
      </c>
      <c r="D445">
        <v>79.914855957</v>
      </c>
      <c r="E445">
        <v>50</v>
      </c>
      <c r="F445">
        <v>15.912132263</v>
      </c>
      <c r="G445">
        <v>1803.5792236</v>
      </c>
      <c r="H445">
        <v>1676.9935303</v>
      </c>
      <c r="I445">
        <v>588.13378906000003</v>
      </c>
      <c r="J445">
        <v>199.29333496000001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177.27002100000001</v>
      </c>
      <c r="B446" s="1">
        <f>DATE(2010,10,25) + TIME(6,28,49)</f>
        <v>40476.270011574074</v>
      </c>
      <c r="C446">
        <v>80</v>
      </c>
      <c r="D446">
        <v>79.914924622000001</v>
      </c>
      <c r="E446">
        <v>50</v>
      </c>
      <c r="F446">
        <v>15.955134392</v>
      </c>
      <c r="G446">
        <v>1803.3382568</v>
      </c>
      <c r="H446">
        <v>1676.7526855000001</v>
      </c>
      <c r="I446">
        <v>588.80737305000002</v>
      </c>
      <c r="J446">
        <v>200.26867676000001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177.77638999999999</v>
      </c>
      <c r="B447" s="1">
        <f>DATE(2010,10,25) + TIME(18,38,0)</f>
        <v>40476.776388888888</v>
      </c>
      <c r="C447">
        <v>80</v>
      </c>
      <c r="D447">
        <v>79.914993285999998</v>
      </c>
      <c r="E447">
        <v>50</v>
      </c>
      <c r="F447">
        <v>15.999721527</v>
      </c>
      <c r="G447">
        <v>1803.0977783000001</v>
      </c>
      <c r="H447">
        <v>1676.5123291</v>
      </c>
      <c r="I447">
        <v>589.49127196999996</v>
      </c>
      <c r="J447">
        <v>201.26712036000001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178.28276</v>
      </c>
      <c r="B448" s="1">
        <f>DATE(2010,10,26) + TIME(6,47,10)</f>
        <v>40477.282754629632</v>
      </c>
      <c r="C448">
        <v>80</v>
      </c>
      <c r="D448">
        <v>79.915054321</v>
      </c>
      <c r="E448">
        <v>50</v>
      </c>
      <c r="F448">
        <v>16.045928955000001</v>
      </c>
      <c r="G448">
        <v>1802.8577881000001</v>
      </c>
      <c r="H448">
        <v>1676.2723389</v>
      </c>
      <c r="I448">
        <v>590.18548583999996</v>
      </c>
      <c r="J448">
        <v>202.28894043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178.789129</v>
      </c>
      <c r="B449" s="1">
        <f>DATE(2010,10,26) + TIME(18,56,20)</f>
        <v>40477.789120370369</v>
      </c>
      <c r="C449">
        <v>80</v>
      </c>
      <c r="D449">
        <v>79.915122986</v>
      </c>
      <c r="E449">
        <v>50</v>
      </c>
      <c r="F449">
        <v>16.093788147000001</v>
      </c>
      <c r="G449">
        <v>1802.6181641000001</v>
      </c>
      <c r="H449">
        <v>1676.0327147999999</v>
      </c>
      <c r="I449">
        <v>590.88995361000002</v>
      </c>
      <c r="J449">
        <v>203.33428954999999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179.29549900000001</v>
      </c>
      <c r="B450" s="1">
        <f>DATE(2010,10,27) + TIME(7,5,31)</f>
        <v>40478.295497685183</v>
      </c>
      <c r="C450">
        <v>80</v>
      </c>
      <c r="D450">
        <v>79.915184021000002</v>
      </c>
      <c r="E450">
        <v>50</v>
      </c>
      <c r="F450">
        <v>16.143329619999999</v>
      </c>
      <c r="G450">
        <v>1802.3787841999999</v>
      </c>
      <c r="H450">
        <v>1675.7933350000001</v>
      </c>
      <c r="I450">
        <v>591.60461425999995</v>
      </c>
      <c r="J450">
        <v>204.40330505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179.80186800000001</v>
      </c>
      <c r="B451" s="1">
        <f>DATE(2010,10,27) + TIME(19,14,41)</f>
        <v>40478.801863425928</v>
      </c>
      <c r="C451">
        <v>80</v>
      </c>
      <c r="D451">
        <v>79.915252686000002</v>
      </c>
      <c r="E451">
        <v>50</v>
      </c>
      <c r="F451">
        <v>16.194585799999999</v>
      </c>
      <c r="G451">
        <v>1802.1397704999999</v>
      </c>
      <c r="H451">
        <v>1675.5544434000001</v>
      </c>
      <c r="I451">
        <v>592.32934569999998</v>
      </c>
      <c r="J451">
        <v>205.49604797000001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180.30823699999999</v>
      </c>
      <c r="B452" s="1">
        <f>DATE(2010,10,28) + TIME(7,23,51)</f>
        <v>40479.308229166665</v>
      </c>
      <c r="C452">
        <v>80</v>
      </c>
      <c r="D452">
        <v>79.915313721000004</v>
      </c>
      <c r="E452">
        <v>50</v>
      </c>
      <c r="F452">
        <v>16.247587203999998</v>
      </c>
      <c r="G452">
        <v>1801.9011230000001</v>
      </c>
      <c r="H452">
        <v>1675.3156738</v>
      </c>
      <c r="I452">
        <v>593.06396484000004</v>
      </c>
      <c r="J452">
        <v>206.61253357000001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180.814607</v>
      </c>
      <c r="B453" s="1">
        <f>DATE(2010,10,28) + TIME(19,33,2)</f>
        <v>40479.814606481479</v>
      </c>
      <c r="C453">
        <v>80</v>
      </c>
      <c r="D453">
        <v>79.915382385000001</v>
      </c>
      <c r="E453">
        <v>50</v>
      </c>
      <c r="F453">
        <v>16.302362442</v>
      </c>
      <c r="G453">
        <v>1801.6625977000001</v>
      </c>
      <c r="H453">
        <v>1675.0772704999999</v>
      </c>
      <c r="I453">
        <v>593.80834961000005</v>
      </c>
      <c r="J453">
        <v>207.75273132000001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181.320976</v>
      </c>
      <c r="B454" s="1">
        <f>DATE(2010,10,29) + TIME(7,42,12)</f>
        <v>40480.320972222224</v>
      </c>
      <c r="C454">
        <v>80</v>
      </c>
      <c r="D454">
        <v>79.915443420000003</v>
      </c>
      <c r="E454">
        <v>50</v>
      </c>
      <c r="F454">
        <v>16.358934401999999</v>
      </c>
      <c r="G454">
        <v>1801.4244385</v>
      </c>
      <c r="H454">
        <v>1674.8392334</v>
      </c>
      <c r="I454">
        <v>594.56237793000003</v>
      </c>
      <c r="J454">
        <v>208.91653442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181.82734500000001</v>
      </c>
      <c r="B455" s="1">
        <f>DATE(2010,10,29) + TIME(19,51,22)</f>
        <v>40480.827337962961</v>
      </c>
      <c r="C455">
        <v>80</v>
      </c>
      <c r="D455">
        <v>79.915504455999994</v>
      </c>
      <c r="E455">
        <v>50</v>
      </c>
      <c r="F455">
        <v>16.417329788</v>
      </c>
      <c r="G455">
        <v>1801.1865233999999</v>
      </c>
      <c r="H455">
        <v>1674.6013184000001</v>
      </c>
      <c r="I455">
        <v>595.32580566000001</v>
      </c>
      <c r="J455">
        <v>210.10380554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182.33371500000001</v>
      </c>
      <c r="B456" s="1">
        <f>DATE(2010,10,30) + TIME(8,0,32)</f>
        <v>40481.333703703705</v>
      </c>
      <c r="C456">
        <v>80</v>
      </c>
      <c r="D456">
        <v>79.915573120000005</v>
      </c>
      <c r="E456">
        <v>50</v>
      </c>
      <c r="F456">
        <v>16.477569580000001</v>
      </c>
      <c r="G456">
        <v>1800.9488524999999</v>
      </c>
      <c r="H456">
        <v>1674.3636475000001</v>
      </c>
      <c r="I456">
        <v>596.09851074000005</v>
      </c>
      <c r="J456">
        <v>211.31439209000001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182.84008399999999</v>
      </c>
      <c r="B457" s="1">
        <f>DATE(2010,10,30) + TIME(20,9,43)</f>
        <v>40481.840081018519</v>
      </c>
      <c r="C457">
        <v>80</v>
      </c>
      <c r="D457">
        <v>79.915634155000006</v>
      </c>
      <c r="E457">
        <v>50</v>
      </c>
      <c r="F457">
        <v>16.539670944000001</v>
      </c>
      <c r="G457">
        <v>1800.7113036999999</v>
      </c>
      <c r="H457">
        <v>1674.1262207</v>
      </c>
      <c r="I457">
        <v>596.88018798999997</v>
      </c>
      <c r="J457">
        <v>212.54811096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183.346453</v>
      </c>
      <c r="B458" s="1">
        <f>DATE(2010,10,31) + TIME(8,18,53)</f>
        <v>40482.346446759257</v>
      </c>
      <c r="C458">
        <v>80</v>
      </c>
      <c r="D458">
        <v>79.915695189999994</v>
      </c>
      <c r="E458">
        <v>50</v>
      </c>
      <c r="F458">
        <v>16.603647232</v>
      </c>
      <c r="G458">
        <v>1800.4741211</v>
      </c>
      <c r="H458">
        <v>1673.8890381000001</v>
      </c>
      <c r="I458">
        <v>597.67059326000003</v>
      </c>
      <c r="J458">
        <v>213.80467224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184</v>
      </c>
      <c r="B459" s="1">
        <f>DATE(2010,11,1) + TIME(0,0,0)</f>
        <v>40483</v>
      </c>
      <c r="C459">
        <v>80</v>
      </c>
      <c r="D459">
        <v>79.915786742999998</v>
      </c>
      <c r="E459">
        <v>50</v>
      </c>
      <c r="F459">
        <v>16.679302216</v>
      </c>
      <c r="G459">
        <v>1800.1722411999999</v>
      </c>
      <c r="H459">
        <v>1673.5871582</v>
      </c>
      <c r="I459">
        <v>598.56658935999997</v>
      </c>
      <c r="J459">
        <v>215.27046204000001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184.000001</v>
      </c>
      <c r="B460" s="1">
        <f>DATE(2010,11,1) + TIME(0,0,0)</f>
        <v>40483</v>
      </c>
      <c r="C460">
        <v>80</v>
      </c>
      <c r="D460">
        <v>79.915756225999999</v>
      </c>
      <c r="E460">
        <v>50</v>
      </c>
      <c r="F460">
        <v>16.679353714000001</v>
      </c>
      <c r="G460">
        <v>1673.5771483999999</v>
      </c>
      <c r="H460">
        <v>1546.9921875</v>
      </c>
      <c r="I460">
        <v>981.79101562000005</v>
      </c>
      <c r="J460">
        <v>598.57647704999999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184.00000399999999</v>
      </c>
      <c r="B461" s="1">
        <f>DATE(2010,11,1) + TIME(0,0,0)</f>
        <v>40483</v>
      </c>
      <c r="C461">
        <v>80</v>
      </c>
      <c r="D461">
        <v>79.915664672999995</v>
      </c>
      <c r="E461">
        <v>50</v>
      </c>
      <c r="F461">
        <v>16.679510117</v>
      </c>
      <c r="G461">
        <v>1673.5471190999999</v>
      </c>
      <c r="H461">
        <v>1546.9620361</v>
      </c>
      <c r="I461">
        <v>981.81878661999997</v>
      </c>
      <c r="J461">
        <v>598.60614013999998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184.000013</v>
      </c>
      <c r="B462" s="1">
        <f>DATE(2010,11,1) + TIME(0,0,1)</f>
        <v>40483.000011574077</v>
      </c>
      <c r="C462">
        <v>80</v>
      </c>
      <c r="D462">
        <v>79.915390015</v>
      </c>
      <c r="E462">
        <v>50</v>
      </c>
      <c r="F462">
        <v>16.679979324000001</v>
      </c>
      <c r="G462">
        <v>1673.4571533000001</v>
      </c>
      <c r="H462">
        <v>1546.8714600000001</v>
      </c>
      <c r="I462">
        <v>981.90203856999995</v>
      </c>
      <c r="J462">
        <v>598.69506836000005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184.00004000000001</v>
      </c>
      <c r="B463" s="1">
        <f>DATE(2010,11,1) + TIME(0,0,3)</f>
        <v>40483.000034722223</v>
      </c>
      <c r="C463">
        <v>80</v>
      </c>
      <c r="D463">
        <v>79.914566039999997</v>
      </c>
      <c r="E463">
        <v>50</v>
      </c>
      <c r="F463">
        <v>16.681386948</v>
      </c>
      <c r="G463">
        <v>1673.1875</v>
      </c>
      <c r="H463">
        <v>1546.6004639</v>
      </c>
      <c r="I463">
        <v>982.15161133000004</v>
      </c>
      <c r="J463">
        <v>598.96185303000004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184.00012100000001</v>
      </c>
      <c r="B464" s="1">
        <f>DATE(2010,11,1) + TIME(0,0,10)</f>
        <v>40483.000115740739</v>
      </c>
      <c r="C464">
        <v>80</v>
      </c>
      <c r="D464">
        <v>79.912101746000005</v>
      </c>
      <c r="E464">
        <v>50</v>
      </c>
      <c r="F464">
        <v>16.685604094999999</v>
      </c>
      <c r="G464">
        <v>1672.3835449000001</v>
      </c>
      <c r="H464">
        <v>1545.7921143000001</v>
      </c>
      <c r="I464">
        <v>982.89874268000005</v>
      </c>
      <c r="J464">
        <v>599.76080321999996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184.00036399999999</v>
      </c>
      <c r="B465" s="1">
        <f>DATE(2010,11,1) + TIME(0,0,31)</f>
        <v>40483.000358796293</v>
      </c>
      <c r="C465">
        <v>80</v>
      </c>
      <c r="D465">
        <v>79.904846191000004</v>
      </c>
      <c r="E465">
        <v>50</v>
      </c>
      <c r="F465">
        <v>16.69824028</v>
      </c>
      <c r="G465">
        <v>1670.0130615</v>
      </c>
      <c r="H465">
        <v>1543.4089355000001</v>
      </c>
      <c r="I465">
        <v>985.12713623000002</v>
      </c>
      <c r="J465">
        <v>602.14581298999997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184.001093</v>
      </c>
      <c r="B466" s="1">
        <f>DATE(2010,11,1) + TIME(0,1,34)</f>
        <v>40483.001087962963</v>
      </c>
      <c r="C466">
        <v>80</v>
      </c>
      <c r="D466">
        <v>79.884155273000005</v>
      </c>
      <c r="E466">
        <v>50</v>
      </c>
      <c r="F466">
        <v>16.736013411999998</v>
      </c>
      <c r="G466">
        <v>1663.2517089999999</v>
      </c>
      <c r="H466">
        <v>1536.612793</v>
      </c>
      <c r="I466">
        <v>991.69647216999999</v>
      </c>
      <c r="J466">
        <v>609.19299316000001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184.00327999999999</v>
      </c>
      <c r="B467" s="1">
        <f>DATE(2010,11,1) + TIME(0,4,43)</f>
        <v>40483.003275462965</v>
      </c>
      <c r="C467">
        <v>80</v>
      </c>
      <c r="D467">
        <v>79.830070496000005</v>
      </c>
      <c r="E467">
        <v>50</v>
      </c>
      <c r="F467">
        <v>16.848096848000001</v>
      </c>
      <c r="G467">
        <v>1645.5854492000001</v>
      </c>
      <c r="H467">
        <v>1518.8604736</v>
      </c>
      <c r="I467">
        <v>1010.4293213</v>
      </c>
      <c r="J467">
        <v>629.37384033000001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184.00984099999999</v>
      </c>
      <c r="B468" s="1">
        <f>DATE(2010,11,1) + TIME(0,14,10)</f>
        <v>40483.009837962964</v>
      </c>
      <c r="C468">
        <v>80</v>
      </c>
      <c r="D468">
        <v>79.713417053000001</v>
      </c>
      <c r="E468">
        <v>50</v>
      </c>
      <c r="F468">
        <v>17.174787520999999</v>
      </c>
      <c r="G468">
        <v>1607.5507812000001</v>
      </c>
      <c r="H468">
        <v>1480.6507568</v>
      </c>
      <c r="I468">
        <v>1059.3024902</v>
      </c>
      <c r="J468">
        <v>682.30664062000005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184.02952400000001</v>
      </c>
      <c r="B469" s="1">
        <f>DATE(2010,11,1) + TIME(0,42,30)</f>
        <v>40483.029513888891</v>
      </c>
      <c r="C469">
        <v>80</v>
      </c>
      <c r="D469">
        <v>79.528396606000001</v>
      </c>
      <c r="E469">
        <v>50</v>
      </c>
      <c r="F469">
        <v>18.100326538000001</v>
      </c>
      <c r="G469">
        <v>1547.3233643000001</v>
      </c>
      <c r="H469">
        <v>1420.1683350000001</v>
      </c>
      <c r="I469">
        <v>1163.6038818</v>
      </c>
      <c r="J469">
        <v>796.39190673999997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184.050791</v>
      </c>
      <c r="B470" s="1">
        <f>DATE(2010,11,1) + TIME(1,13,8)</f>
        <v>40483.050787037035</v>
      </c>
      <c r="C470">
        <v>80</v>
      </c>
      <c r="D470">
        <v>79.410659789999997</v>
      </c>
      <c r="E470">
        <v>50</v>
      </c>
      <c r="F470">
        <v>19.039110183999998</v>
      </c>
      <c r="G470">
        <v>1508.9407959</v>
      </c>
      <c r="H470">
        <v>1381.6231689000001</v>
      </c>
      <c r="I470">
        <v>1244.3856201000001</v>
      </c>
      <c r="J470">
        <v>885.79016113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184.07344399999999</v>
      </c>
      <c r="B471" s="1">
        <f>DATE(2010,11,1) + TIME(1,45,45)</f>
        <v>40483.073437500003</v>
      </c>
      <c r="C471">
        <v>80</v>
      </c>
      <c r="D471">
        <v>79.328887938999998</v>
      </c>
      <c r="E471">
        <v>50</v>
      </c>
      <c r="F471">
        <v>19.981552124</v>
      </c>
      <c r="G471">
        <v>1482.0776367000001</v>
      </c>
      <c r="H471">
        <v>1354.6522216999999</v>
      </c>
      <c r="I471">
        <v>1306.4591064000001</v>
      </c>
      <c r="J471">
        <v>955.78033446999996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184.09748099999999</v>
      </c>
      <c r="B472" s="1">
        <f>DATE(2010,11,1) + TIME(2,20,22)</f>
        <v>40483.09747685185</v>
      </c>
      <c r="C472">
        <v>80</v>
      </c>
      <c r="D472">
        <v>79.267333984000004</v>
      </c>
      <c r="E472">
        <v>50</v>
      </c>
      <c r="F472">
        <v>20.930803299000001</v>
      </c>
      <c r="G472">
        <v>1461.6584473</v>
      </c>
      <c r="H472">
        <v>1334.1551514</v>
      </c>
      <c r="I472">
        <v>1354.7408447</v>
      </c>
      <c r="J472">
        <v>1011.5933228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184.12280200000001</v>
      </c>
      <c r="B473" s="1">
        <f>DATE(2010,11,1) + TIME(2,56,50)</f>
        <v>40483.122800925928</v>
      </c>
      <c r="C473">
        <v>80</v>
      </c>
      <c r="D473">
        <v>79.218269348000007</v>
      </c>
      <c r="E473">
        <v>50</v>
      </c>
      <c r="F473">
        <v>21.883430481000001</v>
      </c>
      <c r="G473">
        <v>1445.2286377</v>
      </c>
      <c r="H473">
        <v>1317.6656493999999</v>
      </c>
      <c r="I473">
        <v>1392.8087158000001</v>
      </c>
      <c r="J473">
        <v>1056.9210204999999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184.149383</v>
      </c>
      <c r="B474" s="1">
        <f>DATE(2010,11,1) + TIME(3,35,6)</f>
        <v>40483.149375000001</v>
      </c>
      <c r="C474">
        <v>80</v>
      </c>
      <c r="D474">
        <v>79.177444457999997</v>
      </c>
      <c r="E474">
        <v>50</v>
      </c>
      <c r="F474">
        <v>22.838499069000001</v>
      </c>
      <c r="G474">
        <v>1431.4422606999999</v>
      </c>
      <c r="H474">
        <v>1303.8317870999999</v>
      </c>
      <c r="I474">
        <v>1423.4055175999999</v>
      </c>
      <c r="J474">
        <v>1094.5559082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184.17721499999999</v>
      </c>
      <c r="B475" s="1">
        <f>DATE(2010,11,1) + TIME(4,15,11)</f>
        <v>40483.177210648151</v>
      </c>
      <c r="C475">
        <v>80</v>
      </c>
      <c r="D475">
        <v>79.142372131000002</v>
      </c>
      <c r="E475">
        <v>50</v>
      </c>
      <c r="F475">
        <v>23.794893264999999</v>
      </c>
      <c r="G475">
        <v>1419.5216064000001</v>
      </c>
      <c r="H475">
        <v>1291.8721923999999</v>
      </c>
      <c r="I475">
        <v>1448.519043</v>
      </c>
      <c r="J475">
        <v>1126.5015868999999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184.20631599999999</v>
      </c>
      <c r="B476" s="1">
        <f>DATE(2010,11,1) + TIME(4,57,5)</f>
        <v>40483.206307870372</v>
      </c>
      <c r="C476">
        <v>80</v>
      </c>
      <c r="D476">
        <v>79.111511230000005</v>
      </c>
      <c r="E476">
        <v>50</v>
      </c>
      <c r="F476">
        <v>24.751802443999999</v>
      </c>
      <c r="G476">
        <v>1408.9798584</v>
      </c>
      <c r="H476">
        <v>1281.2978516000001</v>
      </c>
      <c r="I476">
        <v>1469.5792236</v>
      </c>
      <c r="J476">
        <v>1154.1987305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184.236727</v>
      </c>
      <c r="B477" s="1">
        <f>DATE(2010,11,1) + TIME(5,40,53)</f>
        <v>40483.236724537041</v>
      </c>
      <c r="C477">
        <v>80</v>
      </c>
      <c r="D477">
        <v>79.083808899000005</v>
      </c>
      <c r="E477">
        <v>50</v>
      </c>
      <c r="F477">
        <v>25.709068297999998</v>
      </c>
      <c r="G477">
        <v>1399.4926757999999</v>
      </c>
      <c r="H477">
        <v>1271.7830810999999</v>
      </c>
      <c r="I477">
        <v>1487.6005858999999</v>
      </c>
      <c r="J477">
        <v>1178.6634521000001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184.268495</v>
      </c>
      <c r="B478" s="1">
        <f>DATE(2010,11,1) + TIME(6,26,37)</f>
        <v>40483.268483796295</v>
      </c>
      <c r="C478">
        <v>80</v>
      </c>
      <c r="D478">
        <v>79.058532714999998</v>
      </c>
      <c r="E478">
        <v>50</v>
      </c>
      <c r="F478">
        <v>26.665576935000001</v>
      </c>
      <c r="G478">
        <v>1390.8367920000001</v>
      </c>
      <c r="H478">
        <v>1263.1033935999999</v>
      </c>
      <c r="I478">
        <v>1503.3016356999999</v>
      </c>
      <c r="J478">
        <v>1200.6116943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184.30170799999999</v>
      </c>
      <c r="B479" s="1">
        <f>DATE(2010,11,1) + TIME(7,14,27)</f>
        <v>40483.301701388889</v>
      </c>
      <c r="C479">
        <v>80</v>
      </c>
      <c r="D479">
        <v>79.035140991000006</v>
      </c>
      <c r="E479">
        <v>50</v>
      </c>
      <c r="F479">
        <v>27.621070862</v>
      </c>
      <c r="G479">
        <v>1382.8441161999999</v>
      </c>
      <c r="H479">
        <v>1255.0900879000001</v>
      </c>
      <c r="I479">
        <v>1517.2120361</v>
      </c>
      <c r="J479">
        <v>1220.5777588000001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184.336468</v>
      </c>
      <c r="B480" s="1">
        <f>DATE(2010,11,1) + TIME(8,4,30)</f>
        <v>40483.336458333331</v>
      </c>
      <c r="C480">
        <v>80</v>
      </c>
      <c r="D480">
        <v>79.013198853000006</v>
      </c>
      <c r="E480">
        <v>50</v>
      </c>
      <c r="F480">
        <v>28.575393677000001</v>
      </c>
      <c r="G480">
        <v>1375.3890381000001</v>
      </c>
      <c r="H480">
        <v>1247.6168213000001</v>
      </c>
      <c r="I480">
        <v>1529.7235106999999</v>
      </c>
      <c r="J480">
        <v>1238.9575195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184.37289200000001</v>
      </c>
      <c r="B481" s="1">
        <f>DATE(2010,11,1) + TIME(8,56,57)</f>
        <v>40483.372881944444</v>
      </c>
      <c r="C481">
        <v>80</v>
      </c>
      <c r="D481">
        <v>78.992385863999999</v>
      </c>
      <c r="E481">
        <v>50</v>
      </c>
      <c r="F481">
        <v>29.528280257999999</v>
      </c>
      <c r="G481">
        <v>1368.3747559000001</v>
      </c>
      <c r="H481">
        <v>1240.5866699000001</v>
      </c>
      <c r="I481">
        <v>1541.1300048999999</v>
      </c>
      <c r="J481">
        <v>1256.0498047000001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184.41111699999999</v>
      </c>
      <c r="B482" s="1">
        <f>DATE(2010,11,1) + TIME(9,52,0)</f>
        <v>40483.411111111112</v>
      </c>
      <c r="C482">
        <v>80</v>
      </c>
      <c r="D482">
        <v>78.972427367999998</v>
      </c>
      <c r="E482">
        <v>50</v>
      </c>
      <c r="F482">
        <v>30.479581833000001</v>
      </c>
      <c r="G482">
        <v>1361.7246094</v>
      </c>
      <c r="H482">
        <v>1233.9222411999999</v>
      </c>
      <c r="I482">
        <v>1551.6575928</v>
      </c>
      <c r="J482">
        <v>1272.0863036999999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184.45129800000001</v>
      </c>
      <c r="B483" s="1">
        <f>DATE(2010,11,1) + TIME(10,49,52)</f>
        <v>40483.451296296298</v>
      </c>
      <c r="C483">
        <v>80</v>
      </c>
      <c r="D483">
        <v>78.953086853000002</v>
      </c>
      <c r="E483">
        <v>50</v>
      </c>
      <c r="F483">
        <v>31.428958893000001</v>
      </c>
      <c r="G483">
        <v>1355.3762207</v>
      </c>
      <c r="H483">
        <v>1227.5610352000001</v>
      </c>
      <c r="I483">
        <v>1561.4854736</v>
      </c>
      <c r="J483">
        <v>1287.2515868999999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184.49362199999999</v>
      </c>
      <c r="B484" s="1">
        <f>DATE(2010,11,1) + TIME(11,50,48)</f>
        <v>40483.493611111109</v>
      </c>
      <c r="C484">
        <v>80</v>
      </c>
      <c r="D484">
        <v>78.934173584000007</v>
      </c>
      <c r="E484">
        <v>50</v>
      </c>
      <c r="F484">
        <v>32.376049041999998</v>
      </c>
      <c r="G484">
        <v>1349.2769774999999</v>
      </c>
      <c r="H484">
        <v>1221.4503173999999</v>
      </c>
      <c r="I484">
        <v>1570.7595214999999</v>
      </c>
      <c r="J484">
        <v>1301.6979980000001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184.53831099999999</v>
      </c>
      <c r="B485" s="1">
        <f>DATE(2010,11,1) + TIME(12,55,10)</f>
        <v>40483.538310185184</v>
      </c>
      <c r="C485">
        <v>80</v>
      </c>
      <c r="D485">
        <v>78.915496825999995</v>
      </c>
      <c r="E485">
        <v>50</v>
      </c>
      <c r="F485">
        <v>33.320659636999999</v>
      </c>
      <c r="G485">
        <v>1343.3814697</v>
      </c>
      <c r="H485">
        <v>1215.5443115</v>
      </c>
      <c r="I485">
        <v>1579.6010742000001</v>
      </c>
      <c r="J485">
        <v>1315.5531006000001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184.58540400000001</v>
      </c>
      <c r="B486" s="1">
        <f>DATE(2010,11,1) + TIME(14,2,58)</f>
        <v>40483.585393518515</v>
      </c>
      <c r="C486">
        <v>80</v>
      </c>
      <c r="D486">
        <v>78.896957396999994</v>
      </c>
      <c r="E486">
        <v>50</v>
      </c>
      <c r="F486">
        <v>34.258449554000002</v>
      </c>
      <c r="G486">
        <v>1337.6740723</v>
      </c>
      <c r="H486">
        <v>1209.8272704999999</v>
      </c>
      <c r="I486">
        <v>1588.0767822</v>
      </c>
      <c r="J486">
        <v>1328.8676757999999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184.63510299999999</v>
      </c>
      <c r="B487" s="1">
        <f>DATE(2010,11,1) + TIME(15,14,32)</f>
        <v>40483.635092592594</v>
      </c>
      <c r="C487">
        <v>80</v>
      </c>
      <c r="D487">
        <v>78.878402710000003</v>
      </c>
      <c r="E487">
        <v>50</v>
      </c>
      <c r="F487">
        <v>35.188053130999997</v>
      </c>
      <c r="G487">
        <v>1332.1239014</v>
      </c>
      <c r="H487">
        <v>1204.2681885</v>
      </c>
      <c r="I487">
        <v>1596.2677002</v>
      </c>
      <c r="J487">
        <v>1341.7248535000001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184.68768700000001</v>
      </c>
      <c r="B488" s="1">
        <f>DATE(2010,11,1) + TIME(16,30,16)</f>
        <v>40483.687685185185</v>
      </c>
      <c r="C488">
        <v>80</v>
      </c>
      <c r="D488">
        <v>78.859680175999998</v>
      </c>
      <c r="E488">
        <v>50</v>
      </c>
      <c r="F488">
        <v>36.108917236000003</v>
      </c>
      <c r="G488">
        <v>1326.6984863</v>
      </c>
      <c r="H488">
        <v>1198.8344727000001</v>
      </c>
      <c r="I488">
        <v>1604.2510986</v>
      </c>
      <c r="J488">
        <v>1354.2081298999999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184.74345600000001</v>
      </c>
      <c r="B489" s="1">
        <f>DATE(2010,11,1) + TIME(17,50,34)</f>
        <v>40483.743449074071</v>
      </c>
      <c r="C489">
        <v>80</v>
      </c>
      <c r="D489">
        <v>78.840652465999995</v>
      </c>
      <c r="E489">
        <v>50</v>
      </c>
      <c r="F489">
        <v>37.019939422999997</v>
      </c>
      <c r="G489">
        <v>1321.3704834</v>
      </c>
      <c r="H489">
        <v>1193.4982910000001</v>
      </c>
      <c r="I489">
        <v>1612.0914307</v>
      </c>
      <c r="J489">
        <v>1366.3852539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184.802774</v>
      </c>
      <c r="B490" s="1">
        <f>DATE(2010,11,1) + TIME(19,15,59)</f>
        <v>40483.802766203706</v>
      </c>
      <c r="C490">
        <v>80</v>
      </c>
      <c r="D490">
        <v>78.821144103999998</v>
      </c>
      <c r="E490">
        <v>50</v>
      </c>
      <c r="F490">
        <v>37.920188904</v>
      </c>
      <c r="G490">
        <v>1316.1121826000001</v>
      </c>
      <c r="H490">
        <v>1188.2324219</v>
      </c>
      <c r="I490">
        <v>1619.8494873</v>
      </c>
      <c r="J490">
        <v>1378.3211670000001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184.86604</v>
      </c>
      <c r="B491" s="1">
        <f>DATE(2010,11,1) + TIME(20,47,5)</f>
        <v>40483.866030092591</v>
      </c>
      <c r="C491">
        <v>80</v>
      </c>
      <c r="D491">
        <v>78.801002502000003</v>
      </c>
      <c r="E491">
        <v>50</v>
      </c>
      <c r="F491">
        <v>38.808197020999998</v>
      </c>
      <c r="G491">
        <v>1310.8996582</v>
      </c>
      <c r="H491">
        <v>1183.012207</v>
      </c>
      <c r="I491">
        <v>1627.5778809000001</v>
      </c>
      <c r="J491">
        <v>1390.0704346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184.93378100000001</v>
      </c>
      <c r="B492" s="1">
        <f>DATE(2010,11,1) + TIME(22,24,38)</f>
        <v>40483.93377314815</v>
      </c>
      <c r="C492">
        <v>80</v>
      </c>
      <c r="D492">
        <v>78.780044556000007</v>
      </c>
      <c r="E492">
        <v>50</v>
      </c>
      <c r="F492">
        <v>39.683086394999997</v>
      </c>
      <c r="G492">
        <v>1305.7044678</v>
      </c>
      <c r="H492">
        <v>1177.8094481999999</v>
      </c>
      <c r="I492">
        <v>1635.3339844</v>
      </c>
      <c r="J492">
        <v>1401.6951904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185.00663599999999</v>
      </c>
      <c r="B493" s="1">
        <f>DATE(2010,11,2) + TIME(0,9,33)</f>
        <v>40484.006631944445</v>
      </c>
      <c r="C493">
        <v>80</v>
      </c>
      <c r="D493">
        <v>78.758056640999996</v>
      </c>
      <c r="E493">
        <v>50</v>
      </c>
      <c r="F493">
        <v>40.544006348000003</v>
      </c>
      <c r="G493">
        <v>1300.4973144999999</v>
      </c>
      <c r="H493">
        <v>1172.5946045000001</v>
      </c>
      <c r="I493">
        <v>1643.1748047000001</v>
      </c>
      <c r="J493">
        <v>1413.2570800999999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185.08532500000001</v>
      </c>
      <c r="B494" s="1">
        <f>DATE(2010,11,2) + TIME(2,2,52)</f>
        <v>40484.085324074076</v>
      </c>
      <c r="C494">
        <v>80</v>
      </c>
      <c r="D494">
        <v>78.734825134000005</v>
      </c>
      <c r="E494">
        <v>50</v>
      </c>
      <c r="F494">
        <v>41.389148712000001</v>
      </c>
      <c r="G494">
        <v>1295.2508545000001</v>
      </c>
      <c r="H494">
        <v>1167.3400879000001</v>
      </c>
      <c r="I494">
        <v>1651.1533202999999</v>
      </c>
      <c r="J494">
        <v>1424.8099365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185.17080999999999</v>
      </c>
      <c r="B495" s="1">
        <f>DATE(2010,11,2) + TIME(4,5,57)</f>
        <v>40484.170798611114</v>
      </c>
      <c r="C495">
        <v>80</v>
      </c>
      <c r="D495">
        <v>78.710067749000004</v>
      </c>
      <c r="E495">
        <v>50</v>
      </c>
      <c r="F495">
        <v>42.217224121000001</v>
      </c>
      <c r="G495">
        <v>1289.9304199000001</v>
      </c>
      <c r="H495">
        <v>1162.0111084</v>
      </c>
      <c r="I495">
        <v>1659.3332519999999</v>
      </c>
      <c r="J495">
        <v>1436.4208983999999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185.26429899999999</v>
      </c>
      <c r="B496" s="1">
        <f>DATE(2010,11,2) + TIME(6,20,35)</f>
        <v>40484.264293981483</v>
      </c>
      <c r="C496">
        <v>80</v>
      </c>
      <c r="D496">
        <v>78.683456421000002</v>
      </c>
      <c r="E496">
        <v>50</v>
      </c>
      <c r="F496">
        <v>43.026790619000003</v>
      </c>
      <c r="G496">
        <v>1284.4967041</v>
      </c>
      <c r="H496">
        <v>1156.5682373</v>
      </c>
      <c r="I496">
        <v>1667.7847899999999</v>
      </c>
      <c r="J496">
        <v>1448.1628418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185.36733799999999</v>
      </c>
      <c r="B497" s="1">
        <f>DATE(2010,11,2) + TIME(8,48,57)</f>
        <v>40484.367326388892</v>
      </c>
      <c r="C497">
        <v>80</v>
      </c>
      <c r="D497">
        <v>78.654579162999994</v>
      </c>
      <c r="E497">
        <v>50</v>
      </c>
      <c r="F497">
        <v>43.816070557000003</v>
      </c>
      <c r="G497">
        <v>1278.9042969</v>
      </c>
      <c r="H497">
        <v>1150.9658202999999</v>
      </c>
      <c r="I497">
        <v>1676.5886230000001</v>
      </c>
      <c r="J497">
        <v>1460.1174315999999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185.47914299999999</v>
      </c>
      <c r="B498" s="1">
        <f>DATE(2010,11,2) + TIME(11,29,57)</f>
        <v>40484.479131944441</v>
      </c>
      <c r="C498">
        <v>80</v>
      </c>
      <c r="D498">
        <v>78.623603821000003</v>
      </c>
      <c r="E498">
        <v>50</v>
      </c>
      <c r="F498">
        <v>44.566490172999998</v>
      </c>
      <c r="G498">
        <v>1273.230957</v>
      </c>
      <c r="H498">
        <v>1145.2814940999999</v>
      </c>
      <c r="I498">
        <v>1685.6135254000001</v>
      </c>
      <c r="J498">
        <v>1472.0882568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185.591791</v>
      </c>
      <c r="B499" s="1">
        <f>DATE(2010,11,2) + TIME(14,12,10)</f>
        <v>40484.591782407406</v>
      </c>
      <c r="C499">
        <v>80</v>
      </c>
      <c r="D499">
        <v>78.592308044000006</v>
      </c>
      <c r="E499">
        <v>50</v>
      </c>
      <c r="F499">
        <v>45.228458404999998</v>
      </c>
      <c r="G499">
        <v>1267.8570557</v>
      </c>
      <c r="H499">
        <v>1139.8964844</v>
      </c>
      <c r="I499">
        <v>1694.199707</v>
      </c>
      <c r="J499">
        <v>1483.2332764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185.70623599999999</v>
      </c>
      <c r="B500" s="1">
        <f>DATE(2010,11,2) + TIME(16,56,58)</f>
        <v>40484.706226851849</v>
      </c>
      <c r="C500">
        <v>80</v>
      </c>
      <c r="D500">
        <v>78.560493468999994</v>
      </c>
      <c r="E500">
        <v>50</v>
      </c>
      <c r="F500">
        <v>45.816329955999997</v>
      </c>
      <c r="G500">
        <v>1262.7043457</v>
      </c>
      <c r="H500">
        <v>1134.7320557</v>
      </c>
      <c r="I500">
        <v>1702.4772949000001</v>
      </c>
      <c r="J500">
        <v>1493.7589111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185.82299900000001</v>
      </c>
      <c r="B501" s="1">
        <f>DATE(2010,11,2) + TIME(19,45,7)</f>
        <v>40484.822997685187</v>
      </c>
      <c r="C501">
        <v>80</v>
      </c>
      <c r="D501">
        <v>78.528038025000001</v>
      </c>
      <c r="E501">
        <v>50</v>
      </c>
      <c r="F501">
        <v>46.339462279999999</v>
      </c>
      <c r="G501">
        <v>1257.7260742000001</v>
      </c>
      <c r="H501">
        <v>1129.7414550999999</v>
      </c>
      <c r="I501">
        <v>1710.5195312000001</v>
      </c>
      <c r="J501">
        <v>1503.784668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185.94259099999999</v>
      </c>
      <c r="B502" s="1">
        <f>DATE(2010,11,2) + TIME(22,37,19)</f>
        <v>40484.94258101852</v>
      </c>
      <c r="C502">
        <v>80</v>
      </c>
      <c r="D502">
        <v>78.494819641000007</v>
      </c>
      <c r="E502">
        <v>50</v>
      </c>
      <c r="F502">
        <v>46.805526733000001</v>
      </c>
      <c r="G502">
        <v>1252.8840332</v>
      </c>
      <c r="H502">
        <v>1124.8865966999999</v>
      </c>
      <c r="I502">
        <v>1718.3806152</v>
      </c>
      <c r="J502">
        <v>1513.4018555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186.06553700000001</v>
      </c>
      <c r="B503" s="1">
        <f>DATE(2010,11,3) + TIME(1,34,22)</f>
        <v>40485.065532407411</v>
      </c>
      <c r="C503">
        <v>80</v>
      </c>
      <c r="D503">
        <v>78.460739136000001</v>
      </c>
      <c r="E503">
        <v>50</v>
      </c>
      <c r="F503">
        <v>47.220909118999998</v>
      </c>
      <c r="G503">
        <v>1248.1463623</v>
      </c>
      <c r="H503">
        <v>1120.1354980000001</v>
      </c>
      <c r="I503">
        <v>1726.1030272999999</v>
      </c>
      <c r="J503">
        <v>1522.6829834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186.19238000000001</v>
      </c>
      <c r="B504" s="1">
        <f>DATE(2010,11,3) + TIME(4,37,1)</f>
        <v>40485.192372685182</v>
      </c>
      <c r="C504">
        <v>80</v>
      </c>
      <c r="D504">
        <v>78.425682068</v>
      </c>
      <c r="E504">
        <v>50</v>
      </c>
      <c r="F504">
        <v>47.590999603</v>
      </c>
      <c r="G504">
        <v>1243.4858397999999</v>
      </c>
      <c r="H504">
        <v>1115.4608154</v>
      </c>
      <c r="I504">
        <v>1733.7216797000001</v>
      </c>
      <c r="J504">
        <v>1531.6873779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186.32371499999999</v>
      </c>
      <c r="B505" s="1">
        <f>DATE(2010,11,3) + TIME(7,46,8)</f>
        <v>40485.323703703703</v>
      </c>
      <c r="C505">
        <v>80</v>
      </c>
      <c r="D505">
        <v>78.389518738000007</v>
      </c>
      <c r="E505">
        <v>50</v>
      </c>
      <c r="F505">
        <v>47.920444488999998</v>
      </c>
      <c r="G505">
        <v>1238.8780518000001</v>
      </c>
      <c r="H505">
        <v>1110.8382568</v>
      </c>
      <c r="I505">
        <v>1741.2673339999999</v>
      </c>
      <c r="J505">
        <v>1540.4661865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186.46021300000001</v>
      </c>
      <c r="B506" s="1">
        <f>DATE(2010,11,3) + TIME(11,2,42)</f>
        <v>40485.46020833333</v>
      </c>
      <c r="C506">
        <v>80</v>
      </c>
      <c r="D506">
        <v>78.352111816000004</v>
      </c>
      <c r="E506">
        <v>50</v>
      </c>
      <c r="F506">
        <v>48.213298797999997</v>
      </c>
      <c r="G506">
        <v>1234.300293</v>
      </c>
      <c r="H506">
        <v>1106.2448730000001</v>
      </c>
      <c r="I506">
        <v>1748.7684326000001</v>
      </c>
      <c r="J506">
        <v>1549.0651855000001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186.60251</v>
      </c>
      <c r="B507" s="1">
        <f>DATE(2010,11,3) + TIME(14,27,36)</f>
        <v>40485.602500000001</v>
      </c>
      <c r="C507">
        <v>80</v>
      </c>
      <c r="D507">
        <v>78.313331603999998</v>
      </c>
      <c r="E507">
        <v>50</v>
      </c>
      <c r="F507">
        <v>48.472904204999999</v>
      </c>
      <c r="G507">
        <v>1229.7348632999999</v>
      </c>
      <c r="H507">
        <v>1101.6632079999999</v>
      </c>
      <c r="I507">
        <v>1756.2445068</v>
      </c>
      <c r="J507">
        <v>1557.5180664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186.750441</v>
      </c>
      <c r="B508" s="1">
        <f>DATE(2010,11,3) + TIME(18,0,38)</f>
        <v>40485.750439814816</v>
      </c>
      <c r="C508">
        <v>80</v>
      </c>
      <c r="D508">
        <v>78.273239136000001</v>
      </c>
      <c r="E508">
        <v>50</v>
      </c>
      <c r="F508">
        <v>48.701118469000001</v>
      </c>
      <c r="G508">
        <v>1225.190918</v>
      </c>
      <c r="H508">
        <v>1097.1021728999999</v>
      </c>
      <c r="I508">
        <v>1763.6677245999999</v>
      </c>
      <c r="J508">
        <v>1565.8045654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186.90474599999999</v>
      </c>
      <c r="B509" s="1">
        <f>DATE(2010,11,3) + TIME(21,42,50)</f>
        <v>40485.904745370368</v>
      </c>
      <c r="C509">
        <v>80</v>
      </c>
      <c r="D509">
        <v>78.231681824000006</v>
      </c>
      <c r="E509">
        <v>50</v>
      </c>
      <c r="F509">
        <v>48.901149750000002</v>
      </c>
      <c r="G509">
        <v>1220.6508789</v>
      </c>
      <c r="H509">
        <v>1092.5445557</v>
      </c>
      <c r="I509">
        <v>1771.0601807</v>
      </c>
      <c r="J509">
        <v>1573.9594727000001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187.066137</v>
      </c>
      <c r="B510" s="1">
        <f>DATE(2010,11,4) + TIME(1,35,14)</f>
        <v>40486.066134259258</v>
      </c>
      <c r="C510">
        <v>80</v>
      </c>
      <c r="D510">
        <v>78.188522339000002</v>
      </c>
      <c r="E510">
        <v>50</v>
      </c>
      <c r="F510">
        <v>49.075729369999998</v>
      </c>
      <c r="G510">
        <v>1216.1016846</v>
      </c>
      <c r="H510">
        <v>1087.9768065999999</v>
      </c>
      <c r="I510">
        <v>1778.4356689000001</v>
      </c>
      <c r="J510">
        <v>1582.0068358999999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187.23536799999999</v>
      </c>
      <c r="B511" s="1">
        <f>DATE(2010,11,4) + TIME(5,38,55)</f>
        <v>40486.235358796293</v>
      </c>
      <c r="C511">
        <v>80</v>
      </c>
      <c r="D511">
        <v>78.143630981000001</v>
      </c>
      <c r="E511">
        <v>50</v>
      </c>
      <c r="F511">
        <v>49.227313995000003</v>
      </c>
      <c r="G511">
        <v>1211.5313721</v>
      </c>
      <c r="H511">
        <v>1083.387207</v>
      </c>
      <c r="I511">
        <v>1785.8048096</v>
      </c>
      <c r="J511">
        <v>1589.9664307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187.413532</v>
      </c>
      <c r="B512" s="1">
        <f>DATE(2010,11,4) + TIME(9,55,29)</f>
        <v>40486.413530092592</v>
      </c>
      <c r="C512">
        <v>80</v>
      </c>
      <c r="D512">
        <v>78.096794127999999</v>
      </c>
      <c r="E512">
        <v>50</v>
      </c>
      <c r="F512">
        <v>49.358306884999998</v>
      </c>
      <c r="G512">
        <v>1206.9226074000001</v>
      </c>
      <c r="H512">
        <v>1078.7583007999999</v>
      </c>
      <c r="I512">
        <v>1793.1877440999999</v>
      </c>
      <c r="J512">
        <v>1597.8670654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187.60196400000001</v>
      </c>
      <c r="B513" s="1">
        <f>DATE(2010,11,4) + TIME(14,26,49)</f>
        <v>40486.601956018516</v>
      </c>
      <c r="C513">
        <v>80</v>
      </c>
      <c r="D513">
        <v>78.047744750999996</v>
      </c>
      <c r="E513">
        <v>50</v>
      </c>
      <c r="F513">
        <v>49.470901488999999</v>
      </c>
      <c r="G513">
        <v>1202.2561035000001</v>
      </c>
      <c r="H513">
        <v>1074.0706786999999</v>
      </c>
      <c r="I513">
        <v>1800.6069336</v>
      </c>
      <c r="J513">
        <v>1605.7392577999999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187.80225999999999</v>
      </c>
      <c r="B514" s="1">
        <f>DATE(2010,11,4) + TIME(19,15,15)</f>
        <v>40486.802256944444</v>
      </c>
      <c r="C514">
        <v>80</v>
      </c>
      <c r="D514">
        <v>77.996177673000005</v>
      </c>
      <c r="E514">
        <v>50</v>
      </c>
      <c r="F514">
        <v>49.567047119000001</v>
      </c>
      <c r="G514">
        <v>1197.5112305</v>
      </c>
      <c r="H514">
        <v>1069.3034668</v>
      </c>
      <c r="I514">
        <v>1808.0855713000001</v>
      </c>
      <c r="J514">
        <v>1613.6131591999999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188.016346</v>
      </c>
      <c r="B515" s="1">
        <f>DATE(2010,11,5) + TIME(0,23,32)</f>
        <v>40487.016342592593</v>
      </c>
      <c r="C515">
        <v>80</v>
      </c>
      <c r="D515">
        <v>77.941734314000001</v>
      </c>
      <c r="E515">
        <v>50</v>
      </c>
      <c r="F515">
        <v>49.648521422999998</v>
      </c>
      <c r="G515">
        <v>1192.6650391000001</v>
      </c>
      <c r="H515">
        <v>1064.4339600000001</v>
      </c>
      <c r="I515">
        <v>1815.6489257999999</v>
      </c>
      <c r="J515">
        <v>1621.5202637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188.246487</v>
      </c>
      <c r="B516" s="1">
        <f>DATE(2010,11,5) + TIME(5,54,56)</f>
        <v>40487.246481481481</v>
      </c>
      <c r="C516">
        <v>80</v>
      </c>
      <c r="D516">
        <v>77.883979796999995</v>
      </c>
      <c r="E516">
        <v>50</v>
      </c>
      <c r="F516">
        <v>49.716896057</v>
      </c>
      <c r="G516">
        <v>1187.6940918</v>
      </c>
      <c r="H516">
        <v>1059.4382324000001</v>
      </c>
      <c r="I516">
        <v>1823.3209228999999</v>
      </c>
      <c r="J516">
        <v>1629.4898682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188.49077700000001</v>
      </c>
      <c r="B517" s="1">
        <f>DATE(2010,11,5) + TIME(11,46,43)</f>
        <v>40487.49077546296</v>
      </c>
      <c r="C517">
        <v>80</v>
      </c>
      <c r="D517">
        <v>77.823272704999994</v>
      </c>
      <c r="E517">
        <v>50</v>
      </c>
      <c r="F517">
        <v>49.772777556999998</v>
      </c>
      <c r="G517">
        <v>1182.6630858999999</v>
      </c>
      <c r="H517">
        <v>1054.3814697</v>
      </c>
      <c r="I517">
        <v>1830.9715576000001</v>
      </c>
      <c r="J517">
        <v>1637.3939209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188.73798500000001</v>
      </c>
      <c r="B518" s="1">
        <f>DATE(2010,11,5) + TIME(17,42,41)</f>
        <v>40487.737974537034</v>
      </c>
      <c r="C518">
        <v>80</v>
      </c>
      <c r="D518">
        <v>77.761695861999996</v>
      </c>
      <c r="E518">
        <v>50</v>
      </c>
      <c r="F518">
        <v>49.816131591999998</v>
      </c>
      <c r="G518">
        <v>1177.8016356999999</v>
      </c>
      <c r="H518">
        <v>1049.4942627</v>
      </c>
      <c r="I518">
        <v>1838.2097168</v>
      </c>
      <c r="J518">
        <v>1644.8394774999999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188.98835600000001</v>
      </c>
      <c r="B519" s="1">
        <f>DATE(2010,11,5) + TIME(23,43,13)</f>
        <v>40487.988344907404</v>
      </c>
      <c r="C519">
        <v>80</v>
      </c>
      <c r="D519">
        <v>77.699371338000006</v>
      </c>
      <c r="E519">
        <v>50</v>
      </c>
      <c r="F519">
        <v>49.849708557</v>
      </c>
      <c r="G519">
        <v>1173.0961914</v>
      </c>
      <c r="H519">
        <v>1044.7626952999999</v>
      </c>
      <c r="I519">
        <v>1845.0980225000001</v>
      </c>
      <c r="J519">
        <v>1651.8975829999999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189.24319299999999</v>
      </c>
      <c r="B520" s="1">
        <f>DATE(2010,11,6) + TIME(5,50,11)</f>
        <v>40488.24318287037</v>
      </c>
      <c r="C520">
        <v>80</v>
      </c>
      <c r="D520">
        <v>77.636169433999996</v>
      </c>
      <c r="E520">
        <v>50</v>
      </c>
      <c r="F520">
        <v>49.875717162999997</v>
      </c>
      <c r="G520">
        <v>1168.515625</v>
      </c>
      <c r="H520">
        <v>1040.1557617000001</v>
      </c>
      <c r="I520">
        <v>1851.7032471</v>
      </c>
      <c r="J520">
        <v>1658.6433105000001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189.50373400000001</v>
      </c>
      <c r="B521" s="1">
        <f>DATE(2010,11,6) + TIME(12,5,22)</f>
        <v>40488.50372685185</v>
      </c>
      <c r="C521">
        <v>80</v>
      </c>
      <c r="D521">
        <v>77.571952820000007</v>
      </c>
      <c r="E521">
        <v>50</v>
      </c>
      <c r="F521">
        <v>49.895832061999997</v>
      </c>
      <c r="G521">
        <v>1164.0344238</v>
      </c>
      <c r="H521">
        <v>1035.6478271000001</v>
      </c>
      <c r="I521">
        <v>1858.0712891000001</v>
      </c>
      <c r="J521">
        <v>1665.128418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189.77124800000001</v>
      </c>
      <c r="B522" s="1">
        <f>DATE(2010,11,6) + TIME(18,30,35)</f>
        <v>40488.771238425928</v>
      </c>
      <c r="C522">
        <v>80</v>
      </c>
      <c r="D522">
        <v>77.506523131999998</v>
      </c>
      <c r="E522">
        <v>50</v>
      </c>
      <c r="F522">
        <v>49.911323547000002</v>
      </c>
      <c r="G522">
        <v>1159.6300048999999</v>
      </c>
      <c r="H522">
        <v>1031.2161865</v>
      </c>
      <c r="I522">
        <v>1864.2382812000001</v>
      </c>
      <c r="J522">
        <v>1671.3937988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190.04696899999999</v>
      </c>
      <c r="B523" s="1">
        <f>DATE(2010,11,7) + TIME(1,7,38)</f>
        <v>40489.046967592592</v>
      </c>
      <c r="C523">
        <v>80</v>
      </c>
      <c r="D523">
        <v>77.439697265999996</v>
      </c>
      <c r="E523">
        <v>50</v>
      </c>
      <c r="F523">
        <v>49.923179626</v>
      </c>
      <c r="G523">
        <v>1155.2838135</v>
      </c>
      <c r="H523">
        <v>1026.8424072</v>
      </c>
      <c r="I523">
        <v>1870.2320557</v>
      </c>
      <c r="J523">
        <v>1677.4710693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190.332009</v>
      </c>
      <c r="B524" s="1">
        <f>DATE(2010,11,7) + TIME(7,58,5)</f>
        <v>40489.332002314812</v>
      </c>
      <c r="C524">
        <v>80</v>
      </c>
      <c r="D524">
        <v>77.371284485000004</v>
      </c>
      <c r="E524">
        <v>50</v>
      </c>
      <c r="F524">
        <v>49.932159423999998</v>
      </c>
      <c r="G524">
        <v>1150.9821777</v>
      </c>
      <c r="H524">
        <v>1022.5125732</v>
      </c>
      <c r="I524">
        <v>1876.0720214999999</v>
      </c>
      <c r="J524">
        <v>1683.3826904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190.62684899999999</v>
      </c>
      <c r="B525" s="1">
        <f>DATE(2010,11,7) + TIME(15,2,39)</f>
        <v>40489.626840277779</v>
      </c>
      <c r="C525">
        <v>80</v>
      </c>
      <c r="D525">
        <v>77.301200867000006</v>
      </c>
      <c r="E525">
        <v>50</v>
      </c>
      <c r="F525">
        <v>49.938869476000001</v>
      </c>
      <c r="G525">
        <v>1146.7224120999999</v>
      </c>
      <c r="H525">
        <v>1018.2240601</v>
      </c>
      <c r="I525">
        <v>1881.7604980000001</v>
      </c>
      <c r="J525">
        <v>1689.1333007999999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190.93263300000001</v>
      </c>
      <c r="B526" s="1">
        <f>DATE(2010,11,7) + TIME(22,22,59)</f>
        <v>40489.932627314818</v>
      </c>
      <c r="C526">
        <v>80</v>
      </c>
      <c r="D526">
        <v>77.229255675999994</v>
      </c>
      <c r="E526">
        <v>50</v>
      </c>
      <c r="F526">
        <v>49.943794250000003</v>
      </c>
      <c r="G526">
        <v>1142.4936522999999</v>
      </c>
      <c r="H526">
        <v>1013.9660645</v>
      </c>
      <c r="I526">
        <v>1887.3137207</v>
      </c>
      <c r="J526">
        <v>1694.7409668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191.250573</v>
      </c>
      <c r="B527" s="1">
        <f>DATE(2010,11,8) + TIME(6,0,49)</f>
        <v>40490.250567129631</v>
      </c>
      <c r="C527">
        <v>80</v>
      </c>
      <c r="D527">
        <v>77.155242920000006</v>
      </c>
      <c r="E527">
        <v>50</v>
      </c>
      <c r="F527">
        <v>49.947334290000001</v>
      </c>
      <c r="G527">
        <v>1138.2866211</v>
      </c>
      <c r="H527">
        <v>1009.7290039</v>
      </c>
      <c r="I527">
        <v>1892.7446289</v>
      </c>
      <c r="J527">
        <v>1700.2200928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191.580252</v>
      </c>
      <c r="B528" s="1">
        <f>DATE(2010,11,8) + TIME(13,55,33)</f>
        <v>40490.580243055556</v>
      </c>
      <c r="C528">
        <v>80</v>
      </c>
      <c r="D528">
        <v>77.079200744999994</v>
      </c>
      <c r="E528">
        <v>50</v>
      </c>
      <c r="F528">
        <v>49.949783324999999</v>
      </c>
      <c r="G528">
        <v>1134.1132812000001</v>
      </c>
      <c r="H528">
        <v>1005.5250244</v>
      </c>
      <c r="I528">
        <v>1898.0341797000001</v>
      </c>
      <c r="J528">
        <v>1705.5528564000001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191.92085299999999</v>
      </c>
      <c r="B529" s="1">
        <f>DATE(2010,11,8) + TIME(22,6,1)</f>
        <v>40490.920844907407</v>
      </c>
      <c r="C529">
        <v>80</v>
      </c>
      <c r="D529">
        <v>77.001274108999993</v>
      </c>
      <c r="E529">
        <v>50</v>
      </c>
      <c r="F529">
        <v>49.951396942000002</v>
      </c>
      <c r="G529">
        <v>1129.9888916</v>
      </c>
      <c r="H529">
        <v>1001.3693237</v>
      </c>
      <c r="I529">
        <v>1903.1625977000001</v>
      </c>
      <c r="J529">
        <v>1710.7204589999999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192.27405899999999</v>
      </c>
      <c r="B530" s="1">
        <f>DATE(2010,11,9) + TIME(6,34,38)</f>
        <v>40491.274050925924</v>
      </c>
      <c r="C530">
        <v>80</v>
      </c>
      <c r="D530">
        <v>76.921226501000007</v>
      </c>
      <c r="E530">
        <v>50</v>
      </c>
      <c r="F530">
        <v>49.952381133999999</v>
      </c>
      <c r="G530">
        <v>1125.8989257999999</v>
      </c>
      <c r="H530">
        <v>997.24737548999997</v>
      </c>
      <c r="I530">
        <v>1908.1555175999999</v>
      </c>
      <c r="J530">
        <v>1715.7492675999999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192.64197300000001</v>
      </c>
      <c r="B531" s="1">
        <f>DATE(2010,11,9) + TIME(15,24,26)</f>
        <v>40491.641967592594</v>
      </c>
      <c r="C531">
        <v>80</v>
      </c>
      <c r="D531">
        <v>76.838729857999994</v>
      </c>
      <c r="E531">
        <v>50</v>
      </c>
      <c r="F531">
        <v>49.952907562</v>
      </c>
      <c r="G531">
        <v>1121.8272704999999</v>
      </c>
      <c r="H531">
        <v>993.14276123000002</v>
      </c>
      <c r="I531">
        <v>1913.0366211</v>
      </c>
      <c r="J531">
        <v>1720.6635742000001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193.027028</v>
      </c>
      <c r="B532" s="1">
        <f>DATE(2010,11,10) + TIME(0,38,55)</f>
        <v>40492.027025462965</v>
      </c>
      <c r="C532">
        <v>80</v>
      </c>
      <c r="D532">
        <v>76.753417968999997</v>
      </c>
      <c r="E532">
        <v>50</v>
      </c>
      <c r="F532">
        <v>49.953090668000002</v>
      </c>
      <c r="G532">
        <v>1117.7573242000001</v>
      </c>
      <c r="H532">
        <v>989.03894043000003</v>
      </c>
      <c r="I532">
        <v>1917.8261719</v>
      </c>
      <c r="J532">
        <v>1725.4842529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193.43209300000001</v>
      </c>
      <c r="B533" s="1">
        <f>DATE(2010,11,10) + TIME(10,22,12)</f>
        <v>40492.432083333333</v>
      </c>
      <c r="C533">
        <v>80</v>
      </c>
      <c r="D533">
        <v>76.664817810000002</v>
      </c>
      <c r="E533">
        <v>50</v>
      </c>
      <c r="F533">
        <v>49.953014373999999</v>
      </c>
      <c r="G533">
        <v>1113.6721190999999</v>
      </c>
      <c r="H533">
        <v>984.91870116999996</v>
      </c>
      <c r="I533">
        <v>1922.5435791</v>
      </c>
      <c r="J533">
        <v>1730.2313231999999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193.850413</v>
      </c>
      <c r="B534" s="1">
        <f>DATE(2010,11,10) + TIME(20,24,35)</f>
        <v>40492.850405092591</v>
      </c>
      <c r="C534">
        <v>80</v>
      </c>
      <c r="D534">
        <v>76.573791503999999</v>
      </c>
      <c r="E534">
        <v>50</v>
      </c>
      <c r="F534">
        <v>49.952743529999999</v>
      </c>
      <c r="G534">
        <v>1109.6457519999999</v>
      </c>
      <c r="H534">
        <v>980.85656738</v>
      </c>
      <c r="I534">
        <v>1927.0838623</v>
      </c>
      <c r="J534">
        <v>1734.8000488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194.27505400000001</v>
      </c>
      <c r="B535" s="1">
        <f>DATE(2010,11,11) + TIME(6,36,4)</f>
        <v>40493.275046296294</v>
      </c>
      <c r="C535">
        <v>80</v>
      </c>
      <c r="D535">
        <v>76.481414795000006</v>
      </c>
      <c r="E535">
        <v>50</v>
      </c>
      <c r="F535">
        <v>49.952335357999999</v>
      </c>
      <c r="G535">
        <v>1105.7420654</v>
      </c>
      <c r="H535">
        <v>976.91674805000002</v>
      </c>
      <c r="I535">
        <v>1931.3757324000001</v>
      </c>
      <c r="J535">
        <v>1739.1186522999999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194.70810399999999</v>
      </c>
      <c r="B536" s="1">
        <f>DATE(2010,11,11) + TIME(16,59,40)</f>
        <v>40493.708101851851</v>
      </c>
      <c r="C536">
        <v>80</v>
      </c>
      <c r="D536">
        <v>76.387680054</v>
      </c>
      <c r="E536">
        <v>50</v>
      </c>
      <c r="F536">
        <v>49.951866150000001</v>
      </c>
      <c r="G536">
        <v>1101.9390868999999</v>
      </c>
      <c r="H536">
        <v>973.07714843999997</v>
      </c>
      <c r="I536">
        <v>1935.4674072</v>
      </c>
      <c r="J536">
        <v>1743.2355957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195.15180000000001</v>
      </c>
      <c r="B537" s="1">
        <f>DATE(2010,11,12) + TIME(3,38,35)</f>
        <v>40494.15179398148</v>
      </c>
      <c r="C537">
        <v>80</v>
      </c>
      <c r="D537">
        <v>76.292411803999997</v>
      </c>
      <c r="E537">
        <v>50</v>
      </c>
      <c r="F537">
        <v>49.951358794999997</v>
      </c>
      <c r="G537">
        <v>1098.2163086</v>
      </c>
      <c r="H537">
        <v>969.31713866999996</v>
      </c>
      <c r="I537">
        <v>1939.3919678</v>
      </c>
      <c r="J537">
        <v>1747.184082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195.60840300000001</v>
      </c>
      <c r="B538" s="1">
        <f>DATE(2010,11,12) + TIME(14,36,5)</f>
        <v>40494.608391203707</v>
      </c>
      <c r="C538">
        <v>80</v>
      </c>
      <c r="D538">
        <v>76.195350646999998</v>
      </c>
      <c r="E538">
        <v>50</v>
      </c>
      <c r="F538">
        <v>49.950832366999997</v>
      </c>
      <c r="G538">
        <v>1094.5561522999999</v>
      </c>
      <c r="H538">
        <v>965.61907958999996</v>
      </c>
      <c r="I538">
        <v>1943.1734618999999</v>
      </c>
      <c r="J538">
        <v>1750.9884033000001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196.07739599999999</v>
      </c>
      <c r="B539" s="1">
        <f>DATE(2010,11,13) + TIME(1,51,26)</f>
        <v>40495.077384259261</v>
      </c>
      <c r="C539">
        <v>80</v>
      </c>
      <c r="D539">
        <v>76.096534728999998</v>
      </c>
      <c r="E539">
        <v>50</v>
      </c>
      <c r="F539">
        <v>49.950302123999997</v>
      </c>
      <c r="G539">
        <v>1090.9636230000001</v>
      </c>
      <c r="H539">
        <v>961.98803711000005</v>
      </c>
      <c r="I539">
        <v>1946.8052978999999</v>
      </c>
      <c r="J539">
        <v>1754.6419678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196.55447599999999</v>
      </c>
      <c r="B540" s="1">
        <f>DATE(2010,11,13) + TIME(13,18,26)</f>
        <v>40495.554467592592</v>
      </c>
      <c r="C540">
        <v>80</v>
      </c>
      <c r="D540">
        <v>75.996536254999995</v>
      </c>
      <c r="E540">
        <v>50</v>
      </c>
      <c r="F540">
        <v>49.949771880999997</v>
      </c>
      <c r="G540">
        <v>1087.4691161999999</v>
      </c>
      <c r="H540">
        <v>958.45458984000004</v>
      </c>
      <c r="I540">
        <v>1950.2535399999999</v>
      </c>
      <c r="J540">
        <v>1758.1110839999999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197.038951</v>
      </c>
      <c r="B541" s="1">
        <f>DATE(2010,11,14) + TIME(0,56,5)</f>
        <v>40496.038946759261</v>
      </c>
      <c r="C541">
        <v>80</v>
      </c>
      <c r="D541">
        <v>75.895584106000001</v>
      </c>
      <c r="E541">
        <v>50</v>
      </c>
      <c r="F541">
        <v>49.949256896999998</v>
      </c>
      <c r="G541">
        <v>1084.0740966999999</v>
      </c>
      <c r="H541">
        <v>955.02026366999996</v>
      </c>
      <c r="I541">
        <v>1953.5258789</v>
      </c>
      <c r="J541">
        <v>1761.4031981999999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197.53321199999999</v>
      </c>
      <c r="B542" s="1">
        <f>DATE(2010,11,14) + TIME(12,47,49)</f>
        <v>40496.533206018517</v>
      </c>
      <c r="C542">
        <v>80</v>
      </c>
      <c r="D542">
        <v>75.793479919000006</v>
      </c>
      <c r="E542">
        <v>50</v>
      </c>
      <c r="F542">
        <v>49.948764801000003</v>
      </c>
      <c r="G542">
        <v>1080.7597656</v>
      </c>
      <c r="H542">
        <v>951.66613770000004</v>
      </c>
      <c r="I542">
        <v>1956.651001</v>
      </c>
      <c r="J542">
        <v>1764.5472411999999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198.038847</v>
      </c>
      <c r="B543" s="1">
        <f>DATE(2010,11,15) + TIME(0,55,56)</f>
        <v>40497.038842592592</v>
      </c>
      <c r="C543">
        <v>80</v>
      </c>
      <c r="D543">
        <v>75.690048218000001</v>
      </c>
      <c r="E543">
        <v>50</v>
      </c>
      <c r="F543">
        <v>49.948295592999997</v>
      </c>
      <c r="G543">
        <v>1077.5147704999999</v>
      </c>
      <c r="H543">
        <v>948.38067626999998</v>
      </c>
      <c r="I543">
        <v>1959.644043</v>
      </c>
      <c r="J543">
        <v>1767.5582274999999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198.558301</v>
      </c>
      <c r="B544" s="1">
        <f>DATE(2010,11,15) + TIME(13,23,57)</f>
        <v>40497.558298611111</v>
      </c>
      <c r="C544">
        <v>80</v>
      </c>
      <c r="D544">
        <v>75.584960937999995</v>
      </c>
      <c r="E544">
        <v>50</v>
      </c>
      <c r="F544">
        <v>49.947845459</v>
      </c>
      <c r="G544">
        <v>1074.3240966999999</v>
      </c>
      <c r="H544">
        <v>945.14892578000001</v>
      </c>
      <c r="I544">
        <v>1962.5223389</v>
      </c>
      <c r="J544">
        <v>1770.4538574000001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199.09445500000001</v>
      </c>
      <c r="B545" s="1">
        <f>DATE(2010,11,16) + TIME(2,16,0)</f>
        <v>40498.094444444447</v>
      </c>
      <c r="C545">
        <v>80</v>
      </c>
      <c r="D545">
        <v>75.477806091000005</v>
      </c>
      <c r="E545">
        <v>50</v>
      </c>
      <c r="F545">
        <v>49.947422027999998</v>
      </c>
      <c r="G545">
        <v>1071.1730957</v>
      </c>
      <c r="H545">
        <v>941.95587158000001</v>
      </c>
      <c r="I545">
        <v>1965.3016356999999</v>
      </c>
      <c r="J545">
        <v>1773.2497559000001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199.65054599999999</v>
      </c>
      <c r="B546" s="1">
        <f>DATE(2010,11,16) + TIME(15,36,47)</f>
        <v>40498.650543981479</v>
      </c>
      <c r="C546">
        <v>80</v>
      </c>
      <c r="D546">
        <v>75.368087768999999</v>
      </c>
      <c r="E546">
        <v>50</v>
      </c>
      <c r="F546">
        <v>49.947013855000002</v>
      </c>
      <c r="G546">
        <v>1068.0472411999999</v>
      </c>
      <c r="H546">
        <v>938.78692626999998</v>
      </c>
      <c r="I546">
        <v>1967.9953613</v>
      </c>
      <c r="J546">
        <v>1775.9595947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200.2303</v>
      </c>
      <c r="B547" s="1">
        <f>DATE(2010,11,17) + TIME(5,31,37)</f>
        <v>40499.23028935185</v>
      </c>
      <c r="C547">
        <v>80</v>
      </c>
      <c r="D547">
        <v>75.255264281999999</v>
      </c>
      <c r="E547">
        <v>50</v>
      </c>
      <c r="F547">
        <v>49.946624755999999</v>
      </c>
      <c r="G547">
        <v>1064.9324951000001</v>
      </c>
      <c r="H547">
        <v>935.62762451000003</v>
      </c>
      <c r="I547">
        <v>1970.6156006000001</v>
      </c>
      <c r="J547">
        <v>1778.5953368999999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200.838097</v>
      </c>
      <c r="B548" s="1">
        <f>DATE(2010,11,17) + TIME(20,6,51)</f>
        <v>40499.838090277779</v>
      </c>
      <c r="C548">
        <v>80</v>
      </c>
      <c r="D548">
        <v>75.138671875</v>
      </c>
      <c r="E548">
        <v>50</v>
      </c>
      <c r="F548">
        <v>49.94625473</v>
      </c>
      <c r="G548">
        <v>1061.8143310999999</v>
      </c>
      <c r="H548">
        <v>932.46319579999999</v>
      </c>
      <c r="I548">
        <v>1973.1732178</v>
      </c>
      <c r="J548">
        <v>1781.1682129000001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201.45409900000001</v>
      </c>
      <c r="B549" s="1">
        <f>DATE(2010,11,18) + TIME(10,53,54)</f>
        <v>40500.454097222224</v>
      </c>
      <c r="C549">
        <v>80</v>
      </c>
      <c r="D549">
        <v>75.020187378000003</v>
      </c>
      <c r="E549">
        <v>50</v>
      </c>
      <c r="F549">
        <v>49.945888519</v>
      </c>
      <c r="G549">
        <v>1058.7908935999999</v>
      </c>
      <c r="H549">
        <v>929.39300536999997</v>
      </c>
      <c r="I549">
        <v>1975.5606689000001</v>
      </c>
      <c r="J549">
        <v>1783.5704346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202.07301100000001</v>
      </c>
      <c r="B550" s="1">
        <f>DATE(2010,11,19) + TIME(1,45,8)</f>
        <v>40501.073009259257</v>
      </c>
      <c r="C550">
        <v>80</v>
      </c>
      <c r="D550">
        <v>74.900871276999993</v>
      </c>
      <c r="E550">
        <v>50</v>
      </c>
      <c r="F550">
        <v>49.945545197000001</v>
      </c>
      <c r="G550">
        <v>1055.8831786999999</v>
      </c>
      <c r="H550">
        <v>926.43768310999997</v>
      </c>
      <c r="I550">
        <v>1977.7757568</v>
      </c>
      <c r="J550">
        <v>1785.7996826000001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202.69773699999999</v>
      </c>
      <c r="B551" s="1">
        <f>DATE(2010,11,19) + TIME(16,44,44)</f>
        <v>40501.697731481479</v>
      </c>
      <c r="C551">
        <v>80</v>
      </c>
      <c r="D551">
        <v>74.781013489000003</v>
      </c>
      <c r="E551">
        <v>50</v>
      </c>
      <c r="F551">
        <v>49.945232390999998</v>
      </c>
      <c r="G551">
        <v>1053.0726318</v>
      </c>
      <c r="H551">
        <v>923.57897949000005</v>
      </c>
      <c r="I551">
        <v>1979.8509521000001</v>
      </c>
      <c r="J551">
        <v>1787.8881836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203.32998499999999</v>
      </c>
      <c r="B552" s="1">
        <f>DATE(2010,11,20) + TIME(7,55,10)</f>
        <v>40502.329976851855</v>
      </c>
      <c r="C552">
        <v>80</v>
      </c>
      <c r="D552">
        <v>74.660644531000003</v>
      </c>
      <c r="E552">
        <v>50</v>
      </c>
      <c r="F552">
        <v>49.944953918000003</v>
      </c>
      <c r="G552">
        <v>1050.3476562000001</v>
      </c>
      <c r="H552">
        <v>920.80517578000001</v>
      </c>
      <c r="I552">
        <v>1981.8024902</v>
      </c>
      <c r="J552">
        <v>1789.8521728999999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203.97244499999999</v>
      </c>
      <c r="B553" s="1">
        <f>DATE(2010,11,20) + TIME(23,20,19)</f>
        <v>40502.972442129627</v>
      </c>
      <c r="C553">
        <v>80</v>
      </c>
      <c r="D553">
        <v>74.539558411000002</v>
      </c>
      <c r="E553">
        <v>50</v>
      </c>
      <c r="F553">
        <v>49.944698334000002</v>
      </c>
      <c r="G553">
        <v>1047.6943358999999</v>
      </c>
      <c r="H553">
        <v>918.10223388999998</v>
      </c>
      <c r="I553">
        <v>1983.645874</v>
      </c>
      <c r="J553">
        <v>1791.7072754000001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204.62708799999999</v>
      </c>
      <c r="B554" s="1">
        <f>DATE(2010,11,21) + TIME(15,3,0)</f>
        <v>40503.627083333333</v>
      </c>
      <c r="C554">
        <v>80</v>
      </c>
      <c r="D554">
        <v>74.417488098000007</v>
      </c>
      <c r="E554">
        <v>50</v>
      </c>
      <c r="F554">
        <v>49.944469452</v>
      </c>
      <c r="G554">
        <v>1045.1029053</v>
      </c>
      <c r="H554">
        <v>915.46032715000001</v>
      </c>
      <c r="I554">
        <v>1985.3902588000001</v>
      </c>
      <c r="J554">
        <v>1793.4630127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205.29598100000001</v>
      </c>
      <c r="B555" s="1">
        <f>DATE(2010,11,22) + TIME(7,6,12)</f>
        <v>40504.295972222222</v>
      </c>
      <c r="C555">
        <v>80</v>
      </c>
      <c r="D555">
        <v>74.294113159000005</v>
      </c>
      <c r="E555">
        <v>50</v>
      </c>
      <c r="F555">
        <v>49.944255828999999</v>
      </c>
      <c r="G555">
        <v>1042.5650635</v>
      </c>
      <c r="H555">
        <v>912.87078856999995</v>
      </c>
      <c r="I555">
        <v>1987.0435791</v>
      </c>
      <c r="J555">
        <v>1795.1271973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205.98223200000001</v>
      </c>
      <c r="B556" s="1">
        <f>DATE(2010,11,22) + TIME(23,34,24)</f>
        <v>40504.982222222221</v>
      </c>
      <c r="C556">
        <v>80</v>
      </c>
      <c r="D556">
        <v>74.169029236</v>
      </c>
      <c r="E556">
        <v>50</v>
      </c>
      <c r="F556">
        <v>49.944065094000003</v>
      </c>
      <c r="G556">
        <v>1040.0695800999999</v>
      </c>
      <c r="H556">
        <v>910.32250977000001</v>
      </c>
      <c r="I556">
        <v>1988.6149902</v>
      </c>
      <c r="J556">
        <v>1796.7087402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206.68800200000001</v>
      </c>
      <c r="B557" s="1">
        <f>DATE(2010,11,23) + TIME(16,30,43)</f>
        <v>40505.687997685185</v>
      </c>
      <c r="C557">
        <v>80</v>
      </c>
      <c r="D557">
        <v>74.041854857999994</v>
      </c>
      <c r="E557">
        <v>50</v>
      </c>
      <c r="F557">
        <v>49.943889618</v>
      </c>
      <c r="G557">
        <v>1037.6104736</v>
      </c>
      <c r="H557">
        <v>907.80889893000005</v>
      </c>
      <c r="I557">
        <v>1990.1082764</v>
      </c>
      <c r="J557">
        <v>1798.2119141000001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207.41558599999999</v>
      </c>
      <c r="B558" s="1">
        <f>DATE(2010,11,24) + TIME(9,58,26)</f>
        <v>40506.415578703702</v>
      </c>
      <c r="C558">
        <v>80</v>
      </c>
      <c r="D558">
        <v>73.912223815999994</v>
      </c>
      <c r="E558">
        <v>50</v>
      </c>
      <c r="F558">
        <v>49.943725585999999</v>
      </c>
      <c r="G558">
        <v>1035.1818848</v>
      </c>
      <c r="H558">
        <v>905.32415771000001</v>
      </c>
      <c r="I558">
        <v>1991.5267334</v>
      </c>
      <c r="J558">
        <v>1799.6400146000001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208.16839999999999</v>
      </c>
      <c r="B559" s="1">
        <f>DATE(2010,11,25) + TIME(4,2,29)</f>
        <v>40507.168391203704</v>
      </c>
      <c r="C559">
        <v>80</v>
      </c>
      <c r="D559">
        <v>73.779685974000003</v>
      </c>
      <c r="E559">
        <v>50</v>
      </c>
      <c r="F559">
        <v>49.943576813</v>
      </c>
      <c r="G559">
        <v>1032.7761230000001</v>
      </c>
      <c r="H559">
        <v>902.85998534999999</v>
      </c>
      <c r="I559">
        <v>1992.8753661999999</v>
      </c>
      <c r="J559">
        <v>1800.9978027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208.951562</v>
      </c>
      <c r="B560" s="1">
        <f>DATE(2010,11,25) + TIME(22,50,14)</f>
        <v>40507.951550925929</v>
      </c>
      <c r="C560">
        <v>80</v>
      </c>
      <c r="D560">
        <v>73.643592834000003</v>
      </c>
      <c r="E560">
        <v>50</v>
      </c>
      <c r="F560">
        <v>49.943443297999998</v>
      </c>
      <c r="G560">
        <v>1030.3817139</v>
      </c>
      <c r="H560">
        <v>900.40478515999996</v>
      </c>
      <c r="I560">
        <v>1994.1605225000001</v>
      </c>
      <c r="J560">
        <v>1802.2919922000001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209.74104600000001</v>
      </c>
      <c r="B561" s="1">
        <f>DATE(2010,11,26) + TIME(17,47,6)</f>
        <v>40508.741041666668</v>
      </c>
      <c r="C561">
        <v>80</v>
      </c>
      <c r="D561">
        <v>73.505752563000001</v>
      </c>
      <c r="E561">
        <v>50</v>
      </c>
      <c r="F561">
        <v>49.943309784</v>
      </c>
      <c r="G561">
        <v>1028.065918</v>
      </c>
      <c r="H561">
        <v>898.02661133000004</v>
      </c>
      <c r="I561">
        <v>1995.3258057</v>
      </c>
      <c r="J561">
        <v>1803.4656981999999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210.53354200000001</v>
      </c>
      <c r="B562" s="1">
        <f>DATE(2010,11,27) + TIME(12,48,17)</f>
        <v>40509.533530092594</v>
      </c>
      <c r="C562">
        <v>80</v>
      </c>
      <c r="D562">
        <v>73.367355347</v>
      </c>
      <c r="E562">
        <v>50</v>
      </c>
      <c r="F562">
        <v>49.943191528</v>
      </c>
      <c r="G562">
        <v>1025.8353271000001</v>
      </c>
      <c r="H562">
        <v>895.73205566000001</v>
      </c>
      <c r="I562">
        <v>1996.3803711</v>
      </c>
      <c r="J562">
        <v>1804.5284423999999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211.33222000000001</v>
      </c>
      <c r="B563" s="1">
        <f>DATE(2010,11,28) + TIME(7,58,23)</f>
        <v>40510.33221064815</v>
      </c>
      <c r="C563">
        <v>80</v>
      </c>
      <c r="D563">
        <v>73.228698730000005</v>
      </c>
      <c r="E563">
        <v>50</v>
      </c>
      <c r="F563">
        <v>49.943088531000001</v>
      </c>
      <c r="G563">
        <v>1023.6782227</v>
      </c>
      <c r="H563">
        <v>893.50939941000001</v>
      </c>
      <c r="I563">
        <v>1997.3424072</v>
      </c>
      <c r="J563">
        <v>1805.4980469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212.13994600000001</v>
      </c>
      <c r="B564" s="1">
        <f>DATE(2010,11,29) + TIME(3,21,31)</f>
        <v>40511.13994212963</v>
      </c>
      <c r="C564">
        <v>80</v>
      </c>
      <c r="D564">
        <v>73.089706421000002</v>
      </c>
      <c r="E564">
        <v>50</v>
      </c>
      <c r="F564">
        <v>49.943008423000002</v>
      </c>
      <c r="G564">
        <v>1021.5841064</v>
      </c>
      <c r="H564">
        <v>891.34814453000001</v>
      </c>
      <c r="I564">
        <v>1998.2227783000001</v>
      </c>
      <c r="J564">
        <v>1806.3854980000001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212.95951700000001</v>
      </c>
      <c r="B565" s="1">
        <f>DATE(2010,11,29) + TIME(23,1,42)</f>
        <v>40511.959513888891</v>
      </c>
      <c r="C565">
        <v>80</v>
      </c>
      <c r="D565">
        <v>72.950096130000006</v>
      </c>
      <c r="E565">
        <v>50</v>
      </c>
      <c r="F565">
        <v>49.942939758000001</v>
      </c>
      <c r="G565">
        <v>1019.5439453</v>
      </c>
      <c r="H565">
        <v>889.23907470999995</v>
      </c>
      <c r="I565">
        <v>1999.0285644999999</v>
      </c>
      <c r="J565">
        <v>1807.1981201000001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213.794005</v>
      </c>
      <c r="B566" s="1">
        <f>DATE(2010,11,30) + TIME(19,3,22)</f>
        <v>40512.794004629628</v>
      </c>
      <c r="C566">
        <v>80</v>
      </c>
      <c r="D566">
        <v>72.809455872000001</v>
      </c>
      <c r="E566">
        <v>50</v>
      </c>
      <c r="F566">
        <v>49.942882537999999</v>
      </c>
      <c r="G566">
        <v>1017.5490723</v>
      </c>
      <c r="H566">
        <v>887.17321776999995</v>
      </c>
      <c r="I566">
        <v>1999.765625</v>
      </c>
      <c r="J566">
        <v>1807.9416504000001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214</v>
      </c>
      <c r="B567" s="1">
        <f>DATE(2010,12,1) + TIME(0,0,0)</f>
        <v>40513</v>
      </c>
      <c r="C567">
        <v>80</v>
      </c>
      <c r="D567">
        <v>72.752944946</v>
      </c>
      <c r="E567">
        <v>50</v>
      </c>
      <c r="F567">
        <v>49.942714690999999</v>
      </c>
      <c r="G567">
        <v>1016.9845581</v>
      </c>
      <c r="H567">
        <v>886.58734131000006</v>
      </c>
      <c r="I567">
        <v>1999.8128661999999</v>
      </c>
      <c r="J567">
        <v>1807.9930420000001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214.853905</v>
      </c>
      <c r="B568" s="1">
        <f>DATE(2010,12,1) + TIME(20,29,37)</f>
        <v>40513.853900462964</v>
      </c>
      <c r="C568">
        <v>80</v>
      </c>
      <c r="D568">
        <v>72.622055054</v>
      </c>
      <c r="E568">
        <v>50</v>
      </c>
      <c r="F568">
        <v>49.942790985000002</v>
      </c>
      <c r="G568">
        <v>1015.1019897</v>
      </c>
      <c r="H568">
        <v>884.62725829999999</v>
      </c>
      <c r="I568">
        <v>2000.5206298999999</v>
      </c>
      <c r="J568">
        <v>1808.7043457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215.735974</v>
      </c>
      <c r="B569" s="1">
        <f>DATE(2010,12,2) + TIME(17,39,48)</f>
        <v>40514.735972222225</v>
      </c>
      <c r="C569">
        <v>80</v>
      </c>
      <c r="D569">
        <v>72.482963561999995</v>
      </c>
      <c r="E569">
        <v>50</v>
      </c>
      <c r="F569">
        <v>49.942813872999999</v>
      </c>
      <c r="G569">
        <v>1013.1856079</v>
      </c>
      <c r="H569">
        <v>882.63732909999999</v>
      </c>
      <c r="I569">
        <v>2001.1646728999999</v>
      </c>
      <c r="J569">
        <v>1809.3538818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216.645534</v>
      </c>
      <c r="B570" s="1">
        <f>DATE(2010,12,3) + TIME(15,29,34)</f>
        <v>40515.645532407405</v>
      </c>
      <c r="C570">
        <v>80</v>
      </c>
      <c r="D570">
        <v>72.338096618999998</v>
      </c>
      <c r="E570">
        <v>50</v>
      </c>
      <c r="F570">
        <v>49.942798615000001</v>
      </c>
      <c r="G570">
        <v>1011.2837524</v>
      </c>
      <c r="H570">
        <v>880.65655518000005</v>
      </c>
      <c r="I570">
        <v>2001.7237548999999</v>
      </c>
      <c r="J570">
        <v>1809.9185791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217.588877</v>
      </c>
      <c r="B571" s="1">
        <f>DATE(2010,12,4) + TIME(14,7,58)</f>
        <v>40516.588865740741</v>
      </c>
      <c r="C571">
        <v>80</v>
      </c>
      <c r="D571">
        <v>72.188232421999999</v>
      </c>
      <c r="E571">
        <v>50</v>
      </c>
      <c r="F571">
        <v>49.942783356</v>
      </c>
      <c r="G571">
        <v>1009.3895874</v>
      </c>
      <c r="H571">
        <v>878.67816161999997</v>
      </c>
      <c r="I571">
        <v>2002.2170410000001</v>
      </c>
      <c r="J571">
        <v>1810.4172363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218.551751</v>
      </c>
      <c r="B572" s="1">
        <f>DATE(2010,12,5) + TIME(13,14,31)</f>
        <v>40517.551747685182</v>
      </c>
      <c r="C572">
        <v>80</v>
      </c>
      <c r="D572">
        <v>72.034729003999999</v>
      </c>
      <c r="E572">
        <v>50</v>
      </c>
      <c r="F572">
        <v>49.942768096999998</v>
      </c>
      <c r="G572">
        <v>1007.5287476</v>
      </c>
      <c r="H572">
        <v>876.72863770000004</v>
      </c>
      <c r="I572">
        <v>2002.6341553</v>
      </c>
      <c r="J572">
        <v>1810.8393555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219.52040600000001</v>
      </c>
      <c r="B573" s="1">
        <f>DATE(2010,12,6) + TIME(12,29,23)</f>
        <v>40518.520405092589</v>
      </c>
      <c r="C573">
        <v>80</v>
      </c>
      <c r="D573">
        <v>71.879447936999995</v>
      </c>
      <c r="E573">
        <v>50</v>
      </c>
      <c r="F573">
        <v>49.942756653000004</v>
      </c>
      <c r="G573">
        <v>1005.7238159</v>
      </c>
      <c r="H573">
        <v>874.83111571999996</v>
      </c>
      <c r="I573">
        <v>2002.9718018000001</v>
      </c>
      <c r="J573">
        <v>1811.1818848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220.49863999999999</v>
      </c>
      <c r="B574" s="1">
        <f>DATE(2010,12,7) + TIME(11,58,2)</f>
        <v>40519.49863425926</v>
      </c>
      <c r="C574">
        <v>80</v>
      </c>
      <c r="D574">
        <v>71.723182678000001</v>
      </c>
      <c r="E574">
        <v>50</v>
      </c>
      <c r="F574">
        <v>49.942760468000003</v>
      </c>
      <c r="G574">
        <v>1003.9677734000001</v>
      </c>
      <c r="H574">
        <v>872.97882079999999</v>
      </c>
      <c r="I574">
        <v>2003.2437743999999</v>
      </c>
      <c r="J574">
        <v>1811.458374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221.489102</v>
      </c>
      <c r="B575" s="1">
        <f>DATE(2010,12,8) + TIME(11,44,18)</f>
        <v>40520.48909722222</v>
      </c>
      <c r="C575">
        <v>80</v>
      </c>
      <c r="D575">
        <v>71.566024780000006</v>
      </c>
      <c r="E575">
        <v>50</v>
      </c>
      <c r="F575">
        <v>49.942771911999998</v>
      </c>
      <c r="G575">
        <v>1002.2541504</v>
      </c>
      <c r="H575">
        <v>871.16516113</v>
      </c>
      <c r="I575">
        <v>2003.4570312000001</v>
      </c>
      <c r="J575">
        <v>1811.6759033000001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222.49067099999999</v>
      </c>
      <c r="B576" s="1">
        <f>DATE(2010,12,9) + TIME(11,46,33)</f>
        <v>40521.490659722222</v>
      </c>
      <c r="C576">
        <v>80</v>
      </c>
      <c r="D576">
        <v>71.408050536999994</v>
      </c>
      <c r="E576">
        <v>50</v>
      </c>
      <c r="F576">
        <v>49.942794800000001</v>
      </c>
      <c r="G576">
        <v>1000.5820312</v>
      </c>
      <c r="H576">
        <v>869.38909911999997</v>
      </c>
      <c r="I576">
        <v>2003.6138916</v>
      </c>
      <c r="J576">
        <v>1811.8369141000001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223.508724</v>
      </c>
      <c r="B577" s="1">
        <f>DATE(2010,12,10) + TIME(12,12,33)</f>
        <v>40522.508715277778</v>
      </c>
      <c r="C577">
        <v>80</v>
      </c>
      <c r="D577">
        <v>71.248931885000005</v>
      </c>
      <c r="E577">
        <v>50</v>
      </c>
      <c r="F577">
        <v>49.942829132</v>
      </c>
      <c r="G577">
        <v>998.94195557</v>
      </c>
      <c r="H577">
        <v>867.64080810999997</v>
      </c>
      <c r="I577">
        <v>2003.7202147999999</v>
      </c>
      <c r="J577">
        <v>1811.9468993999999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224.54870299999999</v>
      </c>
      <c r="B578" s="1">
        <f>DATE(2010,12,11) + TIME(13,10,7)</f>
        <v>40523.548692129632</v>
      </c>
      <c r="C578">
        <v>80</v>
      </c>
      <c r="D578">
        <v>71.088050842000001</v>
      </c>
      <c r="E578">
        <v>50</v>
      </c>
      <c r="F578">
        <v>49.942871093999997</v>
      </c>
      <c r="G578">
        <v>997.32495116999996</v>
      </c>
      <c r="H578">
        <v>865.91052246000004</v>
      </c>
      <c r="I578">
        <v>2003.7789307</v>
      </c>
      <c r="J578">
        <v>1812.0092772999999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225.612854</v>
      </c>
      <c r="B579" s="1">
        <f>DATE(2010,12,12) + TIME(14,42,30)</f>
        <v>40524.612847222219</v>
      </c>
      <c r="C579">
        <v>80</v>
      </c>
      <c r="D579">
        <v>70.924896239999995</v>
      </c>
      <c r="E579">
        <v>50</v>
      </c>
      <c r="F579">
        <v>49.942920684999997</v>
      </c>
      <c r="G579">
        <v>995.72631836000005</v>
      </c>
      <c r="H579">
        <v>864.19305420000001</v>
      </c>
      <c r="I579">
        <v>2003.7906493999999</v>
      </c>
      <c r="J579">
        <v>1812.0244141000001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226.70746800000001</v>
      </c>
      <c r="B580" s="1">
        <f>DATE(2010,12,13) + TIME(16,58,45)</f>
        <v>40525.707465277781</v>
      </c>
      <c r="C580">
        <v>80</v>
      </c>
      <c r="D580">
        <v>70.758773804</v>
      </c>
      <c r="E580">
        <v>50</v>
      </c>
      <c r="F580">
        <v>49.942977904999999</v>
      </c>
      <c r="G580">
        <v>994.13763428000004</v>
      </c>
      <c r="H580">
        <v>862.47900390999996</v>
      </c>
      <c r="I580">
        <v>2003.7569579999999</v>
      </c>
      <c r="J580">
        <v>1811.9940185999999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227.839494</v>
      </c>
      <c r="B581" s="1">
        <f>DATE(2010,12,14) + TIME(20,8,52)</f>
        <v>40526.839490740742</v>
      </c>
      <c r="C581">
        <v>80</v>
      </c>
      <c r="D581">
        <v>70.588859557999996</v>
      </c>
      <c r="E581">
        <v>50</v>
      </c>
      <c r="F581">
        <v>49.94304657</v>
      </c>
      <c r="G581">
        <v>992.54998779000005</v>
      </c>
      <c r="H581">
        <v>860.75830078000001</v>
      </c>
      <c r="I581">
        <v>2003.6782227000001</v>
      </c>
      <c r="J581">
        <v>1811.918457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228.98357799999999</v>
      </c>
      <c r="B582" s="1">
        <f>DATE(2010,12,15) + TIME(23,36,21)</f>
        <v>40527.983576388891</v>
      </c>
      <c r="C582">
        <v>80</v>
      </c>
      <c r="D582">
        <v>70.416168213000006</v>
      </c>
      <c r="E582">
        <v>50</v>
      </c>
      <c r="F582">
        <v>49.943107605000002</v>
      </c>
      <c r="G582">
        <v>990.98834228999999</v>
      </c>
      <c r="H582">
        <v>859.05639647999999</v>
      </c>
      <c r="I582">
        <v>2003.5466309000001</v>
      </c>
      <c r="J582">
        <v>1811.7897949000001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230.13370499999999</v>
      </c>
      <c r="B583" s="1">
        <f>DATE(2010,12,17) + TIME(3,12,32)</f>
        <v>40529.133703703701</v>
      </c>
      <c r="C583">
        <v>80</v>
      </c>
      <c r="D583">
        <v>70.242111206000004</v>
      </c>
      <c r="E583">
        <v>50</v>
      </c>
      <c r="F583">
        <v>49.943176270000002</v>
      </c>
      <c r="G583">
        <v>989.46002196999996</v>
      </c>
      <c r="H583">
        <v>857.38110352000001</v>
      </c>
      <c r="I583">
        <v>2003.3684082</v>
      </c>
      <c r="J583">
        <v>1811.6143798999999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231.29536899999999</v>
      </c>
      <c r="B584" s="1">
        <f>DATE(2010,12,18) + TIME(7,5,19)</f>
        <v>40530.295358796298</v>
      </c>
      <c r="C584">
        <v>80</v>
      </c>
      <c r="D584">
        <v>70.067085266000007</v>
      </c>
      <c r="E584">
        <v>50</v>
      </c>
      <c r="F584">
        <v>49.943252563000001</v>
      </c>
      <c r="G584">
        <v>987.95861816000001</v>
      </c>
      <c r="H584">
        <v>855.72601318</v>
      </c>
      <c r="I584">
        <v>2003.1512451000001</v>
      </c>
      <c r="J584">
        <v>1811.3999022999999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232.47059899999999</v>
      </c>
      <c r="B585" s="1">
        <f>DATE(2010,12,19) + TIME(11,17,39)</f>
        <v>40531.470590277779</v>
      </c>
      <c r="C585">
        <v>80</v>
      </c>
      <c r="D585">
        <v>69.890838622999993</v>
      </c>
      <c r="E585">
        <v>50</v>
      </c>
      <c r="F585">
        <v>49.943336487000003</v>
      </c>
      <c r="G585">
        <v>986.47912598000005</v>
      </c>
      <c r="H585">
        <v>854.08581543000003</v>
      </c>
      <c r="I585">
        <v>2002.8984375</v>
      </c>
      <c r="J585">
        <v>1811.1496582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233.66412199999999</v>
      </c>
      <c r="B586" s="1">
        <f>DATE(2010,12,20) + TIME(15,56,20)</f>
        <v>40532.664120370369</v>
      </c>
      <c r="C586">
        <v>80</v>
      </c>
      <c r="D586">
        <v>69.712936400999993</v>
      </c>
      <c r="E586">
        <v>50</v>
      </c>
      <c r="F586">
        <v>49.943424225000001</v>
      </c>
      <c r="G586">
        <v>985.01477050999995</v>
      </c>
      <c r="H586">
        <v>852.45294189000003</v>
      </c>
      <c r="I586">
        <v>2002.6125488</v>
      </c>
      <c r="J586">
        <v>1810.8660889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234.87890899999999</v>
      </c>
      <c r="B587" s="1">
        <f>DATE(2010,12,21) + TIME(21,5,37)</f>
        <v>40533.878900462965</v>
      </c>
      <c r="C587">
        <v>80</v>
      </c>
      <c r="D587">
        <v>69.532958984000004</v>
      </c>
      <c r="E587">
        <v>50</v>
      </c>
      <c r="F587">
        <v>49.943519592000001</v>
      </c>
      <c r="G587">
        <v>983.55999756000006</v>
      </c>
      <c r="H587">
        <v>850.82104491999996</v>
      </c>
      <c r="I587">
        <v>2002.2945557</v>
      </c>
      <c r="J587">
        <v>1810.550293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236.121666</v>
      </c>
      <c r="B588" s="1">
        <f>DATE(2010,12,23) + TIME(2,55,11)</f>
        <v>40535.121655092589</v>
      </c>
      <c r="C588">
        <v>80</v>
      </c>
      <c r="D588">
        <v>69.350311278999996</v>
      </c>
      <c r="E588">
        <v>50</v>
      </c>
      <c r="F588">
        <v>49.943622589</v>
      </c>
      <c r="G588">
        <v>982.10681151999995</v>
      </c>
      <c r="H588">
        <v>849.18090819999998</v>
      </c>
      <c r="I588">
        <v>2001.9451904</v>
      </c>
      <c r="J588">
        <v>1810.2030029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237.39963599999999</v>
      </c>
      <c r="B589" s="1">
        <f>DATE(2010,12,24) + TIME(9,35,28)</f>
        <v>40536.399629629632</v>
      </c>
      <c r="C589">
        <v>80</v>
      </c>
      <c r="D589">
        <v>69.164115906000006</v>
      </c>
      <c r="E589">
        <v>50</v>
      </c>
      <c r="F589">
        <v>49.943729400999999</v>
      </c>
      <c r="G589">
        <v>980.64648437999995</v>
      </c>
      <c r="H589">
        <v>847.52227783000001</v>
      </c>
      <c r="I589">
        <v>2001.5640868999999</v>
      </c>
      <c r="J589">
        <v>1809.8239745999999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238.71662599999999</v>
      </c>
      <c r="B590" s="1">
        <f>DATE(2010,12,25) + TIME(17,11,56)</f>
        <v>40537.716620370367</v>
      </c>
      <c r="C590">
        <v>80</v>
      </c>
      <c r="D590">
        <v>68.973526000999996</v>
      </c>
      <c r="E590">
        <v>50</v>
      </c>
      <c r="F590">
        <v>49.943843842</v>
      </c>
      <c r="G590">
        <v>979.17291260000002</v>
      </c>
      <c r="H590">
        <v>845.83746338000003</v>
      </c>
      <c r="I590">
        <v>2001.1503906</v>
      </c>
      <c r="J590">
        <v>1809.4122314000001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240.05768</v>
      </c>
      <c r="B591" s="1">
        <f>DATE(2010,12,27) + TIME(1,23,3)</f>
        <v>40539.057673611111</v>
      </c>
      <c r="C591">
        <v>80</v>
      </c>
      <c r="D591">
        <v>68.778808593999997</v>
      </c>
      <c r="E591">
        <v>50</v>
      </c>
      <c r="F591">
        <v>49.943958281999997</v>
      </c>
      <c r="G591">
        <v>977.69403076000003</v>
      </c>
      <c r="H591">
        <v>844.13372803000004</v>
      </c>
      <c r="I591">
        <v>2000.7045897999999</v>
      </c>
      <c r="J591">
        <v>1808.9682617000001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241.40525400000001</v>
      </c>
      <c r="B592" s="1">
        <f>DATE(2010,12,28) + TIME(9,43,33)</f>
        <v>40540.405243055553</v>
      </c>
      <c r="C592">
        <v>80</v>
      </c>
      <c r="D592">
        <v>68.581535338999998</v>
      </c>
      <c r="E592">
        <v>50</v>
      </c>
      <c r="F592">
        <v>49.944076537999997</v>
      </c>
      <c r="G592">
        <v>976.22277831999997</v>
      </c>
      <c r="H592">
        <v>842.42523193</v>
      </c>
      <c r="I592">
        <v>2000.2316894999999</v>
      </c>
      <c r="J592">
        <v>1808.4971923999999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242.76191700000001</v>
      </c>
      <c r="B593" s="1">
        <f>DATE(2010,12,29) + TIME(18,17,9)</f>
        <v>40541.76190972222</v>
      </c>
      <c r="C593">
        <v>80</v>
      </c>
      <c r="D593">
        <v>68.382698059000006</v>
      </c>
      <c r="E593">
        <v>50</v>
      </c>
      <c r="F593">
        <v>49.944194793999998</v>
      </c>
      <c r="G593">
        <v>974.75976562000005</v>
      </c>
      <c r="H593">
        <v>840.71307373000002</v>
      </c>
      <c r="I593">
        <v>1999.7379149999999</v>
      </c>
      <c r="J593">
        <v>1808.0048827999999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244.134896</v>
      </c>
      <c r="B594" s="1">
        <f>DATE(2010,12,31) + TIME(3,14,15)</f>
        <v>40543.134895833333</v>
      </c>
      <c r="C594">
        <v>80</v>
      </c>
      <c r="D594">
        <v>68.182144164999997</v>
      </c>
      <c r="E594">
        <v>50</v>
      </c>
      <c r="F594">
        <v>49.944320679</v>
      </c>
      <c r="G594">
        <v>973.29803466999999</v>
      </c>
      <c r="H594">
        <v>838.99005126999998</v>
      </c>
      <c r="I594">
        <v>1999.2258300999999</v>
      </c>
      <c r="J594">
        <v>1807.4943848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245</v>
      </c>
      <c r="B595" s="1">
        <f>DATE(2011,1,1) + TIME(0,0,0)</f>
        <v>40544</v>
      </c>
      <c r="C595">
        <v>80</v>
      </c>
      <c r="D595">
        <v>68.016616821</v>
      </c>
      <c r="E595">
        <v>50</v>
      </c>
      <c r="F595">
        <v>49.944328308000003</v>
      </c>
      <c r="G595">
        <v>972.18945312000005</v>
      </c>
      <c r="H595">
        <v>837.65246581999997</v>
      </c>
      <c r="I595">
        <v>1998.8009033000001</v>
      </c>
      <c r="J595">
        <v>1807.0705565999999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246.39055999999999</v>
      </c>
      <c r="B596" s="1">
        <f>DATE(2011,1,2) + TIME(9,22,24)</f>
        <v>40545.390555555554</v>
      </c>
      <c r="C596">
        <v>80</v>
      </c>
      <c r="D596">
        <v>67.837348938000005</v>
      </c>
      <c r="E596">
        <v>50</v>
      </c>
      <c r="F596">
        <v>49.944526672000002</v>
      </c>
      <c r="G596">
        <v>970.86987305000002</v>
      </c>
      <c r="H596">
        <v>836.08673095999995</v>
      </c>
      <c r="I596">
        <v>1998.3081055</v>
      </c>
      <c r="J596">
        <v>1806.5789795000001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247.82740100000001</v>
      </c>
      <c r="B597" s="1">
        <f>DATE(2011,1,3) + TIME(19,51,27)</f>
        <v>40546.82739583333</v>
      </c>
      <c r="C597">
        <v>80</v>
      </c>
      <c r="D597">
        <v>67.639335631999998</v>
      </c>
      <c r="E597">
        <v>50</v>
      </c>
      <c r="F597">
        <v>49.94468689</v>
      </c>
      <c r="G597">
        <v>969.41363524999997</v>
      </c>
      <c r="H597">
        <v>834.34527588000003</v>
      </c>
      <c r="I597">
        <v>1997.7830810999999</v>
      </c>
      <c r="J597">
        <v>1806.0552978999999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249.301717</v>
      </c>
      <c r="B598" s="1">
        <f>DATE(2011,1,5) + TIME(7,14,28)</f>
        <v>40548.301712962966</v>
      </c>
      <c r="C598">
        <v>80</v>
      </c>
      <c r="D598">
        <v>67.430175781000003</v>
      </c>
      <c r="E598">
        <v>50</v>
      </c>
      <c r="F598">
        <v>49.944828033</v>
      </c>
      <c r="G598">
        <v>967.91107178000004</v>
      </c>
      <c r="H598">
        <v>832.52941895000004</v>
      </c>
      <c r="I598">
        <v>1997.2209473</v>
      </c>
      <c r="J598">
        <v>1805.4943848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250.82112599999999</v>
      </c>
      <c r="B599" s="1">
        <f>DATE(2011,1,6) + TIME(19,42,25)</f>
        <v>40549.821122685185</v>
      </c>
      <c r="C599">
        <v>80</v>
      </c>
      <c r="D599">
        <v>67.212661742999998</v>
      </c>
      <c r="E599">
        <v>50</v>
      </c>
      <c r="F599">
        <v>49.944972991999997</v>
      </c>
      <c r="G599">
        <v>966.36773682</v>
      </c>
      <c r="H599">
        <v>830.64788818</v>
      </c>
      <c r="I599">
        <v>1996.630249</v>
      </c>
      <c r="J599">
        <v>1804.9049072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252.36488399999999</v>
      </c>
      <c r="B600" s="1">
        <f>DATE(2011,1,8) + TIME(8,45,25)</f>
        <v>40551.364872685182</v>
      </c>
      <c r="C600">
        <v>80</v>
      </c>
      <c r="D600">
        <v>66.988563537999994</v>
      </c>
      <c r="E600">
        <v>50</v>
      </c>
      <c r="F600">
        <v>49.945117949999997</v>
      </c>
      <c r="G600">
        <v>964.79272461000005</v>
      </c>
      <c r="H600">
        <v>828.71081543000003</v>
      </c>
      <c r="I600">
        <v>1996.019043</v>
      </c>
      <c r="J600">
        <v>1804.2947998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253.91911200000001</v>
      </c>
      <c r="B601" s="1">
        <f>DATE(2011,1,9) + TIME(22,3,31)</f>
        <v>40552.919108796297</v>
      </c>
      <c r="C601">
        <v>80</v>
      </c>
      <c r="D601">
        <v>66.759933472</v>
      </c>
      <c r="E601">
        <v>50</v>
      </c>
      <c r="F601">
        <v>49.945262909</v>
      </c>
      <c r="G601">
        <v>963.19812012</v>
      </c>
      <c r="H601">
        <v>826.73272704999999</v>
      </c>
      <c r="I601">
        <v>1995.3952637</v>
      </c>
      <c r="J601">
        <v>1803.6721190999999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255.488382</v>
      </c>
      <c r="B602" s="1">
        <f>DATE(2011,1,11) + TIME(11,43,16)</f>
        <v>40554.488379629627</v>
      </c>
      <c r="C602">
        <v>80</v>
      </c>
      <c r="D602">
        <v>66.527778624999996</v>
      </c>
      <c r="E602">
        <v>50</v>
      </c>
      <c r="F602">
        <v>49.945411682</v>
      </c>
      <c r="G602">
        <v>961.58563231999995</v>
      </c>
      <c r="H602">
        <v>824.71649170000001</v>
      </c>
      <c r="I602">
        <v>1994.7629394999999</v>
      </c>
      <c r="J602">
        <v>1803.0407714999999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257.07624099999998</v>
      </c>
      <c r="B603" s="1">
        <f>DATE(2011,1,13) + TIME(1,49,47)</f>
        <v>40556.076238425929</v>
      </c>
      <c r="C603">
        <v>80</v>
      </c>
      <c r="D603">
        <v>66.292053222999996</v>
      </c>
      <c r="E603">
        <v>50</v>
      </c>
      <c r="F603">
        <v>49.945568084999998</v>
      </c>
      <c r="G603">
        <v>959.95111083999996</v>
      </c>
      <c r="H603">
        <v>822.65704345999995</v>
      </c>
      <c r="I603">
        <v>1994.1240233999999</v>
      </c>
      <c r="J603">
        <v>1802.402832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258.68548199999998</v>
      </c>
      <c r="B604" s="1">
        <f>DATE(2011,1,14) + TIME(16,27,5)</f>
        <v>40557.685474537036</v>
      </c>
      <c r="C604">
        <v>80</v>
      </c>
      <c r="D604">
        <v>66.052261353000006</v>
      </c>
      <c r="E604">
        <v>50</v>
      </c>
      <c r="F604">
        <v>49.945724487</v>
      </c>
      <c r="G604">
        <v>958.28985595999995</v>
      </c>
      <c r="H604">
        <v>820.54803466999999</v>
      </c>
      <c r="I604">
        <v>1993.4792480000001</v>
      </c>
      <c r="J604">
        <v>1801.7589111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260.32452899999998</v>
      </c>
      <c r="B605" s="1">
        <f>DATE(2011,1,16) + TIME(7,47,19)</f>
        <v>40559.324525462966</v>
      </c>
      <c r="C605">
        <v>80</v>
      </c>
      <c r="D605">
        <v>65.807502747000001</v>
      </c>
      <c r="E605">
        <v>50</v>
      </c>
      <c r="F605">
        <v>49.945884704999997</v>
      </c>
      <c r="G605">
        <v>956.59436034999999</v>
      </c>
      <c r="H605">
        <v>818.37976074000005</v>
      </c>
      <c r="I605">
        <v>1992.8275146000001</v>
      </c>
      <c r="J605">
        <v>1801.1081543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261.99665299999998</v>
      </c>
      <c r="B606" s="1">
        <f>DATE(2011,1,17) + TIME(23,55,10)</f>
        <v>40560.99664351852</v>
      </c>
      <c r="C606">
        <v>80</v>
      </c>
      <c r="D606">
        <v>65.556732178000004</v>
      </c>
      <c r="E606">
        <v>50</v>
      </c>
      <c r="F606">
        <v>49.946052551000001</v>
      </c>
      <c r="G606">
        <v>954.85699463000003</v>
      </c>
      <c r="H606">
        <v>816.14166260000002</v>
      </c>
      <c r="I606">
        <v>1992.1685791</v>
      </c>
      <c r="J606">
        <v>1800.4499512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263.71148799999997</v>
      </c>
      <c r="B607" s="1">
        <f>DATE(2011,1,19) + TIME(17,4,32)</f>
        <v>40562.711481481485</v>
      </c>
      <c r="C607">
        <v>80</v>
      </c>
      <c r="D607">
        <v>65.298797606999997</v>
      </c>
      <c r="E607">
        <v>50</v>
      </c>
      <c r="F607">
        <v>49.946220398000001</v>
      </c>
      <c r="G607">
        <v>953.06884765999996</v>
      </c>
      <c r="H607">
        <v>813.82135010000002</v>
      </c>
      <c r="I607">
        <v>1991.5007324000001</v>
      </c>
      <c r="J607">
        <v>1799.7828368999999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265.46377799999999</v>
      </c>
      <c r="B608" s="1">
        <f>DATE(2011,1,21) + TIME(11,7,50)</f>
        <v>40564.463773148149</v>
      </c>
      <c r="C608">
        <v>80</v>
      </c>
      <c r="D608">
        <v>65.032836914000001</v>
      </c>
      <c r="E608">
        <v>50</v>
      </c>
      <c r="F608">
        <v>49.946392058999997</v>
      </c>
      <c r="G608">
        <v>951.22442626999998</v>
      </c>
      <c r="H608">
        <v>811.41021728999999</v>
      </c>
      <c r="I608">
        <v>1990.824707</v>
      </c>
      <c r="J608">
        <v>1799.1075439000001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267.22574800000001</v>
      </c>
      <c r="B609" s="1">
        <f>DATE(2011,1,23) + TIME(5,25,4)</f>
        <v>40566.225740740738</v>
      </c>
      <c r="C609">
        <v>80</v>
      </c>
      <c r="D609">
        <v>64.760047912999994</v>
      </c>
      <c r="E609">
        <v>50</v>
      </c>
      <c r="F609">
        <v>49.946559905999997</v>
      </c>
      <c r="G609">
        <v>949.33398437999995</v>
      </c>
      <c r="H609">
        <v>808.91918944999998</v>
      </c>
      <c r="I609">
        <v>1990.1472168</v>
      </c>
      <c r="J609">
        <v>1798.4307861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269.00273700000002</v>
      </c>
      <c r="B610" s="1">
        <f>DATE(2011,1,25) + TIME(0,3,56)</f>
        <v>40568.00273148148</v>
      </c>
      <c r="C610">
        <v>80</v>
      </c>
      <c r="D610">
        <v>64.481872558999996</v>
      </c>
      <c r="E610">
        <v>50</v>
      </c>
      <c r="F610">
        <v>49.946731567</v>
      </c>
      <c r="G610">
        <v>947.40637206999997</v>
      </c>
      <c r="H610">
        <v>806.36016845999995</v>
      </c>
      <c r="I610">
        <v>1989.4707031</v>
      </c>
      <c r="J610">
        <v>1797.7548827999999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270.79823599999997</v>
      </c>
      <c r="B611" s="1">
        <f>DATE(2011,1,26) + TIME(19,9,27)</f>
        <v>40569.798229166663</v>
      </c>
      <c r="C611">
        <v>80</v>
      </c>
      <c r="D611">
        <v>64.198028563999998</v>
      </c>
      <c r="E611">
        <v>50</v>
      </c>
      <c r="F611">
        <v>49.946903229</v>
      </c>
      <c r="G611">
        <v>945.43774413999995</v>
      </c>
      <c r="H611">
        <v>803.72833251999998</v>
      </c>
      <c r="I611">
        <v>1988.7960204999999</v>
      </c>
      <c r="J611">
        <v>1797.0809326000001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272.62158199999999</v>
      </c>
      <c r="B612" s="1">
        <f>DATE(2011,1,28) + TIME(14,55,4)</f>
        <v>40571.621574074074</v>
      </c>
      <c r="C612">
        <v>80</v>
      </c>
      <c r="D612">
        <v>63.907482147000003</v>
      </c>
      <c r="E612">
        <v>50</v>
      </c>
      <c r="F612">
        <v>49.947082520000002</v>
      </c>
      <c r="G612">
        <v>943.42077637</v>
      </c>
      <c r="H612">
        <v>801.01361083999996</v>
      </c>
      <c r="I612">
        <v>1988.1220702999999</v>
      </c>
      <c r="J612">
        <v>1796.4075928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274.47303399999998</v>
      </c>
      <c r="B613" s="1">
        <f>DATE(2011,1,30) + TIME(11,21,10)</f>
        <v>40573.473032407404</v>
      </c>
      <c r="C613">
        <v>80</v>
      </c>
      <c r="D613">
        <v>63.608959198000001</v>
      </c>
      <c r="E613">
        <v>50</v>
      </c>
      <c r="F613">
        <v>49.947257995999998</v>
      </c>
      <c r="G613">
        <v>941.34777831999997</v>
      </c>
      <c r="H613">
        <v>798.20483397999999</v>
      </c>
      <c r="I613">
        <v>1987.4487305</v>
      </c>
      <c r="J613">
        <v>1795.7348632999999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276</v>
      </c>
      <c r="B614" s="1">
        <f>DATE(2011,2,1) + TIME(0,0,0)</f>
        <v>40575</v>
      </c>
      <c r="C614">
        <v>80</v>
      </c>
      <c r="D614">
        <v>63.321208953999999</v>
      </c>
      <c r="E614">
        <v>50</v>
      </c>
      <c r="F614">
        <v>49.947380066000001</v>
      </c>
      <c r="G614">
        <v>939.36450194999998</v>
      </c>
      <c r="H614">
        <v>795.48864746000004</v>
      </c>
      <c r="I614">
        <v>1986.8533935999999</v>
      </c>
      <c r="J614">
        <v>1795.1398925999999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277.88992400000001</v>
      </c>
      <c r="B615" s="1">
        <f>DATE(2011,2,2) + TIME(21,21,29)</f>
        <v>40576.889918981484</v>
      </c>
      <c r="C615">
        <v>80</v>
      </c>
      <c r="D615">
        <v>63.033535004000001</v>
      </c>
      <c r="E615">
        <v>50</v>
      </c>
      <c r="F615">
        <v>49.947586059999999</v>
      </c>
      <c r="G615">
        <v>937.38830566000001</v>
      </c>
      <c r="H615">
        <v>792.77581786999997</v>
      </c>
      <c r="I615">
        <v>1986.2059326000001</v>
      </c>
      <c r="J615">
        <v>1794.4929199000001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279.86955399999999</v>
      </c>
      <c r="B616" s="1">
        <f>DATE(2011,2,4) + TIME(20,52,9)</f>
        <v>40578.86954861111</v>
      </c>
      <c r="C616">
        <v>80</v>
      </c>
      <c r="D616">
        <v>62.715885161999999</v>
      </c>
      <c r="E616">
        <v>50</v>
      </c>
      <c r="F616">
        <v>49.947780608999999</v>
      </c>
      <c r="G616">
        <v>935.16143798999997</v>
      </c>
      <c r="H616">
        <v>789.71337890999996</v>
      </c>
      <c r="I616">
        <v>1985.5422363</v>
      </c>
      <c r="J616">
        <v>1793.8297118999999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281.85921100000002</v>
      </c>
      <c r="B617" s="1">
        <f>DATE(2011,2,6) + TIME(20,37,15)</f>
        <v>40580.859201388892</v>
      </c>
      <c r="C617">
        <v>80</v>
      </c>
      <c r="D617">
        <v>62.377807617000002</v>
      </c>
      <c r="E617">
        <v>50</v>
      </c>
      <c r="F617">
        <v>49.947963715</v>
      </c>
      <c r="G617">
        <v>932.81390381000006</v>
      </c>
      <c r="H617">
        <v>786.45587158000001</v>
      </c>
      <c r="I617">
        <v>1984.8720702999999</v>
      </c>
      <c r="J617">
        <v>1793.1600341999999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283.860704</v>
      </c>
      <c r="B618" s="1">
        <f>DATE(2011,2,8) + TIME(20,39,24)</f>
        <v>40582.860694444447</v>
      </c>
      <c r="C618">
        <v>80</v>
      </c>
      <c r="D618">
        <v>62.027908324999999</v>
      </c>
      <c r="E618">
        <v>50</v>
      </c>
      <c r="F618">
        <v>49.948143004999999</v>
      </c>
      <c r="G618">
        <v>930.40234375</v>
      </c>
      <c r="H618">
        <v>783.08319091999999</v>
      </c>
      <c r="I618">
        <v>1984.203125</v>
      </c>
      <c r="J618">
        <v>1792.4915771000001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285.88539800000001</v>
      </c>
      <c r="B619" s="1">
        <f>DATE(2011,2,10) + TIME(21,14,58)</f>
        <v>40584.885393518518</v>
      </c>
      <c r="C619">
        <v>80</v>
      </c>
      <c r="D619">
        <v>61.667743682999998</v>
      </c>
      <c r="E619">
        <v>50</v>
      </c>
      <c r="F619">
        <v>49.948329926</v>
      </c>
      <c r="G619">
        <v>927.92926024999997</v>
      </c>
      <c r="H619">
        <v>779.60211182</v>
      </c>
      <c r="I619">
        <v>1983.5377197</v>
      </c>
      <c r="J619">
        <v>1791.8265381000001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287.93791700000003</v>
      </c>
      <c r="B620" s="1">
        <f>DATE(2011,2,12) + TIME(22,30,36)</f>
        <v>40586.937916666669</v>
      </c>
      <c r="C620">
        <v>80</v>
      </c>
      <c r="D620">
        <v>61.296432494999998</v>
      </c>
      <c r="E620">
        <v>50</v>
      </c>
      <c r="F620">
        <v>49.948516845999997</v>
      </c>
      <c r="G620">
        <v>925.38610840000001</v>
      </c>
      <c r="H620">
        <v>776.00073241999996</v>
      </c>
      <c r="I620">
        <v>1982.8762207</v>
      </c>
      <c r="J620">
        <v>1791.1654053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290.02394199999998</v>
      </c>
      <c r="B621" s="1">
        <f>DATE(2011,2,15) + TIME(0,34,28)</f>
        <v>40589.023935185185</v>
      </c>
      <c r="C621">
        <v>80</v>
      </c>
      <c r="D621">
        <v>60.912536621000001</v>
      </c>
      <c r="E621">
        <v>50</v>
      </c>
      <c r="F621">
        <v>49.948703766000001</v>
      </c>
      <c r="G621">
        <v>922.76525878999996</v>
      </c>
      <c r="H621">
        <v>772.26715088000003</v>
      </c>
      <c r="I621">
        <v>1982.2177733999999</v>
      </c>
      <c r="J621">
        <v>1790.5073242000001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292.15542799999997</v>
      </c>
      <c r="B622" s="1">
        <f>DATE(2011,2,17) + TIME(3,43,48)</f>
        <v>40591.155416666668</v>
      </c>
      <c r="C622">
        <v>80</v>
      </c>
      <c r="D622">
        <v>60.514152527</v>
      </c>
      <c r="E622">
        <v>50</v>
      </c>
      <c r="F622">
        <v>49.948898315000001</v>
      </c>
      <c r="G622">
        <v>920.05572510000002</v>
      </c>
      <c r="H622">
        <v>768.38439941000001</v>
      </c>
      <c r="I622">
        <v>1981.5601807</v>
      </c>
      <c r="J622">
        <v>1789.8502197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294.34126400000002</v>
      </c>
      <c r="B623" s="1">
        <f>DATE(2011,2,19) + TIME(8,11,25)</f>
        <v>40593.341261574074</v>
      </c>
      <c r="C623">
        <v>80</v>
      </c>
      <c r="D623">
        <v>60.098834990999997</v>
      </c>
      <c r="E623">
        <v>50</v>
      </c>
      <c r="F623">
        <v>49.949092864999997</v>
      </c>
      <c r="G623">
        <v>917.24200439000003</v>
      </c>
      <c r="H623">
        <v>764.32885741999996</v>
      </c>
      <c r="I623">
        <v>1980.9013672000001</v>
      </c>
      <c r="J623">
        <v>1789.1917725000001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296.56145700000002</v>
      </c>
      <c r="B624" s="1">
        <f>DATE(2011,2,21) + TIME(13,28,29)</f>
        <v>40595.56144675926</v>
      </c>
      <c r="C624">
        <v>80</v>
      </c>
      <c r="D624">
        <v>59.664955139</v>
      </c>
      <c r="E624">
        <v>50</v>
      </c>
      <c r="F624">
        <v>49.949291229000004</v>
      </c>
      <c r="G624">
        <v>914.31927489999998</v>
      </c>
      <c r="H624">
        <v>760.09082031000003</v>
      </c>
      <c r="I624">
        <v>1980.2441406</v>
      </c>
      <c r="J624">
        <v>1788.5349120999999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298.79391299999997</v>
      </c>
      <c r="B625" s="1">
        <f>DATE(2011,2,23) + TIME(19,3,14)</f>
        <v>40597.793912037036</v>
      </c>
      <c r="C625">
        <v>80</v>
      </c>
      <c r="D625">
        <v>59.214687347000002</v>
      </c>
      <c r="E625">
        <v>50</v>
      </c>
      <c r="F625">
        <v>49.949481964</v>
      </c>
      <c r="G625">
        <v>911.30700683999999</v>
      </c>
      <c r="H625">
        <v>755.69567871000004</v>
      </c>
      <c r="I625">
        <v>1979.5932617000001</v>
      </c>
      <c r="J625">
        <v>1787.8842772999999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301.04883999999998</v>
      </c>
      <c r="B626" s="1">
        <f>DATE(2011,2,26) + TIME(1,10,19)</f>
        <v>40600.048831018517</v>
      </c>
      <c r="C626">
        <v>80</v>
      </c>
      <c r="D626">
        <v>58.750164032000001</v>
      </c>
      <c r="E626">
        <v>50</v>
      </c>
      <c r="F626">
        <v>49.949680327999999</v>
      </c>
      <c r="G626">
        <v>908.22082520000004</v>
      </c>
      <c r="H626">
        <v>751.16522216999999</v>
      </c>
      <c r="I626">
        <v>1978.9486084</v>
      </c>
      <c r="J626">
        <v>1787.2399902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303.33013299999999</v>
      </c>
      <c r="B627" s="1">
        <f>DATE(2011,2,28) + TIME(7,55,23)</f>
        <v>40602.330127314817</v>
      </c>
      <c r="C627">
        <v>80</v>
      </c>
      <c r="D627">
        <v>58.27047348</v>
      </c>
      <c r="E627">
        <v>50</v>
      </c>
      <c r="F627">
        <v>49.949874878000003</v>
      </c>
      <c r="G627">
        <v>905.05291748000002</v>
      </c>
      <c r="H627">
        <v>746.48846435999997</v>
      </c>
      <c r="I627">
        <v>1978.3100586</v>
      </c>
      <c r="J627">
        <v>1786.6016846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304</v>
      </c>
      <c r="B628" s="1">
        <f>DATE(2011,3,1) + TIME(0,0,0)</f>
        <v>40603</v>
      </c>
      <c r="C628">
        <v>80</v>
      </c>
      <c r="D628">
        <v>57.961093902999998</v>
      </c>
      <c r="E628">
        <v>50</v>
      </c>
      <c r="F628">
        <v>49.949878693000002</v>
      </c>
      <c r="G628">
        <v>902.71301270000004</v>
      </c>
      <c r="H628">
        <v>743.11663818</v>
      </c>
      <c r="I628">
        <v>1978.0596923999999</v>
      </c>
      <c r="J628">
        <v>1786.3513184000001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306.31602199999998</v>
      </c>
      <c r="B629" s="1">
        <f>DATE(2011,3,3) + TIME(7,35,4)</f>
        <v>40605.316018518519</v>
      </c>
      <c r="C629">
        <v>80</v>
      </c>
      <c r="D629">
        <v>57.583847046000002</v>
      </c>
      <c r="E629">
        <v>50</v>
      </c>
      <c r="F629">
        <v>49.950122833000002</v>
      </c>
      <c r="G629">
        <v>900.67034911999997</v>
      </c>
      <c r="H629">
        <v>739.91125488</v>
      </c>
      <c r="I629">
        <v>1977.4458007999999</v>
      </c>
      <c r="J629">
        <v>1785.737793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308.69016800000003</v>
      </c>
      <c r="B630" s="1">
        <f>DATE(2011,3,5) + TIME(16,33,50)</f>
        <v>40607.690162037034</v>
      </c>
      <c r="C630">
        <v>80</v>
      </c>
      <c r="D630">
        <v>57.096618651999997</v>
      </c>
      <c r="E630">
        <v>50</v>
      </c>
      <c r="F630">
        <v>49.950340271000002</v>
      </c>
      <c r="G630">
        <v>897.41064453000001</v>
      </c>
      <c r="H630">
        <v>735.08715819999998</v>
      </c>
      <c r="I630">
        <v>1976.8410644999999</v>
      </c>
      <c r="J630">
        <v>1785.1334228999999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311.11283900000001</v>
      </c>
      <c r="B631" s="1">
        <f>DATE(2011,3,8) + TIME(2,42,29)</f>
        <v>40610.112835648149</v>
      </c>
      <c r="C631">
        <v>80</v>
      </c>
      <c r="D631">
        <v>56.563003539999997</v>
      </c>
      <c r="E631">
        <v>50</v>
      </c>
      <c r="F631">
        <v>49.950538635000001</v>
      </c>
      <c r="G631">
        <v>893.93225098000005</v>
      </c>
      <c r="H631">
        <v>729.87170409999999</v>
      </c>
      <c r="I631">
        <v>1976.2233887</v>
      </c>
      <c r="J631">
        <v>1784.5158690999999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313.56796800000001</v>
      </c>
      <c r="B632" s="1">
        <f>DATE(2011,3,10) + TIME(13,37,52)</f>
        <v>40612.567962962959</v>
      </c>
      <c r="C632">
        <v>80</v>
      </c>
      <c r="D632">
        <v>56.001918793000002</v>
      </c>
      <c r="E632">
        <v>50</v>
      </c>
      <c r="F632">
        <v>49.950736999999997</v>
      </c>
      <c r="G632">
        <v>890.31811522999999</v>
      </c>
      <c r="H632">
        <v>724.41076659999999</v>
      </c>
      <c r="I632">
        <v>1975.6013184000001</v>
      </c>
      <c r="J632">
        <v>1783.8941649999999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316.04397</v>
      </c>
      <c r="B633" s="1">
        <f>DATE(2011,3,13) + TIME(1,3,19)</f>
        <v>40615.043969907405</v>
      </c>
      <c r="C633">
        <v>80</v>
      </c>
      <c r="D633">
        <v>55.420547485</v>
      </c>
      <c r="E633">
        <v>50</v>
      </c>
      <c r="F633">
        <v>49.950939177999999</v>
      </c>
      <c r="G633">
        <v>886.59997558999999</v>
      </c>
      <c r="H633">
        <v>718.75817871000004</v>
      </c>
      <c r="I633">
        <v>1974.9815673999999</v>
      </c>
      <c r="J633">
        <v>1783.2746582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318.53942999999998</v>
      </c>
      <c r="B634" s="1">
        <f>DATE(2011,3,15) + TIME(12,56,46)</f>
        <v>40617.539421296293</v>
      </c>
      <c r="C634">
        <v>80</v>
      </c>
      <c r="D634">
        <v>54.822406768999997</v>
      </c>
      <c r="E634">
        <v>50</v>
      </c>
      <c r="F634">
        <v>49.951137543000002</v>
      </c>
      <c r="G634">
        <v>882.79608154000005</v>
      </c>
      <c r="H634">
        <v>712.94250488</v>
      </c>
      <c r="I634">
        <v>1974.3665771000001</v>
      </c>
      <c r="J634">
        <v>1782.6599120999999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321.06003199999998</v>
      </c>
      <c r="B635" s="1">
        <f>DATE(2011,3,18) + TIME(1,26,26)</f>
        <v>40620.060023148151</v>
      </c>
      <c r="C635">
        <v>80</v>
      </c>
      <c r="D635">
        <v>54.208587645999998</v>
      </c>
      <c r="E635">
        <v>50</v>
      </c>
      <c r="F635">
        <v>49.951339722</v>
      </c>
      <c r="G635">
        <v>878.91033935999997</v>
      </c>
      <c r="H635">
        <v>706.96948241999996</v>
      </c>
      <c r="I635">
        <v>1973.7565918</v>
      </c>
      <c r="J635">
        <v>1782.0500488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323.59107499999999</v>
      </c>
      <c r="B636" s="1">
        <f>DATE(2011,3,20) + TIME(14,11,8)</f>
        <v>40622.591064814813</v>
      </c>
      <c r="C636">
        <v>80</v>
      </c>
      <c r="D636">
        <v>53.579910278</v>
      </c>
      <c r="E636">
        <v>50</v>
      </c>
      <c r="F636">
        <v>49.951538085999999</v>
      </c>
      <c r="G636">
        <v>874.94384765999996</v>
      </c>
      <c r="H636">
        <v>700.84057616999996</v>
      </c>
      <c r="I636">
        <v>1973.1536865</v>
      </c>
      <c r="J636">
        <v>1781.4473877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326.13268799999997</v>
      </c>
      <c r="B637" s="1">
        <f>DATE(2011,3,23) + TIME(3,11,4)</f>
        <v>40625.132685185185</v>
      </c>
      <c r="C637">
        <v>80</v>
      </c>
      <c r="D637">
        <v>52.939167023000003</v>
      </c>
      <c r="E637">
        <v>50</v>
      </c>
      <c r="F637">
        <v>49.951736449999999</v>
      </c>
      <c r="G637">
        <v>870.91473388999998</v>
      </c>
      <c r="H637">
        <v>694.58099364999998</v>
      </c>
      <c r="I637">
        <v>1972.5579834</v>
      </c>
      <c r="J637">
        <v>1780.8519286999999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328.691123</v>
      </c>
      <c r="B638" s="1">
        <f>DATE(2011,3,25) + TIME(16,35,13)</f>
        <v>40627.691122685188</v>
      </c>
      <c r="C638">
        <v>80</v>
      </c>
      <c r="D638">
        <v>52.28742218</v>
      </c>
      <c r="E638">
        <v>50</v>
      </c>
      <c r="F638">
        <v>49.951934813999998</v>
      </c>
      <c r="G638">
        <v>866.82568359000004</v>
      </c>
      <c r="H638">
        <v>688.19488524999997</v>
      </c>
      <c r="I638">
        <v>1971.96875</v>
      </c>
      <c r="J638">
        <v>1780.2628173999999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331.257902</v>
      </c>
      <c r="B639" s="1">
        <f>DATE(2011,3,28) + TIME(6,11,22)</f>
        <v>40630.257893518516</v>
      </c>
      <c r="C639">
        <v>80</v>
      </c>
      <c r="D639">
        <v>51.625453948999997</v>
      </c>
      <c r="E639">
        <v>50</v>
      </c>
      <c r="F639">
        <v>49.952133179</v>
      </c>
      <c r="G639">
        <v>862.67547606999995</v>
      </c>
      <c r="H639">
        <v>681.68096923999997</v>
      </c>
      <c r="I639">
        <v>1971.3864745999999</v>
      </c>
      <c r="J639">
        <v>1779.6807861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333.83987000000002</v>
      </c>
      <c r="B640" s="1">
        <f>DATE(2011,3,30) + TIME(20,9,24)</f>
        <v>40632.839861111112</v>
      </c>
      <c r="C640">
        <v>80</v>
      </c>
      <c r="D640">
        <v>50.955070495999998</v>
      </c>
      <c r="E640">
        <v>50</v>
      </c>
      <c r="F640">
        <v>49.952327728</v>
      </c>
      <c r="G640">
        <v>858.47479248000002</v>
      </c>
      <c r="H640">
        <v>675.05413818</v>
      </c>
      <c r="I640">
        <v>1970.8100586</v>
      </c>
      <c r="J640">
        <v>1779.1044922000001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335</v>
      </c>
      <c r="B641" s="1">
        <f>DATE(2011,4,1) + TIME(0,0,0)</f>
        <v>40634</v>
      </c>
      <c r="C641">
        <v>80</v>
      </c>
      <c r="D641">
        <v>50.421756744</v>
      </c>
      <c r="E641">
        <v>50</v>
      </c>
      <c r="F641">
        <v>49.952373504999997</v>
      </c>
      <c r="G641">
        <v>854.85089111000002</v>
      </c>
      <c r="H641">
        <v>669.45440673999997</v>
      </c>
      <c r="I641">
        <v>1970.4903564000001</v>
      </c>
      <c r="J641">
        <v>1778.7847899999999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337.59582499999999</v>
      </c>
      <c r="B642" s="1">
        <f>DATE(2011,4,3) + TIME(14,17,59)</f>
        <v>40636.595821759256</v>
      </c>
      <c r="C642">
        <v>80</v>
      </c>
      <c r="D642">
        <v>49.918682097999998</v>
      </c>
      <c r="E642">
        <v>50</v>
      </c>
      <c r="F642">
        <v>49.952606201000002</v>
      </c>
      <c r="G642">
        <v>852.12548828000001</v>
      </c>
      <c r="H642">
        <v>664.87640381000006</v>
      </c>
      <c r="I642">
        <v>1969.9414062000001</v>
      </c>
      <c r="J642">
        <v>1778.2360839999999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340.22308800000002</v>
      </c>
      <c r="B643" s="1">
        <f>DATE(2011,4,6) + TIME(5,21,14)</f>
        <v>40639.223078703704</v>
      </c>
      <c r="C643">
        <v>80</v>
      </c>
      <c r="D643">
        <v>49.272148131999998</v>
      </c>
      <c r="E643">
        <v>50</v>
      </c>
      <c r="F643">
        <v>49.952812195</v>
      </c>
      <c r="G643">
        <v>847.94647216999999</v>
      </c>
      <c r="H643">
        <v>658.28283691000001</v>
      </c>
      <c r="I643">
        <v>1969.3985596</v>
      </c>
      <c r="J643">
        <v>1777.6934814000001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342.87375200000002</v>
      </c>
      <c r="B644" s="1">
        <f>DATE(2011,4,8) + TIME(20,58,12)</f>
        <v>40641.873749999999</v>
      </c>
      <c r="C644">
        <v>80</v>
      </c>
      <c r="D644">
        <v>48.585922240999999</v>
      </c>
      <c r="E644">
        <v>50</v>
      </c>
      <c r="F644">
        <v>49.953002929999997</v>
      </c>
      <c r="G644">
        <v>843.59393310999997</v>
      </c>
      <c r="H644">
        <v>651.31915283000001</v>
      </c>
      <c r="I644">
        <v>1968.8470459</v>
      </c>
      <c r="J644">
        <v>1777.1420897999999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345.55166600000001</v>
      </c>
      <c r="B645" s="1">
        <f>DATE(2011,4,11) + TIME(13,14,23)</f>
        <v>40644.551655092589</v>
      </c>
      <c r="C645">
        <v>80</v>
      </c>
      <c r="D645">
        <v>47.886947632000002</v>
      </c>
      <c r="E645">
        <v>50</v>
      </c>
      <c r="F645">
        <v>49.953197479000004</v>
      </c>
      <c r="G645">
        <v>839.16815185999997</v>
      </c>
      <c r="H645">
        <v>644.18792725000003</v>
      </c>
      <c r="I645">
        <v>1968.2910156</v>
      </c>
      <c r="J645">
        <v>1776.5861815999999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348.26357899999999</v>
      </c>
      <c r="B646" s="1">
        <f>DATE(2011,4,14) + TIME(6,19,33)</f>
        <v>40647.26357638889</v>
      </c>
      <c r="C646">
        <v>80</v>
      </c>
      <c r="D646">
        <v>47.181133269999997</v>
      </c>
      <c r="E646">
        <v>50</v>
      </c>
      <c r="F646">
        <v>49.953388214</v>
      </c>
      <c r="G646">
        <v>834.68206786999997</v>
      </c>
      <c r="H646">
        <v>636.92224121000004</v>
      </c>
      <c r="I646">
        <v>1967.7324219</v>
      </c>
      <c r="J646">
        <v>1776.0277100000001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351.01876499999997</v>
      </c>
      <c r="B647" s="1">
        <f>DATE(2011,4,17) + TIME(0,27,1)</f>
        <v>40650.018761574072</v>
      </c>
      <c r="C647">
        <v>80</v>
      </c>
      <c r="D647">
        <v>46.469596863</v>
      </c>
      <c r="E647">
        <v>50</v>
      </c>
      <c r="F647">
        <v>49.953582763999997</v>
      </c>
      <c r="G647">
        <v>830.13409423999997</v>
      </c>
      <c r="H647">
        <v>629.52166748000002</v>
      </c>
      <c r="I647">
        <v>1967.1710204999999</v>
      </c>
      <c r="J647">
        <v>1775.4664307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353.82667400000003</v>
      </c>
      <c r="B648" s="1">
        <f>DATE(2011,4,19) + TIME(19,50,24)</f>
        <v>40652.826666666668</v>
      </c>
      <c r="C648">
        <v>80</v>
      </c>
      <c r="D648">
        <v>45.752128601000003</v>
      </c>
      <c r="E648">
        <v>50</v>
      </c>
      <c r="F648">
        <v>49.953781128000003</v>
      </c>
      <c r="G648">
        <v>825.51666260000002</v>
      </c>
      <c r="H648">
        <v>621.97344970999995</v>
      </c>
      <c r="I648">
        <v>1966.6053466999999</v>
      </c>
      <c r="J648">
        <v>1774.901001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356.69302399999998</v>
      </c>
      <c r="B649" s="1">
        <f>DATE(2011,4,22) + TIME(16,37,57)</f>
        <v>40655.693020833336</v>
      </c>
      <c r="C649">
        <v>80</v>
      </c>
      <c r="D649">
        <v>45.028511047000002</v>
      </c>
      <c r="E649">
        <v>50</v>
      </c>
      <c r="F649">
        <v>49.953979492000002</v>
      </c>
      <c r="G649">
        <v>820.82281493999994</v>
      </c>
      <c r="H649">
        <v>614.26477050999995</v>
      </c>
      <c r="I649">
        <v>1966.0340576000001</v>
      </c>
      <c r="J649">
        <v>1774.3298339999999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359.61372399999999</v>
      </c>
      <c r="B650" s="1">
        <f>DATE(2011,4,25) + TIME(14,43,45)</f>
        <v>40658.613715277781</v>
      </c>
      <c r="C650">
        <v>80</v>
      </c>
      <c r="D650">
        <v>44.299724578999999</v>
      </c>
      <c r="E650">
        <v>50</v>
      </c>
      <c r="F650">
        <v>49.954177856000001</v>
      </c>
      <c r="G650">
        <v>816.05303954999999</v>
      </c>
      <c r="H650">
        <v>606.39526366999996</v>
      </c>
      <c r="I650">
        <v>1965.4571533000001</v>
      </c>
      <c r="J650">
        <v>1773.7530518000001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362.59819800000002</v>
      </c>
      <c r="B651" s="1">
        <f>DATE(2011,4,28) + TIME(14,21,24)</f>
        <v>40661.598194444443</v>
      </c>
      <c r="C651">
        <v>80</v>
      </c>
      <c r="D651">
        <v>43.567932128999999</v>
      </c>
      <c r="E651">
        <v>50</v>
      </c>
      <c r="F651">
        <v>49.954383849999999</v>
      </c>
      <c r="G651">
        <v>811.21838378999996</v>
      </c>
      <c r="H651">
        <v>598.38037109000004</v>
      </c>
      <c r="I651">
        <v>1964.8729248</v>
      </c>
      <c r="J651">
        <v>1773.1690673999999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365</v>
      </c>
      <c r="B652" s="1">
        <f>DATE(2011,5,1) + TIME(0,0,0)</f>
        <v>40664</v>
      </c>
      <c r="C652">
        <v>80</v>
      </c>
      <c r="D652">
        <v>42.869815826</v>
      </c>
      <c r="E652">
        <v>50</v>
      </c>
      <c r="F652">
        <v>49.954528809000003</v>
      </c>
      <c r="G652">
        <v>806.48590088000003</v>
      </c>
      <c r="H652">
        <v>590.54528808999999</v>
      </c>
      <c r="I652">
        <v>1964.3687743999999</v>
      </c>
      <c r="J652">
        <v>1772.6649170000001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365.000001</v>
      </c>
      <c r="B653" s="1">
        <f>DATE(2011,5,1) + TIME(0,0,0)</f>
        <v>40664</v>
      </c>
      <c r="C653">
        <v>80</v>
      </c>
      <c r="D653">
        <v>42.869880676000001</v>
      </c>
      <c r="E653">
        <v>50</v>
      </c>
      <c r="F653">
        <v>49.954513550000001</v>
      </c>
      <c r="G653">
        <v>1022.3071289</v>
      </c>
      <c r="H653">
        <v>806.49566649999997</v>
      </c>
      <c r="I653">
        <v>1772.6551514</v>
      </c>
      <c r="J653">
        <v>1580.9442139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365.00000399999999</v>
      </c>
      <c r="B654" s="1">
        <f>DATE(2011,5,1) + TIME(0,0,0)</f>
        <v>40664</v>
      </c>
      <c r="C654">
        <v>80</v>
      </c>
      <c r="D654">
        <v>42.870071410999998</v>
      </c>
      <c r="E654">
        <v>50</v>
      </c>
      <c r="F654">
        <v>49.954467772999998</v>
      </c>
      <c r="G654">
        <v>1022.3358765</v>
      </c>
      <c r="H654">
        <v>806.52496338000003</v>
      </c>
      <c r="I654">
        <v>1772.6256103999999</v>
      </c>
      <c r="J654">
        <v>1580.9146728999999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365.00001300000002</v>
      </c>
      <c r="B655" s="1">
        <f>DATE(2011,5,1) + TIME(0,0,1)</f>
        <v>40664.000011574077</v>
      </c>
      <c r="C655">
        <v>80</v>
      </c>
      <c r="D655">
        <v>42.870643616000002</v>
      </c>
      <c r="E655">
        <v>50</v>
      </c>
      <c r="F655">
        <v>49.954334258999999</v>
      </c>
      <c r="G655">
        <v>1022.4220581</v>
      </c>
      <c r="H655">
        <v>806.61273193</v>
      </c>
      <c r="I655">
        <v>1772.5372314000001</v>
      </c>
      <c r="J655">
        <v>1580.8258057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365.00004000000001</v>
      </c>
      <c r="B656" s="1">
        <f>DATE(2011,5,1) + TIME(0,0,3)</f>
        <v>40664.000034722223</v>
      </c>
      <c r="C656">
        <v>80</v>
      </c>
      <c r="D656">
        <v>42.872367859000001</v>
      </c>
      <c r="E656">
        <v>50</v>
      </c>
      <c r="F656">
        <v>49.953933716000002</v>
      </c>
      <c r="G656">
        <v>1022.6802368</v>
      </c>
      <c r="H656">
        <v>806.87579345999995</v>
      </c>
      <c r="I656">
        <v>1772.2724608999999</v>
      </c>
      <c r="J656">
        <v>1580.5595702999999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365.00012099999998</v>
      </c>
      <c r="B657" s="1">
        <f>DATE(2011,5,1) + TIME(0,0,10)</f>
        <v>40664.000115740739</v>
      </c>
      <c r="C657">
        <v>80</v>
      </c>
      <c r="D657">
        <v>42.877532959</v>
      </c>
      <c r="E657">
        <v>50</v>
      </c>
      <c r="F657">
        <v>49.952739716000004</v>
      </c>
      <c r="G657">
        <v>1023.4521484000001</v>
      </c>
      <c r="H657">
        <v>807.66314696999996</v>
      </c>
      <c r="I657">
        <v>1771.4812012</v>
      </c>
      <c r="J657">
        <v>1579.7641602000001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365.00036399999999</v>
      </c>
      <c r="B658" s="1">
        <f>DATE(2011,5,1) + TIME(0,0,31)</f>
        <v>40664.000358796293</v>
      </c>
      <c r="C658">
        <v>80</v>
      </c>
      <c r="D658">
        <v>42.893016815000003</v>
      </c>
      <c r="E658">
        <v>50</v>
      </c>
      <c r="F658">
        <v>49.949195862000003</v>
      </c>
      <c r="G658">
        <v>1025.7443848</v>
      </c>
      <c r="H658">
        <v>810.00817871000004</v>
      </c>
      <c r="I658">
        <v>1769.1340332</v>
      </c>
      <c r="J658">
        <v>1577.4049072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365.00109300000003</v>
      </c>
      <c r="B659" s="1">
        <f>DATE(2011,5,1) + TIME(0,1,34)</f>
        <v>40664.001087962963</v>
      </c>
      <c r="C659">
        <v>80</v>
      </c>
      <c r="D659">
        <v>42.939285278</v>
      </c>
      <c r="E659">
        <v>50</v>
      </c>
      <c r="F659">
        <v>49.938922882</v>
      </c>
      <c r="G659">
        <v>1032.4176024999999</v>
      </c>
      <c r="H659">
        <v>816.88208008000004</v>
      </c>
      <c r="I659">
        <v>1762.3231201000001</v>
      </c>
      <c r="J659">
        <v>1570.5595702999999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365.00328000000002</v>
      </c>
      <c r="B660" s="1">
        <f>DATE(2011,5,1) + TIME(0,4,43)</f>
        <v>40664.003275462965</v>
      </c>
      <c r="C660">
        <v>80</v>
      </c>
      <c r="D660">
        <v>43.075603485000002</v>
      </c>
      <c r="E660">
        <v>50</v>
      </c>
      <c r="F660">
        <v>49.910827636999997</v>
      </c>
      <c r="G660">
        <v>1050.8050536999999</v>
      </c>
      <c r="H660">
        <v>836.03063965000001</v>
      </c>
      <c r="I660">
        <v>1743.7214355000001</v>
      </c>
      <c r="J660">
        <v>1551.8664550999999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365.00984099999999</v>
      </c>
      <c r="B661" s="1">
        <f>DATE(2011,5,1) + TIME(0,14,10)</f>
        <v>40664.009837962964</v>
      </c>
      <c r="C661">
        <v>80</v>
      </c>
      <c r="D661">
        <v>43.466300963999998</v>
      </c>
      <c r="E661">
        <v>50</v>
      </c>
      <c r="F661">
        <v>49.844493866000001</v>
      </c>
      <c r="G661">
        <v>1095.0322266000001</v>
      </c>
      <c r="H661">
        <v>882.51446533000001</v>
      </c>
      <c r="I661">
        <v>1699.8203125</v>
      </c>
      <c r="J661">
        <v>1507.7569579999999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365.026634</v>
      </c>
      <c r="B662" s="1">
        <f>DATE(2011,5,1) + TIME(0,38,21)</f>
        <v>40664.026631944442</v>
      </c>
      <c r="C662">
        <v>80</v>
      </c>
      <c r="D662">
        <v>44.390640259000001</v>
      </c>
      <c r="E662">
        <v>50</v>
      </c>
      <c r="F662">
        <v>49.736629485999998</v>
      </c>
      <c r="G662">
        <v>1168.3271483999999</v>
      </c>
      <c r="H662">
        <v>959.94262694999998</v>
      </c>
      <c r="I662">
        <v>1628.5933838000001</v>
      </c>
      <c r="J662">
        <v>1436.2042236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365.04480100000001</v>
      </c>
      <c r="B663" s="1">
        <f>DATE(2011,5,1) + TIME(1,4,30)</f>
        <v>40664.044791666667</v>
      </c>
      <c r="C663">
        <v>80</v>
      </c>
      <c r="D663">
        <v>45.314517975000001</v>
      </c>
      <c r="E663">
        <v>50</v>
      </c>
      <c r="F663">
        <v>49.659179688000002</v>
      </c>
      <c r="G663">
        <v>1220.9161377</v>
      </c>
      <c r="H663">
        <v>1015.8302002</v>
      </c>
      <c r="I663">
        <v>1577.3945312000001</v>
      </c>
      <c r="J663">
        <v>1384.7803954999999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365.06446599999998</v>
      </c>
      <c r="B664" s="1">
        <f>DATE(2011,5,1) + TIME(1,32,49)</f>
        <v>40664.064456018517</v>
      </c>
      <c r="C664">
        <v>80</v>
      </c>
      <c r="D664">
        <v>46.254802703999999</v>
      </c>
      <c r="E664">
        <v>50</v>
      </c>
      <c r="F664">
        <v>49.601181029999999</v>
      </c>
      <c r="G664">
        <v>1260.0065918</v>
      </c>
      <c r="H664">
        <v>1057.8930664</v>
      </c>
      <c r="I664">
        <v>1538.6674805</v>
      </c>
      <c r="J664">
        <v>1345.8883057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365.08537899999999</v>
      </c>
      <c r="B665" s="1">
        <f>DATE(2011,5,1) + TIME(2,2,56)</f>
        <v>40664.085370370369</v>
      </c>
      <c r="C665">
        <v>80</v>
      </c>
      <c r="D665">
        <v>47.205417633000003</v>
      </c>
      <c r="E665">
        <v>50</v>
      </c>
      <c r="F665">
        <v>49.556453705000003</v>
      </c>
      <c r="G665">
        <v>1289.7905272999999</v>
      </c>
      <c r="H665">
        <v>1090.5136719</v>
      </c>
      <c r="I665">
        <v>1508.3331298999999</v>
      </c>
      <c r="J665">
        <v>1315.4290771000001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365.10737899999998</v>
      </c>
      <c r="B666" s="1">
        <f>DATE(2011,5,1) + TIME(2,34,37)</f>
        <v>40664.107372685183</v>
      </c>
      <c r="C666">
        <v>80</v>
      </c>
      <c r="D666">
        <v>48.162197112999998</v>
      </c>
      <c r="E666">
        <v>50</v>
      </c>
      <c r="F666">
        <v>49.520805359000001</v>
      </c>
      <c r="G666">
        <v>1313.199707</v>
      </c>
      <c r="H666">
        <v>1116.6970214999999</v>
      </c>
      <c r="I666">
        <v>1483.6970214999999</v>
      </c>
      <c r="J666">
        <v>1290.6955565999999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365.13037200000002</v>
      </c>
      <c r="B667" s="1">
        <f>DATE(2011,5,1) + TIME(3,7,44)</f>
        <v>40664.130370370367</v>
      </c>
      <c r="C667">
        <v>80</v>
      </c>
      <c r="D667">
        <v>49.122482300000001</v>
      </c>
      <c r="E667">
        <v>50</v>
      </c>
      <c r="F667">
        <v>49.491497039999999</v>
      </c>
      <c r="G667">
        <v>1332.1816406</v>
      </c>
      <c r="H667">
        <v>1138.4085693</v>
      </c>
      <c r="I667">
        <v>1463.0318603999999</v>
      </c>
      <c r="J667">
        <v>1269.9520264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365.15428300000002</v>
      </c>
      <c r="B668" s="1">
        <f>DATE(2011,5,1) + TIME(3,42,10)</f>
        <v>40664.154282407406</v>
      </c>
      <c r="C668">
        <v>80</v>
      </c>
      <c r="D668">
        <v>50.083263397000003</v>
      </c>
      <c r="E668">
        <v>50</v>
      </c>
      <c r="F668">
        <v>49.466793060000001</v>
      </c>
      <c r="G668">
        <v>1347.9916992000001</v>
      </c>
      <c r="H668">
        <v>1156.9002685999999</v>
      </c>
      <c r="I668">
        <v>1445.2474365</v>
      </c>
      <c r="J668">
        <v>1252.1033935999999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365.17898400000001</v>
      </c>
      <c r="B669" s="1">
        <f>DATE(2011,5,1) + TIME(4,17,44)</f>
        <v>40664.178981481484</v>
      </c>
      <c r="C669">
        <v>80</v>
      </c>
      <c r="D669">
        <v>51.038940429999997</v>
      </c>
      <c r="E669">
        <v>50</v>
      </c>
      <c r="F669">
        <v>49.445579529</v>
      </c>
      <c r="G669">
        <v>1361.4262695</v>
      </c>
      <c r="H669">
        <v>1172.9537353999999</v>
      </c>
      <c r="I669">
        <v>1429.6674805</v>
      </c>
      <c r="J669">
        <v>1236.4698486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365.20446399999997</v>
      </c>
      <c r="B670" s="1">
        <f>DATE(2011,5,1) + TIME(4,54,25)</f>
        <v>40664.204456018517</v>
      </c>
      <c r="C670">
        <v>80</v>
      </c>
      <c r="D670">
        <v>51.988899230999998</v>
      </c>
      <c r="E670">
        <v>50</v>
      </c>
      <c r="F670">
        <v>49.427032470999997</v>
      </c>
      <c r="G670">
        <v>1373.0725098</v>
      </c>
      <c r="H670">
        <v>1187.1542969</v>
      </c>
      <c r="I670">
        <v>1415.7788086</v>
      </c>
      <c r="J670">
        <v>1222.5358887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365.230727</v>
      </c>
      <c r="B671" s="1">
        <f>DATE(2011,5,1) + TIME(5,32,14)</f>
        <v>40664.230717592596</v>
      </c>
      <c r="C671">
        <v>80</v>
      </c>
      <c r="D671">
        <v>52.932430267000001</v>
      </c>
      <c r="E671">
        <v>50</v>
      </c>
      <c r="F671">
        <v>49.410564422999997</v>
      </c>
      <c r="G671">
        <v>1383.3382568</v>
      </c>
      <c r="H671">
        <v>1199.9080810999999</v>
      </c>
      <c r="I671">
        <v>1403.2226562000001</v>
      </c>
      <c r="J671">
        <v>1209.9407959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365.25778800000001</v>
      </c>
      <c r="B672" s="1">
        <f>DATE(2011,5,1) + TIME(6,11,12)</f>
        <v>40664.257777777777</v>
      </c>
      <c r="C672">
        <v>80</v>
      </c>
      <c r="D672">
        <v>53.868953705000003</v>
      </c>
      <c r="E672">
        <v>50</v>
      </c>
      <c r="F672">
        <v>49.395755768000001</v>
      </c>
      <c r="G672">
        <v>1392.515625</v>
      </c>
      <c r="H672">
        <v>1211.5064697</v>
      </c>
      <c r="I672">
        <v>1391.739624</v>
      </c>
      <c r="J672">
        <v>1198.4241943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365.28566799999999</v>
      </c>
      <c r="B673" s="1">
        <f>DATE(2011,5,1) + TIME(6,51,21)</f>
        <v>40664.28565972222</v>
      </c>
      <c r="C673">
        <v>80</v>
      </c>
      <c r="D673">
        <v>54.798011780000003</v>
      </c>
      <c r="E673">
        <v>50</v>
      </c>
      <c r="F673">
        <v>49.382293701000002</v>
      </c>
      <c r="G673">
        <v>1400.8199463000001</v>
      </c>
      <c r="H673">
        <v>1222.1650391000001</v>
      </c>
      <c r="I673">
        <v>1381.1365966999999</v>
      </c>
      <c r="J673">
        <v>1187.7919922000001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365.31439799999998</v>
      </c>
      <c r="B674" s="1">
        <f>DATE(2011,5,1) + TIME(7,32,43)</f>
        <v>40664.314386574071</v>
      </c>
      <c r="C674">
        <v>80</v>
      </c>
      <c r="D674">
        <v>55.719211577999999</v>
      </c>
      <c r="E674">
        <v>50</v>
      </c>
      <c r="F674">
        <v>49.369926452999998</v>
      </c>
      <c r="G674">
        <v>1408.4147949000001</v>
      </c>
      <c r="H674">
        <v>1232.0478516000001</v>
      </c>
      <c r="I674">
        <v>1371.2659911999999</v>
      </c>
      <c r="J674">
        <v>1177.8956298999999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365.34401400000002</v>
      </c>
      <c r="B675" s="1">
        <f>DATE(2011,5,1) + TIME(8,15,22)</f>
        <v>40664.344004629631</v>
      </c>
      <c r="C675">
        <v>80</v>
      </c>
      <c r="D675">
        <v>56.632198334000002</v>
      </c>
      <c r="E675">
        <v>50</v>
      </c>
      <c r="F675">
        <v>49.358470916999998</v>
      </c>
      <c r="G675">
        <v>1415.4266356999999</v>
      </c>
      <c r="H675">
        <v>1241.2824707</v>
      </c>
      <c r="I675">
        <v>1362.0120850000001</v>
      </c>
      <c r="J675">
        <v>1168.6192627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365.37455899999998</v>
      </c>
      <c r="B676" s="1">
        <f>DATE(2011,5,1) + TIME(8,59,21)</f>
        <v>40664.374548611115</v>
      </c>
      <c r="C676">
        <v>80</v>
      </c>
      <c r="D676">
        <v>57.536655426000003</v>
      </c>
      <c r="E676">
        <v>50</v>
      </c>
      <c r="F676">
        <v>49.347763061999999</v>
      </c>
      <c r="G676">
        <v>1421.9561768000001</v>
      </c>
      <c r="H676">
        <v>1249.9705810999999</v>
      </c>
      <c r="I676">
        <v>1353.2828368999999</v>
      </c>
      <c r="J676">
        <v>1159.8698730000001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365.40608300000002</v>
      </c>
      <c r="B677" s="1">
        <f>DATE(2011,5,1) + TIME(9,44,45)</f>
        <v>40664.406076388892</v>
      </c>
      <c r="C677">
        <v>80</v>
      </c>
      <c r="D677">
        <v>58.432346344000003</v>
      </c>
      <c r="E677">
        <v>50</v>
      </c>
      <c r="F677">
        <v>49.337677002</v>
      </c>
      <c r="G677">
        <v>1428.0845947</v>
      </c>
      <c r="H677">
        <v>1258.1944579999999</v>
      </c>
      <c r="I677">
        <v>1345.0029297000001</v>
      </c>
      <c r="J677">
        <v>1151.5721435999999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365.43865099999999</v>
      </c>
      <c r="B678" s="1">
        <f>DATE(2011,5,1) + TIME(10,31,39)</f>
        <v>40664.438645833332</v>
      </c>
      <c r="C678">
        <v>80</v>
      </c>
      <c r="D678">
        <v>59.319229126000003</v>
      </c>
      <c r="E678">
        <v>50</v>
      </c>
      <c r="F678">
        <v>49.328109740999999</v>
      </c>
      <c r="G678">
        <v>1433.8792725000001</v>
      </c>
      <c r="H678">
        <v>1266.0239257999999</v>
      </c>
      <c r="I678">
        <v>1337.1082764</v>
      </c>
      <c r="J678">
        <v>1143.6616211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365.47231199999999</v>
      </c>
      <c r="B679" s="1">
        <f>DATE(2011,5,1) + TIME(11,20,7)</f>
        <v>40664.472303240742</v>
      </c>
      <c r="C679">
        <v>80</v>
      </c>
      <c r="D679">
        <v>60.196548462000003</v>
      </c>
      <c r="E679">
        <v>50</v>
      </c>
      <c r="F679">
        <v>49.318965912000003</v>
      </c>
      <c r="G679">
        <v>1439.3927002</v>
      </c>
      <c r="H679">
        <v>1273.512207</v>
      </c>
      <c r="I679">
        <v>1329.5505370999999</v>
      </c>
      <c r="J679">
        <v>1136.0895995999999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365.507137</v>
      </c>
      <c r="B680" s="1">
        <f>DATE(2011,5,1) + TIME(12,10,16)</f>
        <v>40664.50712962963</v>
      </c>
      <c r="C680">
        <v>80</v>
      </c>
      <c r="D680">
        <v>61.063720703000001</v>
      </c>
      <c r="E680">
        <v>50</v>
      </c>
      <c r="F680">
        <v>49.310173034999998</v>
      </c>
      <c r="G680">
        <v>1444.6712646000001</v>
      </c>
      <c r="H680">
        <v>1280.7071533000001</v>
      </c>
      <c r="I680">
        <v>1322.2854004000001</v>
      </c>
      <c r="J680">
        <v>1128.8115233999999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365.543204</v>
      </c>
      <c r="B681" s="1">
        <f>DATE(2011,5,1) + TIME(13,2,12)</f>
        <v>40664.543194444443</v>
      </c>
      <c r="C681">
        <v>80</v>
      </c>
      <c r="D681">
        <v>61.920921325999998</v>
      </c>
      <c r="E681">
        <v>50</v>
      </c>
      <c r="F681">
        <v>49.301658629999999</v>
      </c>
      <c r="G681">
        <v>1449.7543945</v>
      </c>
      <c r="H681">
        <v>1287.6500243999999</v>
      </c>
      <c r="I681">
        <v>1315.2749022999999</v>
      </c>
      <c r="J681">
        <v>1121.7894286999999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365.580602</v>
      </c>
      <c r="B682" s="1">
        <f>DATE(2011,5,1) + TIME(13,56,4)</f>
        <v>40664.580601851849</v>
      </c>
      <c r="C682">
        <v>80</v>
      </c>
      <c r="D682">
        <v>62.767902374000002</v>
      </c>
      <c r="E682">
        <v>50</v>
      </c>
      <c r="F682">
        <v>49.293361664000003</v>
      </c>
      <c r="G682">
        <v>1454.6762695</v>
      </c>
      <c r="H682">
        <v>1294.3763428</v>
      </c>
      <c r="I682">
        <v>1308.4857178</v>
      </c>
      <c r="J682">
        <v>1114.9897461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365.61942900000003</v>
      </c>
      <c r="B683" s="1">
        <f>DATE(2011,5,1) + TIME(14,51,58)</f>
        <v>40664.619421296295</v>
      </c>
      <c r="C683">
        <v>80</v>
      </c>
      <c r="D683">
        <v>63.604400634999998</v>
      </c>
      <c r="E683">
        <v>50</v>
      </c>
      <c r="F683">
        <v>49.285221100000001</v>
      </c>
      <c r="G683">
        <v>1459.4667969</v>
      </c>
      <c r="H683">
        <v>1300.9179687999999</v>
      </c>
      <c r="I683">
        <v>1301.8887939000001</v>
      </c>
      <c r="J683">
        <v>1108.3830565999999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365.65979900000002</v>
      </c>
      <c r="B684" s="1">
        <f>DATE(2011,5,1) + TIME(15,50,6)</f>
        <v>40664.659791666665</v>
      </c>
      <c r="C684">
        <v>80</v>
      </c>
      <c r="D684">
        <v>64.430160521999994</v>
      </c>
      <c r="E684">
        <v>50</v>
      </c>
      <c r="F684">
        <v>49.277183532999999</v>
      </c>
      <c r="G684">
        <v>1464.1525879000001</v>
      </c>
      <c r="H684">
        <v>1307.3031006000001</v>
      </c>
      <c r="I684">
        <v>1295.4575195</v>
      </c>
      <c r="J684">
        <v>1101.9429932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365.70183700000001</v>
      </c>
      <c r="B685" s="1">
        <f>DATE(2011,5,1) + TIME(16,50,38)</f>
        <v>40664.701828703706</v>
      </c>
      <c r="C685">
        <v>80</v>
      </c>
      <c r="D685">
        <v>65.244972228999998</v>
      </c>
      <c r="E685">
        <v>50</v>
      </c>
      <c r="F685">
        <v>49.269203185999999</v>
      </c>
      <c r="G685">
        <v>1468.7580565999999</v>
      </c>
      <c r="H685">
        <v>1313.5574951000001</v>
      </c>
      <c r="I685">
        <v>1289.1682129000001</v>
      </c>
      <c r="J685">
        <v>1095.6453856999999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365.74568699999998</v>
      </c>
      <c r="B686" s="1">
        <f>DATE(2011,5,1) + TIME(17,53,47)</f>
        <v>40664.745682870373</v>
      </c>
      <c r="C686">
        <v>80</v>
      </c>
      <c r="D686">
        <v>66.048614502000007</v>
      </c>
      <c r="E686">
        <v>50</v>
      </c>
      <c r="F686">
        <v>49.261230468999997</v>
      </c>
      <c r="G686">
        <v>1473.3052978999999</v>
      </c>
      <c r="H686">
        <v>1319.7048339999999</v>
      </c>
      <c r="I686">
        <v>1282.9986572</v>
      </c>
      <c r="J686">
        <v>1089.4682617000001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365.79151300000001</v>
      </c>
      <c r="B687" s="1">
        <f>DATE(2011,5,1) + TIME(18,59,46)</f>
        <v>40664.791504629633</v>
      </c>
      <c r="C687">
        <v>80</v>
      </c>
      <c r="D687">
        <v>66.840675353999998</v>
      </c>
      <c r="E687">
        <v>50</v>
      </c>
      <c r="F687">
        <v>49.253211974999999</v>
      </c>
      <c r="G687">
        <v>1477.8153076000001</v>
      </c>
      <c r="H687">
        <v>1325.7675781</v>
      </c>
      <c r="I687">
        <v>1276.9282227000001</v>
      </c>
      <c r="J687">
        <v>1083.3907471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365.83952900000003</v>
      </c>
      <c r="B688" s="1">
        <f>DATE(2011,5,1) + TIME(20,8,55)</f>
        <v>40664.839525462965</v>
      </c>
      <c r="C688">
        <v>80</v>
      </c>
      <c r="D688">
        <v>67.621238708000007</v>
      </c>
      <c r="E688">
        <v>50</v>
      </c>
      <c r="F688">
        <v>49.245101929</v>
      </c>
      <c r="G688">
        <v>1482.3104248</v>
      </c>
      <c r="H688">
        <v>1331.7700195</v>
      </c>
      <c r="I688">
        <v>1270.9339600000001</v>
      </c>
      <c r="J688">
        <v>1077.3897704999999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365.88994000000002</v>
      </c>
      <c r="B689" s="1">
        <f>DATE(2011,5,1) + TIME(21,21,30)</f>
        <v>40664.889930555553</v>
      </c>
      <c r="C689">
        <v>80</v>
      </c>
      <c r="D689">
        <v>68.389724731000001</v>
      </c>
      <c r="E689">
        <v>50</v>
      </c>
      <c r="F689">
        <v>49.236846923999998</v>
      </c>
      <c r="G689">
        <v>1486.8087158000001</v>
      </c>
      <c r="H689">
        <v>1337.7313231999999</v>
      </c>
      <c r="I689">
        <v>1264.9985352000001</v>
      </c>
      <c r="J689">
        <v>1071.447876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365.94298700000002</v>
      </c>
      <c r="B690" s="1">
        <f>DATE(2011,5,1) + TIME(22,37,54)</f>
        <v>40664.942986111113</v>
      </c>
      <c r="C690">
        <v>80</v>
      </c>
      <c r="D690">
        <v>69.145599364999995</v>
      </c>
      <c r="E690">
        <v>50</v>
      </c>
      <c r="F690">
        <v>49.228397369</v>
      </c>
      <c r="G690">
        <v>1491.3289795000001</v>
      </c>
      <c r="H690">
        <v>1343.6707764</v>
      </c>
      <c r="I690">
        <v>1259.1040039</v>
      </c>
      <c r="J690">
        <v>1065.5469971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365.998963</v>
      </c>
      <c r="B691" s="1">
        <f>DATE(2011,5,1) + TIME(23,58,30)</f>
        <v>40664.99895833333</v>
      </c>
      <c r="C691">
        <v>80</v>
      </c>
      <c r="D691">
        <v>69.888473511000001</v>
      </c>
      <c r="E691">
        <v>50</v>
      </c>
      <c r="F691">
        <v>49.219699859999999</v>
      </c>
      <c r="G691">
        <v>1495.8909911999999</v>
      </c>
      <c r="H691">
        <v>1349.6096190999999</v>
      </c>
      <c r="I691">
        <v>1253.2312012</v>
      </c>
      <c r="J691">
        <v>1059.6678466999999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366.05821200000003</v>
      </c>
      <c r="B692" s="1">
        <f>DATE(2011,5,2) + TIME(1,23,49)</f>
        <v>40665.058206018519</v>
      </c>
      <c r="C692">
        <v>80</v>
      </c>
      <c r="D692">
        <v>70.617439270000006</v>
      </c>
      <c r="E692">
        <v>50</v>
      </c>
      <c r="F692">
        <v>49.210689545000001</v>
      </c>
      <c r="G692">
        <v>1500.515625</v>
      </c>
      <c r="H692">
        <v>1355.5693358999999</v>
      </c>
      <c r="I692">
        <v>1247.3598632999999</v>
      </c>
      <c r="J692">
        <v>1053.7904053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366.12113599999998</v>
      </c>
      <c r="B693" s="1">
        <f>DATE(2011,5,2) + TIME(2,54,26)</f>
        <v>40665.121134259258</v>
      </c>
      <c r="C693">
        <v>80</v>
      </c>
      <c r="D693">
        <v>71.332252502000003</v>
      </c>
      <c r="E693">
        <v>50</v>
      </c>
      <c r="F693">
        <v>49.201301575000002</v>
      </c>
      <c r="G693">
        <v>1505.2242432</v>
      </c>
      <c r="H693">
        <v>1361.5725098</v>
      </c>
      <c r="I693">
        <v>1241.4699707</v>
      </c>
      <c r="J693">
        <v>1047.8941649999999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366.18822</v>
      </c>
      <c r="B694" s="1">
        <f>DATE(2011,5,2) + TIME(4,31,2)</f>
        <v>40665.188217592593</v>
      </c>
      <c r="C694">
        <v>80</v>
      </c>
      <c r="D694">
        <v>72.032432556000003</v>
      </c>
      <c r="E694">
        <v>50</v>
      </c>
      <c r="F694">
        <v>49.191459655999999</v>
      </c>
      <c r="G694">
        <v>1510.0407714999999</v>
      </c>
      <c r="H694">
        <v>1367.6437988</v>
      </c>
      <c r="I694">
        <v>1235.5386963000001</v>
      </c>
      <c r="J694">
        <v>1041.956543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366.26006100000001</v>
      </c>
      <c r="B695" s="1">
        <f>DATE(2011,5,2) + TIME(6,14,29)</f>
        <v>40665.260057870371</v>
      </c>
      <c r="C695">
        <v>80</v>
      </c>
      <c r="D695">
        <v>72.717422485</v>
      </c>
      <c r="E695">
        <v>50</v>
      </c>
      <c r="F695">
        <v>49.181072235000002</v>
      </c>
      <c r="G695">
        <v>1514.9927978999999</v>
      </c>
      <c r="H695">
        <v>1373.8117675999999</v>
      </c>
      <c r="I695">
        <v>1229.5401611</v>
      </c>
      <c r="J695">
        <v>1035.9512939000001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366.33738399999999</v>
      </c>
      <c r="B696" s="1">
        <f>DATE(2011,5,2) + TIME(8,5,49)</f>
        <v>40665.337372685186</v>
      </c>
      <c r="C696">
        <v>80</v>
      </c>
      <c r="D696">
        <v>73.386512756000002</v>
      </c>
      <c r="E696">
        <v>50</v>
      </c>
      <c r="F696">
        <v>49.170036316000001</v>
      </c>
      <c r="G696">
        <v>1520.1109618999999</v>
      </c>
      <c r="H696">
        <v>1380.1077881000001</v>
      </c>
      <c r="I696">
        <v>1223.4461670000001</v>
      </c>
      <c r="J696">
        <v>1029.8500977000001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366.42108500000001</v>
      </c>
      <c r="B697" s="1">
        <f>DATE(2011,5,2) + TIME(10,6,21)</f>
        <v>40665.421076388891</v>
      </c>
      <c r="C697">
        <v>80</v>
      </c>
      <c r="D697">
        <v>74.038887024000005</v>
      </c>
      <c r="E697">
        <v>50</v>
      </c>
      <c r="F697">
        <v>49.158229828000003</v>
      </c>
      <c r="G697">
        <v>1525.4313964999999</v>
      </c>
      <c r="H697">
        <v>1386.5682373</v>
      </c>
      <c r="I697">
        <v>1217.2235106999999</v>
      </c>
      <c r="J697">
        <v>1023.619751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366.51230199999998</v>
      </c>
      <c r="B698" s="1">
        <f>DATE(2011,5,2) + TIME(12,17,42)</f>
        <v>40665.512291666666</v>
      </c>
      <c r="C698">
        <v>80</v>
      </c>
      <c r="D698">
        <v>74.673599242999998</v>
      </c>
      <c r="E698">
        <v>50</v>
      </c>
      <c r="F698">
        <v>49.145503998000002</v>
      </c>
      <c r="G698">
        <v>1530.9973144999999</v>
      </c>
      <c r="H698">
        <v>1393.2368164</v>
      </c>
      <c r="I698">
        <v>1210.8331298999999</v>
      </c>
      <c r="J698">
        <v>1017.2209473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366.56070199999999</v>
      </c>
      <c r="B699" s="1">
        <f>DATE(2011,5,2) + TIME(13,27,24)</f>
        <v>40665.560694444444</v>
      </c>
      <c r="C699">
        <v>80</v>
      </c>
      <c r="D699">
        <v>74.989845275999997</v>
      </c>
      <c r="E699">
        <v>50</v>
      </c>
      <c r="F699">
        <v>49.138252258000001</v>
      </c>
      <c r="G699">
        <v>1533.8153076000001</v>
      </c>
      <c r="H699">
        <v>1396.5811768000001</v>
      </c>
      <c r="I699">
        <v>1207.5374756000001</v>
      </c>
      <c r="J699">
        <v>1013.9216919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366.65750400000002</v>
      </c>
      <c r="B700" s="1">
        <f>DATE(2011,5,2) + TIME(15,46,48)</f>
        <v>40665.657500000001</v>
      </c>
      <c r="C700">
        <v>80</v>
      </c>
      <c r="D700">
        <v>75.551216124999996</v>
      </c>
      <c r="E700">
        <v>50</v>
      </c>
      <c r="F700">
        <v>49.124847412000001</v>
      </c>
      <c r="G700">
        <v>1539.3823242000001</v>
      </c>
      <c r="H700">
        <v>1403.1391602000001</v>
      </c>
      <c r="I700">
        <v>1201.3287353999999</v>
      </c>
      <c r="J700">
        <v>1007.7023315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366.75436100000002</v>
      </c>
      <c r="B701" s="1">
        <f>DATE(2011,5,2) + TIME(18,6,16)</f>
        <v>40665.754351851851</v>
      </c>
      <c r="C701">
        <v>80</v>
      </c>
      <c r="D701">
        <v>76.049285889000004</v>
      </c>
      <c r="E701">
        <v>50</v>
      </c>
      <c r="F701">
        <v>49.111366271999998</v>
      </c>
      <c r="G701">
        <v>1544.7402344</v>
      </c>
      <c r="H701">
        <v>1409.3519286999999</v>
      </c>
      <c r="I701">
        <v>1195.4345702999999</v>
      </c>
      <c r="J701">
        <v>1001.7988892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366.85189500000001</v>
      </c>
      <c r="B702" s="1">
        <f>DATE(2011,5,2) + TIME(20,26,43)</f>
        <v>40665.851886574077</v>
      </c>
      <c r="C702">
        <v>80</v>
      </c>
      <c r="D702">
        <v>76.493743895999998</v>
      </c>
      <c r="E702">
        <v>50</v>
      </c>
      <c r="F702">
        <v>49.097740172999998</v>
      </c>
      <c r="G702">
        <v>1549.9222411999999</v>
      </c>
      <c r="H702">
        <v>1415.2998047000001</v>
      </c>
      <c r="I702">
        <v>1189.7911377</v>
      </c>
      <c r="J702">
        <v>996.14587401999995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366.950356</v>
      </c>
      <c r="B703" s="1">
        <f>DATE(2011,5,2) + TIME(22,48,30)</f>
        <v>40665.95034722222</v>
      </c>
      <c r="C703">
        <v>80</v>
      </c>
      <c r="D703">
        <v>76.890975952000005</v>
      </c>
      <c r="E703">
        <v>50</v>
      </c>
      <c r="F703">
        <v>49.083953856999997</v>
      </c>
      <c r="G703">
        <v>1554.9671631000001</v>
      </c>
      <c r="H703">
        <v>1421.0316161999999</v>
      </c>
      <c r="I703">
        <v>1184.3619385</v>
      </c>
      <c r="J703">
        <v>990.70666503999996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367.050027</v>
      </c>
      <c r="B704" s="1">
        <f>DATE(2011,5,3) + TIME(1,12,2)</f>
        <v>40666.050023148149</v>
      </c>
      <c r="C704">
        <v>80</v>
      </c>
      <c r="D704">
        <v>77.246536254999995</v>
      </c>
      <c r="E704">
        <v>50</v>
      </c>
      <c r="F704">
        <v>49.069972991999997</v>
      </c>
      <c r="G704">
        <v>1559.9020995999999</v>
      </c>
      <c r="H704">
        <v>1426.5842285000001</v>
      </c>
      <c r="I704">
        <v>1179.1137695</v>
      </c>
      <c r="J704">
        <v>985.44805908000001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367.151207</v>
      </c>
      <c r="B705" s="1">
        <f>DATE(2011,5,3) + TIME(3,37,44)</f>
        <v>40666.151203703703</v>
      </c>
      <c r="C705">
        <v>80</v>
      </c>
      <c r="D705">
        <v>77.565162658999995</v>
      </c>
      <c r="E705">
        <v>50</v>
      </c>
      <c r="F705">
        <v>49.055767058999997</v>
      </c>
      <c r="G705">
        <v>1564.7489014</v>
      </c>
      <c r="H705">
        <v>1431.9880370999999</v>
      </c>
      <c r="I705">
        <v>1174.0170897999999</v>
      </c>
      <c r="J705">
        <v>980.34069824000005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367.25412499999999</v>
      </c>
      <c r="B706" s="1">
        <f>DATE(2011,5,3) + TIME(6,5,56)</f>
        <v>40666.254120370373</v>
      </c>
      <c r="C706">
        <v>80</v>
      </c>
      <c r="D706">
        <v>77.850723267000006</v>
      </c>
      <c r="E706">
        <v>50</v>
      </c>
      <c r="F706">
        <v>49.041320800999998</v>
      </c>
      <c r="G706">
        <v>1569.5222168</v>
      </c>
      <c r="H706">
        <v>1437.2644043</v>
      </c>
      <c r="I706">
        <v>1169.050293</v>
      </c>
      <c r="J706">
        <v>975.36260986000002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367.35905700000001</v>
      </c>
      <c r="B707" s="1">
        <f>DATE(2011,5,3) + TIME(8,37,2)</f>
        <v>40666.359050925923</v>
      </c>
      <c r="C707">
        <v>80</v>
      </c>
      <c r="D707">
        <v>78.106674193999993</v>
      </c>
      <c r="E707">
        <v>50</v>
      </c>
      <c r="F707">
        <v>49.026599883999999</v>
      </c>
      <c r="G707">
        <v>1574.2364502</v>
      </c>
      <c r="H707">
        <v>1442.4339600000001</v>
      </c>
      <c r="I707">
        <v>1164.1920166</v>
      </c>
      <c r="J707">
        <v>970.49279784999999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367.46628600000003</v>
      </c>
      <c r="B708" s="1">
        <f>DATE(2011,5,3) + TIME(11,11,27)</f>
        <v>40666.466284722221</v>
      </c>
      <c r="C708">
        <v>80</v>
      </c>
      <c r="D708">
        <v>78.336036682</v>
      </c>
      <c r="E708">
        <v>50</v>
      </c>
      <c r="F708">
        <v>49.011577606000003</v>
      </c>
      <c r="G708">
        <v>1578.9044189000001</v>
      </c>
      <c r="H708">
        <v>1447.5144043</v>
      </c>
      <c r="I708">
        <v>1159.4238281</v>
      </c>
      <c r="J708">
        <v>965.71264647999999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367.57611200000002</v>
      </c>
      <c r="B709" s="1">
        <f>DATE(2011,5,3) + TIME(13,49,36)</f>
        <v>40666.576111111113</v>
      </c>
      <c r="C709">
        <v>80</v>
      </c>
      <c r="D709">
        <v>78.541442871000001</v>
      </c>
      <c r="E709">
        <v>50</v>
      </c>
      <c r="F709">
        <v>48.996227263999998</v>
      </c>
      <c r="G709">
        <v>1583.5375977000001</v>
      </c>
      <c r="H709">
        <v>1452.5219727000001</v>
      </c>
      <c r="I709">
        <v>1154.7288818</v>
      </c>
      <c r="J709">
        <v>961.00531006000006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367.68885399999999</v>
      </c>
      <c r="B710" s="1">
        <f>DATE(2011,5,3) + TIME(16,31,57)</f>
        <v>40666.688854166663</v>
      </c>
      <c r="C710">
        <v>80</v>
      </c>
      <c r="D710">
        <v>78.725227356000005</v>
      </c>
      <c r="E710">
        <v>50</v>
      </c>
      <c r="F710">
        <v>48.980510711999997</v>
      </c>
      <c r="G710">
        <v>1588.1468506000001</v>
      </c>
      <c r="H710">
        <v>1457.4711914</v>
      </c>
      <c r="I710">
        <v>1150.0919189000001</v>
      </c>
      <c r="J710">
        <v>956.35552978999999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367.80485900000002</v>
      </c>
      <c r="B711" s="1">
        <f>DATE(2011,5,3) + TIME(19,18,59)</f>
        <v>40666.804849537039</v>
      </c>
      <c r="C711">
        <v>80</v>
      </c>
      <c r="D711">
        <v>78.889434813999998</v>
      </c>
      <c r="E711">
        <v>50</v>
      </c>
      <c r="F711">
        <v>48.964397429999998</v>
      </c>
      <c r="G711">
        <v>1592.7421875</v>
      </c>
      <c r="H711">
        <v>1462.3754882999999</v>
      </c>
      <c r="I711">
        <v>1145.4986572</v>
      </c>
      <c r="J711">
        <v>951.74896239999998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367.92450300000002</v>
      </c>
      <c r="B712" s="1">
        <f>DATE(2011,5,3) + TIME(22,11,17)</f>
        <v>40666.924502314818</v>
      </c>
      <c r="C712">
        <v>80</v>
      </c>
      <c r="D712">
        <v>79.035919188999998</v>
      </c>
      <c r="E712">
        <v>50</v>
      </c>
      <c r="F712">
        <v>48.947845459</v>
      </c>
      <c r="G712">
        <v>1597.3332519999999</v>
      </c>
      <c r="H712">
        <v>1467.2476807</v>
      </c>
      <c r="I712">
        <v>1140.9356689000001</v>
      </c>
      <c r="J712">
        <v>947.17230225000003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368.04820100000001</v>
      </c>
      <c r="B713" s="1">
        <f>DATE(2011,5,4) + TIME(1,9,24)</f>
        <v>40667.048194444447</v>
      </c>
      <c r="C713">
        <v>80</v>
      </c>
      <c r="D713">
        <v>79.166313170999999</v>
      </c>
      <c r="E713">
        <v>50</v>
      </c>
      <c r="F713">
        <v>48.930812836000001</v>
      </c>
      <c r="G713">
        <v>1601.9295654</v>
      </c>
      <c r="H713">
        <v>1472.0997314000001</v>
      </c>
      <c r="I713">
        <v>1136.3900146000001</v>
      </c>
      <c r="J713">
        <v>942.61254883000004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368.17641700000001</v>
      </c>
      <c r="B714" s="1">
        <f>DATE(2011,5,4) + TIME(4,14,2)</f>
        <v>40667.176412037035</v>
      </c>
      <c r="C714">
        <v>80</v>
      </c>
      <c r="D714">
        <v>79.282104492000002</v>
      </c>
      <c r="E714">
        <v>50</v>
      </c>
      <c r="F714">
        <v>48.913249968999999</v>
      </c>
      <c r="G714">
        <v>1606.5405272999999</v>
      </c>
      <c r="H714">
        <v>1476.9434814000001</v>
      </c>
      <c r="I714">
        <v>1131.8493652</v>
      </c>
      <c r="J714">
        <v>938.05718993999994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368.30976099999998</v>
      </c>
      <c r="B715" s="1">
        <f>DATE(2011,5,4) + TIME(7,26,3)</f>
        <v>40667.309756944444</v>
      </c>
      <c r="C715">
        <v>80</v>
      </c>
      <c r="D715">
        <v>79.384681701999995</v>
      </c>
      <c r="E715">
        <v>50</v>
      </c>
      <c r="F715">
        <v>48.895092009999999</v>
      </c>
      <c r="G715">
        <v>1611.1789550999999</v>
      </c>
      <c r="H715">
        <v>1481.7940673999999</v>
      </c>
      <c r="I715">
        <v>1127.2980957</v>
      </c>
      <c r="J715">
        <v>933.49072265999996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368.44866999999999</v>
      </c>
      <c r="B716" s="1">
        <f>DATE(2011,5,4) + TIME(10,46,5)</f>
        <v>40667.44866898148</v>
      </c>
      <c r="C716">
        <v>80</v>
      </c>
      <c r="D716">
        <v>79.475135803000001</v>
      </c>
      <c r="E716">
        <v>50</v>
      </c>
      <c r="F716">
        <v>48.876300811999997</v>
      </c>
      <c r="G716">
        <v>1615.8492432</v>
      </c>
      <c r="H716">
        <v>1486.6573486</v>
      </c>
      <c r="I716">
        <v>1122.7286377</v>
      </c>
      <c r="J716">
        <v>928.90563965000001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368.593076</v>
      </c>
      <c r="B717" s="1">
        <f>DATE(2011,5,4) + TIME(14,14,1)</f>
        <v>40667.59306712963</v>
      </c>
      <c r="C717">
        <v>80</v>
      </c>
      <c r="D717">
        <v>79.554252625000004</v>
      </c>
      <c r="E717">
        <v>50</v>
      </c>
      <c r="F717">
        <v>48.856884002999998</v>
      </c>
      <c r="G717">
        <v>1620.5367432</v>
      </c>
      <c r="H717">
        <v>1491.5200195</v>
      </c>
      <c r="I717">
        <v>1118.1506348</v>
      </c>
      <c r="J717">
        <v>924.31134033000001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368.74364100000003</v>
      </c>
      <c r="B718" s="1">
        <f>DATE(2011,5,4) + TIME(17,50,50)</f>
        <v>40667.743634259263</v>
      </c>
      <c r="C718">
        <v>80</v>
      </c>
      <c r="D718">
        <v>79.623176575000002</v>
      </c>
      <c r="E718">
        <v>50</v>
      </c>
      <c r="F718">
        <v>48.836772918999998</v>
      </c>
      <c r="G718">
        <v>1625.2530518000001</v>
      </c>
      <c r="H718">
        <v>1496.3955077999999</v>
      </c>
      <c r="I718">
        <v>1113.5510254000001</v>
      </c>
      <c r="J718">
        <v>919.69494628999996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368.90101900000002</v>
      </c>
      <c r="B719" s="1">
        <f>DATE(2011,5,4) + TIME(21,37,28)</f>
        <v>40667.901018518518</v>
      </c>
      <c r="C719">
        <v>80</v>
      </c>
      <c r="D719">
        <v>79.682914733999993</v>
      </c>
      <c r="E719">
        <v>50</v>
      </c>
      <c r="F719">
        <v>48.815906525000003</v>
      </c>
      <c r="G719">
        <v>1630.0061035000001</v>
      </c>
      <c r="H719">
        <v>1501.2930908000001</v>
      </c>
      <c r="I719">
        <v>1108.9195557</v>
      </c>
      <c r="J719">
        <v>915.04595946999996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369.06603100000001</v>
      </c>
      <c r="B720" s="1">
        <f>DATE(2011,5,5) + TIME(1,35,5)</f>
        <v>40668.066030092596</v>
      </c>
      <c r="C720">
        <v>80</v>
      </c>
      <c r="D720">
        <v>79.734405518000003</v>
      </c>
      <c r="E720">
        <v>50</v>
      </c>
      <c r="F720">
        <v>48.794197083</v>
      </c>
      <c r="G720">
        <v>1634.8065185999999</v>
      </c>
      <c r="H720">
        <v>1506.2248535000001</v>
      </c>
      <c r="I720">
        <v>1104.2432861</v>
      </c>
      <c r="J720">
        <v>910.35168456999997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369.23962399999999</v>
      </c>
      <c r="B721" s="1">
        <f>DATE(2011,5,5) + TIME(5,45,3)</f>
        <v>40668.239618055559</v>
      </c>
      <c r="C721">
        <v>80</v>
      </c>
      <c r="D721">
        <v>79.778503418</v>
      </c>
      <c r="E721">
        <v>50</v>
      </c>
      <c r="F721">
        <v>48.771553040000001</v>
      </c>
      <c r="G721">
        <v>1639.6651611</v>
      </c>
      <c r="H721">
        <v>1511.2033690999999</v>
      </c>
      <c r="I721">
        <v>1099.5087891000001</v>
      </c>
      <c r="J721">
        <v>905.59838866999996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369.42289799999998</v>
      </c>
      <c r="B722" s="1">
        <f>DATE(2011,5,5) + TIME(10,8,58)</f>
        <v>40668.422893518517</v>
      </c>
      <c r="C722">
        <v>80</v>
      </c>
      <c r="D722">
        <v>79.815979003999999</v>
      </c>
      <c r="E722">
        <v>50</v>
      </c>
      <c r="F722">
        <v>48.747863770000002</v>
      </c>
      <c r="G722">
        <v>1644.5942382999999</v>
      </c>
      <c r="H722">
        <v>1516.2416992000001</v>
      </c>
      <c r="I722">
        <v>1094.7016602000001</v>
      </c>
      <c r="J722">
        <v>900.77172852000001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369.617143</v>
      </c>
      <c r="B723" s="1">
        <f>DATE(2011,5,5) + TIME(14,48,41)</f>
        <v>40668.6171412037</v>
      </c>
      <c r="C723">
        <v>80</v>
      </c>
      <c r="D723">
        <v>79.847549438000001</v>
      </c>
      <c r="E723">
        <v>50</v>
      </c>
      <c r="F723">
        <v>48.722999573000003</v>
      </c>
      <c r="G723">
        <v>1649.6063231999999</v>
      </c>
      <c r="H723">
        <v>1521.3538818</v>
      </c>
      <c r="I723">
        <v>1089.8063964999999</v>
      </c>
      <c r="J723">
        <v>895.85595703000001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369.819928</v>
      </c>
      <c r="B724" s="1">
        <f>DATE(2011,5,5) + TIME(19,40,41)</f>
        <v>40668.819918981484</v>
      </c>
      <c r="C724">
        <v>80</v>
      </c>
      <c r="D724">
        <v>79.873451232999997</v>
      </c>
      <c r="E724">
        <v>50</v>
      </c>
      <c r="F724">
        <v>48.697196959999999</v>
      </c>
      <c r="G724">
        <v>1654.6137695</v>
      </c>
      <c r="H724">
        <v>1526.4521483999999</v>
      </c>
      <c r="I724">
        <v>1084.8973389</v>
      </c>
      <c r="J724">
        <v>890.92584228999999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370.02294899999998</v>
      </c>
      <c r="B725" s="1">
        <f>DATE(2011,5,6) + TIME(0,33,2)</f>
        <v>40669.022939814815</v>
      </c>
      <c r="C725">
        <v>80</v>
      </c>
      <c r="D725">
        <v>79.893745421999995</v>
      </c>
      <c r="E725">
        <v>50</v>
      </c>
      <c r="F725">
        <v>48.671295166</v>
      </c>
      <c r="G725">
        <v>1659.4005127</v>
      </c>
      <c r="H725">
        <v>1531.3199463000001</v>
      </c>
      <c r="I725">
        <v>1080.1696777</v>
      </c>
      <c r="J725">
        <v>886.17742920000001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370.22681499999999</v>
      </c>
      <c r="B726" s="1">
        <f>DATE(2011,5,6) + TIME(5,26,36)</f>
        <v>40669.226805555554</v>
      </c>
      <c r="C726">
        <v>80</v>
      </c>
      <c r="D726">
        <v>79.909652710000003</v>
      </c>
      <c r="E726">
        <v>50</v>
      </c>
      <c r="F726">
        <v>48.645275116000001</v>
      </c>
      <c r="G726">
        <v>1664.0072021000001</v>
      </c>
      <c r="H726">
        <v>1535.9982910000001</v>
      </c>
      <c r="I726">
        <v>1075.5993652</v>
      </c>
      <c r="J726">
        <v>881.58630371000004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370.43214699999999</v>
      </c>
      <c r="B727" s="1">
        <f>DATE(2011,5,6) + TIME(10,22,17)</f>
        <v>40669.432141203702</v>
      </c>
      <c r="C727">
        <v>80</v>
      </c>
      <c r="D727">
        <v>79.922103882000002</v>
      </c>
      <c r="E727">
        <v>50</v>
      </c>
      <c r="F727">
        <v>48.619113921999997</v>
      </c>
      <c r="G727">
        <v>1668.4608154</v>
      </c>
      <c r="H727">
        <v>1540.5158690999999</v>
      </c>
      <c r="I727">
        <v>1071.1645507999999</v>
      </c>
      <c r="J727">
        <v>877.13049316000001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370.63961499999999</v>
      </c>
      <c r="B728" s="1">
        <f>DATE(2011,5,6) + TIME(15,21,2)</f>
        <v>40669.639606481483</v>
      </c>
      <c r="C728">
        <v>80</v>
      </c>
      <c r="D728">
        <v>79.931808472</v>
      </c>
      <c r="E728">
        <v>50</v>
      </c>
      <c r="F728">
        <v>48.592769623000002</v>
      </c>
      <c r="G728">
        <v>1672.7835693</v>
      </c>
      <c r="H728">
        <v>1544.8962402</v>
      </c>
      <c r="I728">
        <v>1066.8444824000001</v>
      </c>
      <c r="J728">
        <v>872.78942871000004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370.84968500000002</v>
      </c>
      <c r="B729" s="1">
        <f>DATE(2011,5,6) + TIME(20,23,32)</f>
        <v>40669.849675925929</v>
      </c>
      <c r="C729">
        <v>80</v>
      </c>
      <c r="D729">
        <v>79.939331054999997</v>
      </c>
      <c r="E729">
        <v>50</v>
      </c>
      <c r="F729">
        <v>48.566204071000001</v>
      </c>
      <c r="G729">
        <v>1676.989624</v>
      </c>
      <c r="H729">
        <v>1549.1546631000001</v>
      </c>
      <c r="I729">
        <v>1062.6251221</v>
      </c>
      <c r="J729">
        <v>868.54901123000002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371.06291299999998</v>
      </c>
      <c r="B730" s="1">
        <f>DATE(2011,5,7) + TIME(1,30,35)</f>
        <v>40670.062905092593</v>
      </c>
      <c r="C730">
        <v>80</v>
      </c>
      <c r="D730">
        <v>79.945098877000007</v>
      </c>
      <c r="E730">
        <v>50</v>
      </c>
      <c r="F730">
        <v>48.539382934999999</v>
      </c>
      <c r="G730">
        <v>1681.0933838000001</v>
      </c>
      <c r="H730">
        <v>1553.3065185999999</v>
      </c>
      <c r="I730">
        <v>1058.4923096</v>
      </c>
      <c r="J730">
        <v>864.39495850000003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371.27986399999998</v>
      </c>
      <c r="B731" s="1">
        <f>DATE(2011,5,7) + TIME(6,43,0)</f>
        <v>40670.279861111114</v>
      </c>
      <c r="C731">
        <v>80</v>
      </c>
      <c r="D731">
        <v>79.949455260999997</v>
      </c>
      <c r="E731">
        <v>50</v>
      </c>
      <c r="F731">
        <v>48.512248993</v>
      </c>
      <c r="G731">
        <v>1685.1072998</v>
      </c>
      <c r="H731">
        <v>1557.3648682</v>
      </c>
      <c r="I731">
        <v>1054.4332274999999</v>
      </c>
      <c r="J731">
        <v>860.31451416000004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371.50112300000001</v>
      </c>
      <c r="B732" s="1">
        <f>DATE(2011,5,7) + TIME(12,1,37)</f>
        <v>40670.501122685186</v>
      </c>
      <c r="C732">
        <v>80</v>
      </c>
      <c r="D732">
        <v>79.952690125000004</v>
      </c>
      <c r="E732">
        <v>50</v>
      </c>
      <c r="F732">
        <v>48.484752655000001</v>
      </c>
      <c r="G732">
        <v>1689.0427245999999</v>
      </c>
      <c r="H732">
        <v>1561.3419189000001</v>
      </c>
      <c r="I732">
        <v>1050.4364014</v>
      </c>
      <c r="J732">
        <v>856.29608154000005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371.727304</v>
      </c>
      <c r="B733" s="1">
        <f>DATE(2011,5,7) + TIME(17,27,19)</f>
        <v>40670.727303240739</v>
      </c>
      <c r="C733">
        <v>80</v>
      </c>
      <c r="D733">
        <v>79.955017089999998</v>
      </c>
      <c r="E733">
        <v>50</v>
      </c>
      <c r="F733">
        <v>48.456836699999997</v>
      </c>
      <c r="G733">
        <v>1692.9100341999999</v>
      </c>
      <c r="H733">
        <v>1565.2480469</v>
      </c>
      <c r="I733">
        <v>1046.4910889</v>
      </c>
      <c r="J733">
        <v>852.32897949000005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371.95906400000001</v>
      </c>
      <c r="B734" s="1">
        <f>DATE(2011,5,7) + TIME(23,1,3)</f>
        <v>40670.959062499998</v>
      </c>
      <c r="C734">
        <v>80</v>
      </c>
      <c r="D734">
        <v>79.956619262999993</v>
      </c>
      <c r="E734">
        <v>50</v>
      </c>
      <c r="F734">
        <v>48.428432465</v>
      </c>
      <c r="G734">
        <v>1696.7185059000001</v>
      </c>
      <c r="H734">
        <v>1569.0933838000001</v>
      </c>
      <c r="I734">
        <v>1042.5875243999999</v>
      </c>
      <c r="J734">
        <v>848.40325928000004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372.19711000000001</v>
      </c>
      <c r="B735" s="1">
        <f>DATE(2011,5,8) + TIME(4,43,50)</f>
        <v>40671.197106481479</v>
      </c>
      <c r="C735">
        <v>80</v>
      </c>
      <c r="D735">
        <v>79.957626343000001</v>
      </c>
      <c r="E735">
        <v>50</v>
      </c>
      <c r="F735">
        <v>48.399478911999999</v>
      </c>
      <c r="G735">
        <v>1700.4772949000001</v>
      </c>
      <c r="H735">
        <v>1572.8870850000001</v>
      </c>
      <c r="I735">
        <v>1038.7160644999999</v>
      </c>
      <c r="J735">
        <v>844.50952147999999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372.44222000000002</v>
      </c>
      <c r="B736" s="1">
        <f>DATE(2011,5,8) + TIME(10,36,47)</f>
        <v>40671.442210648151</v>
      </c>
      <c r="C736">
        <v>80</v>
      </c>
      <c r="D736">
        <v>79.958175659000005</v>
      </c>
      <c r="E736">
        <v>50</v>
      </c>
      <c r="F736">
        <v>48.369892120000003</v>
      </c>
      <c r="G736">
        <v>1704.1945800999999</v>
      </c>
      <c r="H736">
        <v>1576.6380615</v>
      </c>
      <c r="I736">
        <v>1034.8679199000001</v>
      </c>
      <c r="J736">
        <v>840.63854979999996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372.69525399999998</v>
      </c>
      <c r="B737" s="1">
        <f>DATE(2011,5,8) + TIME(16,41,9)</f>
        <v>40671.695243055554</v>
      </c>
      <c r="C737">
        <v>80</v>
      </c>
      <c r="D737">
        <v>79.958343506000006</v>
      </c>
      <c r="E737">
        <v>50</v>
      </c>
      <c r="F737">
        <v>48.339591980000002</v>
      </c>
      <c r="G737">
        <v>1707.8787841999999</v>
      </c>
      <c r="H737">
        <v>1580.3544922000001</v>
      </c>
      <c r="I737">
        <v>1031.0339355000001</v>
      </c>
      <c r="J737">
        <v>836.78131103999999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372.95734199999998</v>
      </c>
      <c r="B738" s="1">
        <f>DATE(2011,5,8) + TIME(22,58,34)</f>
        <v>40671.957337962966</v>
      </c>
      <c r="C738">
        <v>80</v>
      </c>
      <c r="D738">
        <v>79.958213806000003</v>
      </c>
      <c r="E738">
        <v>50</v>
      </c>
      <c r="F738">
        <v>48.308471679999997</v>
      </c>
      <c r="G738">
        <v>1711.5402832</v>
      </c>
      <c r="H738">
        <v>1584.0473632999999</v>
      </c>
      <c r="I738">
        <v>1027.203125</v>
      </c>
      <c r="J738">
        <v>832.92669678000004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373.22945499999997</v>
      </c>
      <c r="B739" s="1">
        <f>DATE(2011,5,9) + TIME(5,30,24)</f>
        <v>40672.229444444441</v>
      </c>
      <c r="C739">
        <v>80</v>
      </c>
      <c r="D739">
        <v>79.957847595000004</v>
      </c>
      <c r="E739">
        <v>50</v>
      </c>
      <c r="F739">
        <v>48.276435851999999</v>
      </c>
      <c r="G739">
        <v>1715.1850586</v>
      </c>
      <c r="H739">
        <v>1587.7225341999999</v>
      </c>
      <c r="I739">
        <v>1023.368103</v>
      </c>
      <c r="J739">
        <v>829.06726074000005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373.512812</v>
      </c>
      <c r="B740" s="1">
        <f>DATE(2011,5,9) + TIME(12,18,26)</f>
        <v>40672.512800925928</v>
      </c>
      <c r="C740">
        <v>80</v>
      </c>
      <c r="D740">
        <v>79.957290649000001</v>
      </c>
      <c r="E740">
        <v>50</v>
      </c>
      <c r="F740">
        <v>48.243362427000001</v>
      </c>
      <c r="G740">
        <v>1718.8209228999999</v>
      </c>
      <c r="H740">
        <v>1591.3881836</v>
      </c>
      <c r="I740">
        <v>1019.5199585</v>
      </c>
      <c r="J740">
        <v>825.19409180000002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373.80768599999999</v>
      </c>
      <c r="B741" s="1">
        <f>DATE(2011,5,9) + TIME(19,23,4)</f>
        <v>40672.807685185187</v>
      </c>
      <c r="C741">
        <v>80</v>
      </c>
      <c r="D741">
        <v>79.956573485999996</v>
      </c>
      <c r="E741">
        <v>50</v>
      </c>
      <c r="F741">
        <v>48.209224700999997</v>
      </c>
      <c r="G741">
        <v>1722.4411620999999</v>
      </c>
      <c r="H741">
        <v>1595.0375977000001</v>
      </c>
      <c r="I741">
        <v>1015.6634521</v>
      </c>
      <c r="J741">
        <v>821.31188965000001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374.11416000000003</v>
      </c>
      <c r="B742" s="1">
        <f>DATE(2011,5,10) + TIME(2,44,23)</f>
        <v>40673.114155092589</v>
      </c>
      <c r="C742">
        <v>80</v>
      </c>
      <c r="D742">
        <v>79.955749511999997</v>
      </c>
      <c r="E742">
        <v>50</v>
      </c>
      <c r="F742">
        <v>48.173995972</v>
      </c>
      <c r="G742">
        <v>1726.0374756000001</v>
      </c>
      <c r="H742">
        <v>1598.6627197</v>
      </c>
      <c r="I742">
        <v>1011.805603</v>
      </c>
      <c r="J742">
        <v>817.42761229999996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374.43383599999999</v>
      </c>
      <c r="B743" s="1">
        <f>DATE(2011,5,10) + TIME(10,24,43)</f>
        <v>40673.433831018519</v>
      </c>
      <c r="C743">
        <v>80</v>
      </c>
      <c r="D743">
        <v>79.954826354999994</v>
      </c>
      <c r="E743">
        <v>50</v>
      </c>
      <c r="F743">
        <v>48.137546538999999</v>
      </c>
      <c r="G743">
        <v>1729.6212158000001</v>
      </c>
      <c r="H743">
        <v>1602.2746582</v>
      </c>
      <c r="I743">
        <v>1007.9354248</v>
      </c>
      <c r="J743">
        <v>813.53021239999998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374.76850400000001</v>
      </c>
      <c r="B744" s="1">
        <f>DATE(2011,5,10) + TIME(18,26,38)</f>
        <v>40673.768495370372</v>
      </c>
      <c r="C744">
        <v>80</v>
      </c>
      <c r="D744">
        <v>79.953849792</v>
      </c>
      <c r="E744">
        <v>50</v>
      </c>
      <c r="F744">
        <v>48.099723816000001</v>
      </c>
      <c r="G744">
        <v>1733.2019043</v>
      </c>
      <c r="H744">
        <v>1605.8830565999999</v>
      </c>
      <c r="I744">
        <v>1004.0421753000001</v>
      </c>
      <c r="J744">
        <v>809.60882568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375.109239</v>
      </c>
      <c r="B745" s="1">
        <f>DATE(2011,5,11) + TIME(2,37,18)</f>
        <v>40674.109236111108</v>
      </c>
      <c r="C745">
        <v>80</v>
      </c>
      <c r="D745">
        <v>79.952819824000002</v>
      </c>
      <c r="E745">
        <v>50</v>
      </c>
      <c r="F745">
        <v>48.061195374</v>
      </c>
      <c r="G745">
        <v>1736.6691894999999</v>
      </c>
      <c r="H745">
        <v>1609.3778076000001</v>
      </c>
      <c r="I745">
        <v>1000.2313842999999</v>
      </c>
      <c r="J745">
        <v>805.76965331999997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375.45115099999998</v>
      </c>
      <c r="B746" s="1">
        <f>DATE(2011,5,11) + TIME(10,49,39)</f>
        <v>40674.451145833336</v>
      </c>
      <c r="C746">
        <v>80</v>
      </c>
      <c r="D746">
        <v>79.951789856000005</v>
      </c>
      <c r="E746">
        <v>50</v>
      </c>
      <c r="F746">
        <v>48.022411345999998</v>
      </c>
      <c r="G746">
        <v>1739.9814452999999</v>
      </c>
      <c r="H746">
        <v>1612.7161865</v>
      </c>
      <c r="I746">
        <v>996.55249022999999</v>
      </c>
      <c r="J746">
        <v>802.06237793000003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375.795186</v>
      </c>
      <c r="B747" s="1">
        <f>DATE(2011,5,11) + TIME(19,5,4)</f>
        <v>40674.795185185183</v>
      </c>
      <c r="C747">
        <v>80</v>
      </c>
      <c r="D747">
        <v>79.950782775999997</v>
      </c>
      <c r="E747">
        <v>50</v>
      </c>
      <c r="F747">
        <v>47.983409881999997</v>
      </c>
      <c r="G747">
        <v>1743.1623535000001</v>
      </c>
      <c r="H747">
        <v>1615.9222411999999</v>
      </c>
      <c r="I747">
        <v>992.98974609000004</v>
      </c>
      <c r="J747">
        <v>798.47113036999997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376.14244100000002</v>
      </c>
      <c r="B748" s="1">
        <f>DATE(2011,5,12) + TIME(3,25,6)</f>
        <v>40675.142430555556</v>
      </c>
      <c r="C748">
        <v>80</v>
      </c>
      <c r="D748">
        <v>79.949798584000007</v>
      </c>
      <c r="E748">
        <v>50</v>
      </c>
      <c r="F748">
        <v>47.944168091000002</v>
      </c>
      <c r="G748">
        <v>1746.2305908000001</v>
      </c>
      <c r="H748">
        <v>1619.0142822</v>
      </c>
      <c r="I748">
        <v>989.52734375</v>
      </c>
      <c r="J748">
        <v>794.97991943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376.49368700000002</v>
      </c>
      <c r="B749" s="1">
        <f>DATE(2011,5,12) + TIME(11,50,54)</f>
        <v>40675.493680555555</v>
      </c>
      <c r="C749">
        <v>80</v>
      </c>
      <c r="D749">
        <v>79.948852539000001</v>
      </c>
      <c r="E749">
        <v>50</v>
      </c>
      <c r="F749">
        <v>47.904663085999999</v>
      </c>
      <c r="G749">
        <v>1749.1977539</v>
      </c>
      <c r="H749">
        <v>1622.0042725000001</v>
      </c>
      <c r="I749">
        <v>986.15417479999996</v>
      </c>
      <c r="J749">
        <v>791.57788086000005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376.84981599999998</v>
      </c>
      <c r="B750" s="1">
        <f>DATE(2011,5,12) + TIME(20,23,44)</f>
        <v>40675.849814814814</v>
      </c>
      <c r="C750">
        <v>80</v>
      </c>
      <c r="D750">
        <v>79.947937011999997</v>
      </c>
      <c r="E750">
        <v>50</v>
      </c>
      <c r="F750">
        <v>47.864841460999997</v>
      </c>
      <c r="G750">
        <v>1752.074707</v>
      </c>
      <c r="H750">
        <v>1624.9031981999999</v>
      </c>
      <c r="I750">
        <v>982.85943603999999</v>
      </c>
      <c r="J750">
        <v>788.25402831999997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377.21176000000003</v>
      </c>
      <c r="B751" s="1">
        <f>DATE(2011,5,13) + TIME(5,4,56)</f>
        <v>40676.211759259262</v>
      </c>
      <c r="C751">
        <v>80</v>
      </c>
      <c r="D751">
        <v>79.947044372999997</v>
      </c>
      <c r="E751">
        <v>50</v>
      </c>
      <c r="F751">
        <v>47.824634551999999</v>
      </c>
      <c r="G751">
        <v>1754.8713379000001</v>
      </c>
      <c r="H751">
        <v>1627.7209473</v>
      </c>
      <c r="I751">
        <v>979.63317871000004</v>
      </c>
      <c r="J751">
        <v>784.99841308999999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377.58048100000002</v>
      </c>
      <c r="B752" s="1">
        <f>DATE(2011,5,13) + TIME(13,55,53)</f>
        <v>40676.580474537041</v>
      </c>
      <c r="C752">
        <v>80</v>
      </c>
      <c r="D752">
        <v>79.946189880000006</v>
      </c>
      <c r="E752">
        <v>50</v>
      </c>
      <c r="F752">
        <v>47.783966063999998</v>
      </c>
      <c r="G752">
        <v>1757.5961914</v>
      </c>
      <c r="H752">
        <v>1630.4660644999999</v>
      </c>
      <c r="I752">
        <v>976.46655272999999</v>
      </c>
      <c r="J752">
        <v>781.80212401999995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377.95699999999999</v>
      </c>
      <c r="B753" s="1">
        <f>DATE(2011,5,13) + TIME(22,58,4)</f>
        <v>40676.956990740742</v>
      </c>
      <c r="C753">
        <v>80</v>
      </c>
      <c r="D753">
        <v>79.945358275999993</v>
      </c>
      <c r="E753">
        <v>50</v>
      </c>
      <c r="F753">
        <v>47.742748259999999</v>
      </c>
      <c r="G753">
        <v>1760.2567139</v>
      </c>
      <c r="H753">
        <v>1633.1462402</v>
      </c>
      <c r="I753">
        <v>973.35119628999996</v>
      </c>
      <c r="J753">
        <v>778.65679932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378.34240299999999</v>
      </c>
      <c r="B754" s="1">
        <f>DATE(2011,5,14) + TIME(8,13,3)</f>
        <v>40677.342395833337</v>
      </c>
      <c r="C754">
        <v>80</v>
      </c>
      <c r="D754">
        <v>79.944549561000002</v>
      </c>
      <c r="E754">
        <v>50</v>
      </c>
      <c r="F754">
        <v>47.700889586999999</v>
      </c>
      <c r="G754">
        <v>1762.8601074000001</v>
      </c>
      <c r="H754">
        <v>1635.7686768000001</v>
      </c>
      <c r="I754">
        <v>970.27954102000001</v>
      </c>
      <c r="J754">
        <v>775.55474853999999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378.73520300000001</v>
      </c>
      <c r="B755" s="1">
        <f>DATE(2011,5,14) + TIME(17,38,41)</f>
        <v>40677.735196759262</v>
      </c>
      <c r="C755">
        <v>80</v>
      </c>
      <c r="D755">
        <v>79.943771362000007</v>
      </c>
      <c r="E755">
        <v>50</v>
      </c>
      <c r="F755">
        <v>47.658470154</v>
      </c>
      <c r="G755">
        <v>1765.3939209</v>
      </c>
      <c r="H755">
        <v>1638.3210449000001</v>
      </c>
      <c r="I755">
        <v>967.26379395000004</v>
      </c>
      <c r="J755">
        <v>772.50817871000004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379.13546300000002</v>
      </c>
      <c r="B756" s="1">
        <f>DATE(2011,5,15) + TIME(3,15,3)</f>
        <v>40678.135451388887</v>
      </c>
      <c r="C756">
        <v>80</v>
      </c>
      <c r="D756">
        <v>79.943016052000004</v>
      </c>
      <c r="E756">
        <v>50</v>
      </c>
      <c r="F756">
        <v>47.615489959999998</v>
      </c>
      <c r="G756">
        <v>1767.8596190999999</v>
      </c>
      <c r="H756">
        <v>1640.8046875</v>
      </c>
      <c r="I756">
        <v>964.30364989999998</v>
      </c>
      <c r="J756">
        <v>769.51690673999997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379.54449399999999</v>
      </c>
      <c r="B757" s="1">
        <f>DATE(2011,5,15) + TIME(13,4,4)</f>
        <v>40678.544490740744</v>
      </c>
      <c r="C757">
        <v>80</v>
      </c>
      <c r="D757">
        <v>79.942283630000006</v>
      </c>
      <c r="E757">
        <v>50</v>
      </c>
      <c r="F757">
        <v>47.571865082000002</v>
      </c>
      <c r="G757">
        <v>1770.2663574000001</v>
      </c>
      <c r="H757">
        <v>1643.2287598</v>
      </c>
      <c r="I757">
        <v>961.39031981999995</v>
      </c>
      <c r="J757">
        <v>766.57202147999999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379.96370300000001</v>
      </c>
      <c r="B758" s="1">
        <f>DATE(2011,5,15) + TIME(23,7,43)</f>
        <v>40678.963692129626</v>
      </c>
      <c r="C758">
        <v>80</v>
      </c>
      <c r="D758">
        <v>79.941581725999995</v>
      </c>
      <c r="E758">
        <v>50</v>
      </c>
      <c r="F758">
        <v>47.527488708</v>
      </c>
      <c r="G758">
        <v>1772.6218262</v>
      </c>
      <c r="H758">
        <v>1645.6010742000001</v>
      </c>
      <c r="I758">
        <v>958.51556396000001</v>
      </c>
      <c r="J758">
        <v>763.66516113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380.39495499999998</v>
      </c>
      <c r="B759" s="1">
        <f>DATE(2011,5,16) + TIME(9,28,44)</f>
        <v>40679.394953703704</v>
      </c>
      <c r="C759">
        <v>80</v>
      </c>
      <c r="D759">
        <v>79.940902710000003</v>
      </c>
      <c r="E759">
        <v>50</v>
      </c>
      <c r="F759">
        <v>47.482219696000001</v>
      </c>
      <c r="G759">
        <v>1774.9346923999999</v>
      </c>
      <c r="H759">
        <v>1647.9304199000001</v>
      </c>
      <c r="I759">
        <v>955.66949463000003</v>
      </c>
      <c r="J759">
        <v>760.78625488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380.839674</v>
      </c>
      <c r="B760" s="1">
        <f>DATE(2011,5,16) + TIME(20,9,7)</f>
        <v>40679.83966435185</v>
      </c>
      <c r="C760">
        <v>80</v>
      </c>
      <c r="D760">
        <v>79.940238953000005</v>
      </c>
      <c r="E760">
        <v>50</v>
      </c>
      <c r="F760">
        <v>47.435924530000001</v>
      </c>
      <c r="G760">
        <v>1777.2094727000001</v>
      </c>
      <c r="H760">
        <v>1650.2211914</v>
      </c>
      <c r="I760">
        <v>952.84643555000002</v>
      </c>
      <c r="J760">
        <v>757.92962646000001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381.29982899999999</v>
      </c>
      <c r="B761" s="1">
        <f>DATE(2011,5,17) + TIME(7,11,45)</f>
        <v>40680.299826388888</v>
      </c>
      <c r="C761">
        <v>80</v>
      </c>
      <c r="D761">
        <v>79.939598083000007</v>
      </c>
      <c r="E761">
        <v>50</v>
      </c>
      <c r="F761">
        <v>47.388450622999997</v>
      </c>
      <c r="G761">
        <v>1779.4523925999999</v>
      </c>
      <c r="H761">
        <v>1652.4796143000001</v>
      </c>
      <c r="I761">
        <v>950.03869628999996</v>
      </c>
      <c r="J761">
        <v>755.08746338000003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381.77766700000001</v>
      </c>
      <c r="B762" s="1">
        <f>DATE(2011,5,17) + TIME(18,39,50)</f>
        <v>40680.777662037035</v>
      </c>
      <c r="C762">
        <v>80</v>
      </c>
      <c r="D762">
        <v>79.938980103000006</v>
      </c>
      <c r="E762">
        <v>50</v>
      </c>
      <c r="F762">
        <v>47.339603424000003</v>
      </c>
      <c r="G762">
        <v>1781.6694336</v>
      </c>
      <c r="H762">
        <v>1654.7120361</v>
      </c>
      <c r="I762">
        <v>947.23846435999997</v>
      </c>
      <c r="J762">
        <v>752.25177001999998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382.2758</v>
      </c>
      <c r="B763" s="1">
        <f>DATE(2011,5,18) + TIME(6,37,9)</f>
        <v>40681.27579861111</v>
      </c>
      <c r="C763">
        <v>80</v>
      </c>
      <c r="D763">
        <v>79.938377380000006</v>
      </c>
      <c r="E763">
        <v>50</v>
      </c>
      <c r="F763">
        <v>47.289180756</v>
      </c>
      <c r="G763">
        <v>1783.8665771000001</v>
      </c>
      <c r="H763">
        <v>1656.9244385</v>
      </c>
      <c r="I763">
        <v>944.43774413999995</v>
      </c>
      <c r="J763">
        <v>749.41436768000005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382.52614299999999</v>
      </c>
      <c r="B764" s="1">
        <f>DATE(2011,5,18) + TIME(12,37,38)</f>
        <v>40681.526134259257</v>
      </c>
      <c r="C764">
        <v>80</v>
      </c>
      <c r="D764">
        <v>79.937797545999999</v>
      </c>
      <c r="E764">
        <v>50</v>
      </c>
      <c r="F764">
        <v>47.257358551000003</v>
      </c>
      <c r="G764">
        <v>1784.8160399999999</v>
      </c>
      <c r="H764">
        <v>1657.8873291</v>
      </c>
      <c r="I764">
        <v>943.03302001999998</v>
      </c>
      <c r="J764">
        <v>747.99230956999997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382.77648499999998</v>
      </c>
      <c r="B765" s="1">
        <f>DATE(2011,5,18) + TIME(18,38,8)</f>
        <v>40681.77648148148</v>
      </c>
      <c r="C765">
        <v>80</v>
      </c>
      <c r="D765">
        <v>79.937385559000006</v>
      </c>
      <c r="E765">
        <v>50</v>
      </c>
      <c r="F765">
        <v>47.227039337000001</v>
      </c>
      <c r="G765">
        <v>1785.7836914</v>
      </c>
      <c r="H765">
        <v>1658.8631591999999</v>
      </c>
      <c r="I765">
        <v>941.67382812000005</v>
      </c>
      <c r="J765">
        <v>746.60980225000003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383.02682800000002</v>
      </c>
      <c r="B766" s="1">
        <f>DATE(2011,5,19) + TIME(0,38,37)</f>
        <v>40682.026817129627</v>
      </c>
      <c r="C766">
        <v>80</v>
      </c>
      <c r="D766">
        <v>79.937088012999993</v>
      </c>
      <c r="E766">
        <v>50</v>
      </c>
      <c r="F766">
        <v>47.197853088000002</v>
      </c>
      <c r="G766">
        <v>1786.7567139</v>
      </c>
      <c r="H766">
        <v>1659.8432617000001</v>
      </c>
      <c r="I766">
        <v>940.34387206999997</v>
      </c>
      <c r="J766">
        <v>745.25750731999995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383.27717100000001</v>
      </c>
      <c r="B767" s="1">
        <f>DATE(2011,5,19) + TIME(6,39,7)</f>
        <v>40682.27716435185</v>
      </c>
      <c r="C767">
        <v>80</v>
      </c>
      <c r="D767">
        <v>79.936836243000002</v>
      </c>
      <c r="E767">
        <v>50</v>
      </c>
      <c r="F767">
        <v>47.169540404999999</v>
      </c>
      <c r="G767">
        <v>1787.7203368999999</v>
      </c>
      <c r="H767">
        <v>1660.8135986</v>
      </c>
      <c r="I767">
        <v>939.04125977000001</v>
      </c>
      <c r="J767">
        <v>743.93341064000003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383.527513</v>
      </c>
      <c r="B768" s="1">
        <f>DATE(2011,5,19) + TIME(12,39,37)</f>
        <v>40682.527511574073</v>
      </c>
      <c r="C768">
        <v>80</v>
      </c>
      <c r="D768">
        <v>79.936614989999995</v>
      </c>
      <c r="E768">
        <v>50</v>
      </c>
      <c r="F768">
        <v>47.141906738000003</v>
      </c>
      <c r="G768">
        <v>1788.6676024999999</v>
      </c>
      <c r="H768">
        <v>1661.7674560999999</v>
      </c>
      <c r="I768">
        <v>937.76501465000001</v>
      </c>
      <c r="J768">
        <v>742.63629149999997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383.77785599999999</v>
      </c>
      <c r="B769" s="1">
        <f>DATE(2011,5,19) + TIME(18,40,6)</f>
        <v>40682.77784722222</v>
      </c>
      <c r="C769">
        <v>80</v>
      </c>
      <c r="D769">
        <v>79.936401367000002</v>
      </c>
      <c r="E769">
        <v>50</v>
      </c>
      <c r="F769">
        <v>47.114795684999997</v>
      </c>
      <c r="G769">
        <v>1789.5957031</v>
      </c>
      <c r="H769">
        <v>1662.7019043</v>
      </c>
      <c r="I769">
        <v>936.51440430000002</v>
      </c>
      <c r="J769">
        <v>741.36523437999995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384.27854100000002</v>
      </c>
      <c r="B770" s="1">
        <f>DATE(2011,5,20) + TIME(6,41,5)</f>
        <v>40683.27853009259</v>
      </c>
      <c r="C770">
        <v>80</v>
      </c>
      <c r="D770">
        <v>79.936286925999994</v>
      </c>
      <c r="E770">
        <v>50</v>
      </c>
      <c r="F770">
        <v>47.072006225999999</v>
      </c>
      <c r="G770">
        <v>1791.5269774999999</v>
      </c>
      <c r="H770">
        <v>1664.6401367000001</v>
      </c>
      <c r="I770">
        <v>934.14135741999996</v>
      </c>
      <c r="J770">
        <v>738.95568848000005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384.78016100000002</v>
      </c>
      <c r="B771" s="1">
        <f>DATE(2011,5,20) + TIME(18,43,25)</f>
        <v>40683.780150462961</v>
      </c>
      <c r="C771">
        <v>80</v>
      </c>
      <c r="D771">
        <v>79.935920714999995</v>
      </c>
      <c r="E771">
        <v>50</v>
      </c>
      <c r="F771">
        <v>47.026092529000003</v>
      </c>
      <c r="G771">
        <v>1793.2917480000001</v>
      </c>
      <c r="H771">
        <v>1666.4163818</v>
      </c>
      <c r="I771">
        <v>931.83477783000001</v>
      </c>
      <c r="J771">
        <v>736.61676024999997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385.28589599999998</v>
      </c>
      <c r="B772" s="1">
        <f>DATE(2011,5,21) + TIME(6,51,41)</f>
        <v>40684.285891203705</v>
      </c>
      <c r="C772">
        <v>80</v>
      </c>
      <c r="D772">
        <v>79.935478209999999</v>
      </c>
      <c r="E772">
        <v>50</v>
      </c>
      <c r="F772">
        <v>46.978183745999999</v>
      </c>
      <c r="G772">
        <v>1794.9532471</v>
      </c>
      <c r="H772">
        <v>1668.0892334</v>
      </c>
      <c r="I772">
        <v>929.59497069999998</v>
      </c>
      <c r="J772">
        <v>734.34240723000005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385.79727200000002</v>
      </c>
      <c r="B773" s="1">
        <f>DATE(2011,5,21) + TIME(19,8,4)</f>
        <v>40684.797268518516</v>
      </c>
      <c r="C773">
        <v>80</v>
      </c>
      <c r="D773">
        <v>79.935043335000003</v>
      </c>
      <c r="E773">
        <v>50</v>
      </c>
      <c r="F773">
        <v>46.928924561000002</v>
      </c>
      <c r="G773">
        <v>1796.5405272999999</v>
      </c>
      <c r="H773">
        <v>1669.6875</v>
      </c>
      <c r="I773">
        <v>927.41442871000004</v>
      </c>
      <c r="J773">
        <v>732.12579345999995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386.315789</v>
      </c>
      <c r="B774" s="1">
        <f>DATE(2011,5,22) + TIME(7,34,44)</f>
        <v>40685.315787037034</v>
      </c>
      <c r="C774">
        <v>80</v>
      </c>
      <c r="D774">
        <v>79.934631347999996</v>
      </c>
      <c r="E774">
        <v>50</v>
      </c>
      <c r="F774">
        <v>46.878639221</v>
      </c>
      <c r="G774">
        <v>1798.0675048999999</v>
      </c>
      <c r="H774">
        <v>1671.2248535000001</v>
      </c>
      <c r="I774">
        <v>925.28625488</v>
      </c>
      <c r="J774">
        <v>729.96032715000001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386.84299499999997</v>
      </c>
      <c r="B775" s="1">
        <f>DATE(2011,5,22) + TIME(20,13,54)</f>
        <v>40685.842986111114</v>
      </c>
      <c r="C775">
        <v>80</v>
      </c>
      <c r="D775">
        <v>79.934242248999993</v>
      </c>
      <c r="E775">
        <v>50</v>
      </c>
      <c r="F775">
        <v>46.827468871999997</v>
      </c>
      <c r="G775">
        <v>1799.5423584</v>
      </c>
      <c r="H775">
        <v>1672.7099608999999</v>
      </c>
      <c r="I775">
        <v>923.20397949000005</v>
      </c>
      <c r="J775">
        <v>727.83972168000003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387.38054299999999</v>
      </c>
      <c r="B776" s="1">
        <f>DATE(2011,5,23) + TIME(9,7,58)</f>
        <v>40686.380532407406</v>
      </c>
      <c r="C776">
        <v>80</v>
      </c>
      <c r="D776">
        <v>79.933883667000003</v>
      </c>
      <c r="E776">
        <v>50</v>
      </c>
      <c r="F776">
        <v>46.775444030999999</v>
      </c>
      <c r="G776">
        <v>1800.9713135</v>
      </c>
      <c r="H776">
        <v>1674.1486815999999</v>
      </c>
      <c r="I776">
        <v>921.16174316000001</v>
      </c>
      <c r="J776">
        <v>725.75823975000003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387.93021099999999</v>
      </c>
      <c r="B777" s="1">
        <f>DATE(2011,5,23) + TIME(22,19,30)</f>
        <v>40686.930208333331</v>
      </c>
      <c r="C777">
        <v>80</v>
      </c>
      <c r="D777">
        <v>79.933547974000007</v>
      </c>
      <c r="E777">
        <v>50</v>
      </c>
      <c r="F777">
        <v>46.722515106000003</v>
      </c>
      <c r="G777">
        <v>1802.359375</v>
      </c>
      <c r="H777">
        <v>1675.5461425999999</v>
      </c>
      <c r="I777">
        <v>919.15405272999999</v>
      </c>
      <c r="J777">
        <v>723.71026611000002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388.49411400000002</v>
      </c>
      <c r="B778" s="1">
        <f>DATE(2011,5,24) + TIME(11,51,31)</f>
        <v>40687.494108796294</v>
      </c>
      <c r="C778">
        <v>80</v>
      </c>
      <c r="D778">
        <v>79.933219910000005</v>
      </c>
      <c r="E778">
        <v>50</v>
      </c>
      <c r="F778">
        <v>46.668571471999996</v>
      </c>
      <c r="G778">
        <v>1803.7111815999999</v>
      </c>
      <c r="H778">
        <v>1676.9071045000001</v>
      </c>
      <c r="I778">
        <v>917.17510986000002</v>
      </c>
      <c r="J778">
        <v>721.68994140999996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389.07457799999997</v>
      </c>
      <c r="B779" s="1">
        <f>DATE(2011,5,25) + TIME(1,47,23)</f>
        <v>40688.074571759258</v>
      </c>
      <c r="C779">
        <v>80</v>
      </c>
      <c r="D779">
        <v>79.932914733999993</v>
      </c>
      <c r="E779">
        <v>50</v>
      </c>
      <c r="F779">
        <v>46.613456726000003</v>
      </c>
      <c r="G779">
        <v>1805.0306396000001</v>
      </c>
      <c r="H779">
        <v>1678.2354736</v>
      </c>
      <c r="I779">
        <v>915.21942138999998</v>
      </c>
      <c r="J779">
        <v>719.69158935999997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389.67380900000001</v>
      </c>
      <c r="B780" s="1">
        <f>DATE(2011,5,25) + TIME(16,10,17)</f>
        <v>40688.673807870371</v>
      </c>
      <c r="C780">
        <v>80</v>
      </c>
      <c r="D780">
        <v>79.932624817000004</v>
      </c>
      <c r="E780">
        <v>50</v>
      </c>
      <c r="F780">
        <v>46.557006835999999</v>
      </c>
      <c r="G780">
        <v>1806.3204346</v>
      </c>
      <c r="H780">
        <v>1679.5340576000001</v>
      </c>
      <c r="I780">
        <v>913.28283691000001</v>
      </c>
      <c r="J780">
        <v>717.7109375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390.29463600000003</v>
      </c>
      <c r="B781" s="1">
        <f>DATE(2011,5,26) + TIME(7,4,16)</f>
        <v>40689.294629629629</v>
      </c>
      <c r="C781">
        <v>80</v>
      </c>
      <c r="D781">
        <v>79.932350158999995</v>
      </c>
      <c r="E781">
        <v>50</v>
      </c>
      <c r="F781">
        <v>46.499015808000003</v>
      </c>
      <c r="G781">
        <v>1807.5837402</v>
      </c>
      <c r="H781">
        <v>1680.8059082</v>
      </c>
      <c r="I781">
        <v>911.36041260000002</v>
      </c>
      <c r="J781">
        <v>715.74273682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390.61372299999999</v>
      </c>
      <c r="B782" s="1">
        <f>DATE(2011,5,26) + TIME(14,43,45)</f>
        <v>40689.613715277781</v>
      </c>
      <c r="C782">
        <v>80</v>
      </c>
      <c r="D782">
        <v>79.931991577000005</v>
      </c>
      <c r="E782">
        <v>50</v>
      </c>
      <c r="F782">
        <v>46.460605620999999</v>
      </c>
      <c r="G782">
        <v>1808.1107178</v>
      </c>
      <c r="H782">
        <v>1681.3404541</v>
      </c>
      <c r="I782">
        <v>910.35876465000001</v>
      </c>
      <c r="J782">
        <v>714.71643066000001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390.93248499999999</v>
      </c>
      <c r="B783" s="1">
        <f>DATE(2011,5,26) + TIME(22,22,46)</f>
        <v>40689.932476851849</v>
      </c>
      <c r="C783">
        <v>80</v>
      </c>
      <c r="D783">
        <v>79.931755065999994</v>
      </c>
      <c r="E783">
        <v>50</v>
      </c>
      <c r="F783">
        <v>46.424606322999999</v>
      </c>
      <c r="G783">
        <v>1808.6500243999999</v>
      </c>
      <c r="H783">
        <v>1681.8843993999999</v>
      </c>
      <c r="I783">
        <v>909.40045166000004</v>
      </c>
      <c r="J783">
        <v>713.72766113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391.25124699999998</v>
      </c>
      <c r="B784" s="1">
        <f>DATE(2011,5,27) + TIME(6,1,47)</f>
        <v>40690.251238425924</v>
      </c>
      <c r="C784">
        <v>80</v>
      </c>
      <c r="D784">
        <v>79.931617736999996</v>
      </c>
      <c r="E784">
        <v>50</v>
      </c>
      <c r="F784">
        <v>46.390289307000003</v>
      </c>
      <c r="G784">
        <v>1809.1979980000001</v>
      </c>
      <c r="H784">
        <v>1682.4364014</v>
      </c>
      <c r="I784">
        <v>908.46520996000004</v>
      </c>
      <c r="J784">
        <v>712.76342772999999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391.57000900000003</v>
      </c>
      <c r="B785" s="1">
        <f>DATE(2011,5,27) + TIME(13,40,48)</f>
        <v>40690.57</v>
      </c>
      <c r="C785">
        <v>80</v>
      </c>
      <c r="D785">
        <v>79.931510924999998</v>
      </c>
      <c r="E785">
        <v>50</v>
      </c>
      <c r="F785">
        <v>46.357192992999998</v>
      </c>
      <c r="G785">
        <v>1809.7430420000001</v>
      </c>
      <c r="H785">
        <v>1682.9853516000001</v>
      </c>
      <c r="I785">
        <v>907.55102538999995</v>
      </c>
      <c r="J785">
        <v>711.82141113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391.88877100000002</v>
      </c>
      <c r="B786" s="1">
        <f>DATE(2011,5,27) + TIME(21,19,49)</f>
        <v>40690.888761574075</v>
      </c>
      <c r="C786">
        <v>80</v>
      </c>
      <c r="D786">
        <v>79.931427002000007</v>
      </c>
      <c r="E786">
        <v>50</v>
      </c>
      <c r="F786">
        <v>46.324977875000002</v>
      </c>
      <c r="G786">
        <v>1810.2792969</v>
      </c>
      <c r="H786">
        <v>1683.5253906</v>
      </c>
      <c r="I786">
        <v>906.65710449000005</v>
      </c>
      <c r="J786">
        <v>710.90039062000005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392.20753300000001</v>
      </c>
      <c r="B787" s="1">
        <f>DATE(2011,5,28) + TIME(4,58,50)</f>
        <v>40691.20752314815</v>
      </c>
      <c r="C787">
        <v>80</v>
      </c>
      <c r="D787">
        <v>79.931350707999997</v>
      </c>
      <c r="E787">
        <v>50</v>
      </c>
      <c r="F787">
        <v>46.293411255000002</v>
      </c>
      <c r="G787">
        <v>1810.8039550999999</v>
      </c>
      <c r="H787">
        <v>1684.0537108999999</v>
      </c>
      <c r="I787">
        <v>905.78271484000004</v>
      </c>
      <c r="J787">
        <v>709.99938965000001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392.526295</v>
      </c>
      <c r="B788" s="1">
        <f>DATE(2011,5,28) + TIME(12,37,51)</f>
        <v>40691.526284722226</v>
      </c>
      <c r="C788">
        <v>80</v>
      </c>
      <c r="D788">
        <v>79.931266785000005</v>
      </c>
      <c r="E788">
        <v>50</v>
      </c>
      <c r="F788">
        <v>46.262325287000003</v>
      </c>
      <c r="G788">
        <v>1811.3155518000001</v>
      </c>
      <c r="H788">
        <v>1684.5688477000001</v>
      </c>
      <c r="I788">
        <v>904.92712401999995</v>
      </c>
      <c r="J788">
        <v>709.11761475000003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392.845057</v>
      </c>
      <c r="B789" s="1">
        <f>DATE(2011,5,28) + TIME(20,16,52)</f>
        <v>40691.845046296294</v>
      </c>
      <c r="C789">
        <v>80</v>
      </c>
      <c r="D789">
        <v>79.931190490999995</v>
      </c>
      <c r="E789">
        <v>50</v>
      </c>
      <c r="F789">
        <v>46.231601714999996</v>
      </c>
      <c r="G789">
        <v>1811.8137207</v>
      </c>
      <c r="H789">
        <v>1685.0705565999999</v>
      </c>
      <c r="I789">
        <v>904.08978271000001</v>
      </c>
      <c r="J789">
        <v>708.25427246000004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393.48258099999998</v>
      </c>
      <c r="B790" s="1">
        <f>DATE(2011,5,29) + TIME(11,34,54)</f>
        <v>40692.482569444444</v>
      </c>
      <c r="C790">
        <v>80</v>
      </c>
      <c r="D790">
        <v>79.931259155000006</v>
      </c>
      <c r="E790">
        <v>50</v>
      </c>
      <c r="F790">
        <v>46.184474944999998</v>
      </c>
      <c r="G790">
        <v>1812.8925781</v>
      </c>
      <c r="H790">
        <v>1686.1533202999999</v>
      </c>
      <c r="I790">
        <v>902.53125</v>
      </c>
      <c r="J790">
        <v>706.65118408000001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394.12145800000002</v>
      </c>
      <c r="B791" s="1">
        <f>DATE(2011,5,30) + TIME(2,54,53)</f>
        <v>40693.121446759258</v>
      </c>
      <c r="C791">
        <v>80</v>
      </c>
      <c r="D791">
        <v>79.931114196999999</v>
      </c>
      <c r="E791">
        <v>50</v>
      </c>
      <c r="F791">
        <v>46.131809234999999</v>
      </c>
      <c r="G791">
        <v>1813.8500977000001</v>
      </c>
      <c r="H791">
        <v>1687.1171875</v>
      </c>
      <c r="I791">
        <v>901.00512694999998</v>
      </c>
      <c r="J791">
        <v>705.08203125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394.76625300000001</v>
      </c>
      <c r="B792" s="1">
        <f>DATE(2011,5,30) + TIME(18,23,24)</f>
        <v>40693.766250000001</v>
      </c>
      <c r="C792">
        <v>80</v>
      </c>
      <c r="D792">
        <v>79.930908203000001</v>
      </c>
      <c r="E792">
        <v>50</v>
      </c>
      <c r="F792">
        <v>46.075954437</v>
      </c>
      <c r="G792">
        <v>1814.7298584</v>
      </c>
      <c r="H792">
        <v>1688.0030518000001</v>
      </c>
      <c r="I792">
        <v>899.52252196999996</v>
      </c>
      <c r="J792">
        <v>703.55212401999995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395.41895899999997</v>
      </c>
      <c r="B793" s="1">
        <f>DATE(2011,5,31) + TIME(10,3,18)</f>
        <v>40694.418958333335</v>
      </c>
      <c r="C793">
        <v>80</v>
      </c>
      <c r="D793">
        <v>79.930702209000003</v>
      </c>
      <c r="E793">
        <v>50</v>
      </c>
      <c r="F793">
        <v>46.018108368</v>
      </c>
      <c r="G793">
        <v>1815.5548096</v>
      </c>
      <c r="H793">
        <v>1688.8338623</v>
      </c>
      <c r="I793">
        <v>898.07971191000001</v>
      </c>
      <c r="J793">
        <v>702.05902100000003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396</v>
      </c>
      <c r="B794" s="1">
        <f>DATE(2011,6,1) + TIME(0,0,0)</f>
        <v>40695</v>
      </c>
      <c r="C794">
        <v>80</v>
      </c>
      <c r="D794">
        <v>79.930480957</v>
      </c>
      <c r="E794">
        <v>50</v>
      </c>
      <c r="F794">
        <v>45.963020325000002</v>
      </c>
      <c r="G794">
        <v>1816.2155762</v>
      </c>
      <c r="H794">
        <v>1689.5001221</v>
      </c>
      <c r="I794">
        <v>896.82800293000003</v>
      </c>
      <c r="J794">
        <v>700.75939941000001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396.66264899999999</v>
      </c>
      <c r="B795" s="1">
        <f>DATE(2011,6,1) + TIME(15,54,12)</f>
        <v>40695.662638888891</v>
      </c>
      <c r="C795">
        <v>80</v>
      </c>
      <c r="D795">
        <v>79.930358886999997</v>
      </c>
      <c r="E795">
        <v>50</v>
      </c>
      <c r="F795">
        <v>45.904663085999999</v>
      </c>
      <c r="G795">
        <v>1816.9616699000001</v>
      </c>
      <c r="H795">
        <v>1690.2512207</v>
      </c>
      <c r="I795">
        <v>895.47595215000001</v>
      </c>
      <c r="J795">
        <v>699.35302734000004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397.34988299999998</v>
      </c>
      <c r="B796" s="1">
        <f>DATE(2011,6,2) + TIME(8,23,49)</f>
        <v>40696.349872685183</v>
      </c>
      <c r="C796">
        <v>80</v>
      </c>
      <c r="D796">
        <v>79.930221558</v>
      </c>
      <c r="E796">
        <v>50</v>
      </c>
      <c r="F796">
        <v>45.844219207999998</v>
      </c>
      <c r="G796">
        <v>1817.6844481999999</v>
      </c>
      <c r="H796">
        <v>1690.9792480000001</v>
      </c>
      <c r="I796">
        <v>894.12744140999996</v>
      </c>
      <c r="J796">
        <v>697.94873046999999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398.053315</v>
      </c>
      <c r="B797" s="1">
        <f>DATE(2011,6,3) + TIME(1,16,46)</f>
        <v>40697.053310185183</v>
      </c>
      <c r="C797">
        <v>80</v>
      </c>
      <c r="D797">
        <v>79.930091857999997</v>
      </c>
      <c r="E797">
        <v>50</v>
      </c>
      <c r="F797">
        <v>45.782119751000003</v>
      </c>
      <c r="G797">
        <v>1818.3695068</v>
      </c>
      <c r="H797">
        <v>1691.6694336</v>
      </c>
      <c r="I797">
        <v>892.80279541000004</v>
      </c>
      <c r="J797">
        <v>696.56585693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398.77633600000001</v>
      </c>
      <c r="B798" s="1">
        <f>DATE(2011,6,3) + TIME(18,37,55)</f>
        <v>40697.776331018518</v>
      </c>
      <c r="C798">
        <v>80</v>
      </c>
      <c r="D798">
        <v>79.929962157999995</v>
      </c>
      <c r="E798">
        <v>50</v>
      </c>
      <c r="F798">
        <v>45.718410491999997</v>
      </c>
      <c r="G798">
        <v>1819.0228271000001</v>
      </c>
      <c r="H798">
        <v>1692.3277588000001</v>
      </c>
      <c r="I798">
        <v>891.49847411999997</v>
      </c>
      <c r="J798">
        <v>695.20043944999998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399.521728</v>
      </c>
      <c r="B799" s="1">
        <f>DATE(2011,6,4) + TIME(12,31,17)</f>
        <v>40698.521724537037</v>
      </c>
      <c r="C799">
        <v>80</v>
      </c>
      <c r="D799">
        <v>79.929840088000006</v>
      </c>
      <c r="E799">
        <v>50</v>
      </c>
      <c r="F799">
        <v>45.653007506999998</v>
      </c>
      <c r="G799">
        <v>1819.6468506000001</v>
      </c>
      <c r="H799">
        <v>1692.9566649999999</v>
      </c>
      <c r="I799">
        <v>890.21142578000001</v>
      </c>
      <c r="J799">
        <v>693.84936522999999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400.29289799999998</v>
      </c>
      <c r="B800" s="1">
        <f>DATE(2011,6,5) + TIME(7,1,46)</f>
        <v>40699.292893518519</v>
      </c>
      <c r="C800">
        <v>80</v>
      </c>
      <c r="D800">
        <v>79.929733275999993</v>
      </c>
      <c r="E800">
        <v>50</v>
      </c>
      <c r="F800">
        <v>45.585727691999999</v>
      </c>
      <c r="G800">
        <v>1820.2432861</v>
      </c>
      <c r="H800">
        <v>1693.5579834</v>
      </c>
      <c r="I800">
        <v>888.93847656000003</v>
      </c>
      <c r="J800">
        <v>692.50897216999999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401.06736799999999</v>
      </c>
      <c r="B801" s="1">
        <f>DATE(2011,6,6) + TIME(1,37,0)</f>
        <v>40700.067361111112</v>
      </c>
      <c r="C801">
        <v>80</v>
      </c>
      <c r="D801">
        <v>79.929618834999999</v>
      </c>
      <c r="E801">
        <v>50</v>
      </c>
      <c r="F801">
        <v>45.517459869</v>
      </c>
      <c r="G801">
        <v>1820.7869873</v>
      </c>
      <c r="H801">
        <v>1694.1062012</v>
      </c>
      <c r="I801">
        <v>887.71130371000004</v>
      </c>
      <c r="J801">
        <v>691.21215819999998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401.84497599999997</v>
      </c>
      <c r="B802" s="1">
        <f>DATE(2011,6,6) + TIME(20,16,45)</f>
        <v>40700.844965277778</v>
      </c>
      <c r="C802">
        <v>80</v>
      </c>
      <c r="D802">
        <v>79.929519653</v>
      </c>
      <c r="E802">
        <v>50</v>
      </c>
      <c r="F802">
        <v>45.448665619000003</v>
      </c>
      <c r="G802">
        <v>1821.2836914</v>
      </c>
      <c r="H802">
        <v>1694.6072998</v>
      </c>
      <c r="I802">
        <v>886.53002930000002</v>
      </c>
      <c r="J802">
        <v>689.95892333999996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402.62769400000002</v>
      </c>
      <c r="B803" s="1">
        <f>DATE(2011,6,7) + TIME(15,3,52)</f>
        <v>40701.627685185187</v>
      </c>
      <c r="C803">
        <v>80</v>
      </c>
      <c r="D803">
        <v>79.929428100999999</v>
      </c>
      <c r="E803">
        <v>50</v>
      </c>
      <c r="F803">
        <v>45.379482269</v>
      </c>
      <c r="G803">
        <v>1821.7391356999999</v>
      </c>
      <c r="H803">
        <v>1695.0670166</v>
      </c>
      <c r="I803">
        <v>885.39038086000005</v>
      </c>
      <c r="J803">
        <v>688.74499512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403.411788</v>
      </c>
      <c r="B804" s="1">
        <f>DATE(2011,6,8) + TIME(9,52,58)</f>
        <v>40702.411782407406</v>
      </c>
      <c r="C804">
        <v>80</v>
      </c>
      <c r="D804">
        <v>79.929344177000004</v>
      </c>
      <c r="E804">
        <v>50</v>
      </c>
      <c r="F804">
        <v>45.310131073000001</v>
      </c>
      <c r="G804">
        <v>1822.1525879000001</v>
      </c>
      <c r="H804">
        <v>1695.484375</v>
      </c>
      <c r="I804">
        <v>884.29467772999999</v>
      </c>
      <c r="J804">
        <v>687.57293701000003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404.19968999999998</v>
      </c>
      <c r="B805" s="1">
        <f>DATE(2011,6,9) + TIME(4,47,33)</f>
        <v>40703.199687499997</v>
      </c>
      <c r="C805">
        <v>80</v>
      </c>
      <c r="D805">
        <v>79.929275512999993</v>
      </c>
      <c r="E805">
        <v>50</v>
      </c>
      <c r="F805">
        <v>45.240619658999996</v>
      </c>
      <c r="G805">
        <v>1822.5288086</v>
      </c>
      <c r="H805">
        <v>1695.8643798999999</v>
      </c>
      <c r="I805">
        <v>883.23828125</v>
      </c>
      <c r="J805">
        <v>686.43804932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404.99381699999998</v>
      </c>
      <c r="B806" s="1">
        <f>DATE(2011,6,9) + TIME(23,51,5)</f>
        <v>40703.993807870371</v>
      </c>
      <c r="C806">
        <v>80</v>
      </c>
      <c r="D806">
        <v>79.929214478000006</v>
      </c>
      <c r="E806">
        <v>50</v>
      </c>
      <c r="F806">
        <v>45.170829773000001</v>
      </c>
      <c r="G806">
        <v>1822.8712158000001</v>
      </c>
      <c r="H806">
        <v>1696.2103271000001</v>
      </c>
      <c r="I806">
        <v>882.21649170000001</v>
      </c>
      <c r="J806">
        <v>685.33532715000001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405.79661399999998</v>
      </c>
      <c r="B807" s="1">
        <f>DATE(2011,6,10) + TIME(19,7,7)</f>
        <v>40704.7966087963</v>
      </c>
      <c r="C807">
        <v>80</v>
      </c>
      <c r="D807">
        <v>79.929168700999995</v>
      </c>
      <c r="E807">
        <v>50</v>
      </c>
      <c r="F807">
        <v>45.100589751999998</v>
      </c>
      <c r="G807">
        <v>1823.1821289</v>
      </c>
      <c r="H807">
        <v>1696.5246582</v>
      </c>
      <c r="I807">
        <v>881.22497558999999</v>
      </c>
      <c r="J807">
        <v>684.26031493999994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406.61060400000002</v>
      </c>
      <c r="B808" s="1">
        <f>DATE(2011,6,11) + TIME(14,39,16)</f>
        <v>40705.610601851855</v>
      </c>
      <c r="C808">
        <v>80</v>
      </c>
      <c r="D808">
        <v>79.929122925000001</v>
      </c>
      <c r="E808">
        <v>50</v>
      </c>
      <c r="F808">
        <v>45.029705047999997</v>
      </c>
      <c r="G808">
        <v>1823.463501</v>
      </c>
      <c r="H808">
        <v>1696.8093262</v>
      </c>
      <c r="I808">
        <v>880.25988770000004</v>
      </c>
      <c r="J808">
        <v>683.20861816000001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407.43786999999998</v>
      </c>
      <c r="B809" s="1">
        <f>DATE(2011,6,12) + TIME(10,30,31)</f>
        <v>40706.437858796293</v>
      </c>
      <c r="C809">
        <v>80</v>
      </c>
      <c r="D809">
        <v>79.929092406999999</v>
      </c>
      <c r="E809">
        <v>50</v>
      </c>
      <c r="F809">
        <v>44.957977294999999</v>
      </c>
      <c r="G809">
        <v>1823.7165527</v>
      </c>
      <c r="H809">
        <v>1697.0654297000001</v>
      </c>
      <c r="I809">
        <v>879.31793213000003</v>
      </c>
      <c r="J809">
        <v>682.17669678000004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408.28053499999999</v>
      </c>
      <c r="B810" s="1">
        <f>DATE(2011,6,13) + TIME(6,43,58)</f>
        <v>40707.280532407407</v>
      </c>
      <c r="C810">
        <v>80</v>
      </c>
      <c r="D810">
        <v>79.92906189</v>
      </c>
      <c r="E810">
        <v>50</v>
      </c>
      <c r="F810">
        <v>44.885208130000002</v>
      </c>
      <c r="G810">
        <v>1823.9418945</v>
      </c>
      <c r="H810">
        <v>1697.2938231999999</v>
      </c>
      <c r="I810">
        <v>878.39630126999998</v>
      </c>
      <c r="J810">
        <v>681.16125488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409.14150599999999</v>
      </c>
      <c r="B811" s="1">
        <f>DATE(2011,6,14) + TIME(3,23,46)</f>
        <v>40708.141504629632</v>
      </c>
      <c r="C811">
        <v>80</v>
      </c>
      <c r="D811">
        <v>79.929039001000007</v>
      </c>
      <c r="E811">
        <v>50</v>
      </c>
      <c r="F811">
        <v>44.811172485</v>
      </c>
      <c r="G811">
        <v>1824.1405029</v>
      </c>
      <c r="H811">
        <v>1697.4953613</v>
      </c>
      <c r="I811">
        <v>877.49169921999999</v>
      </c>
      <c r="J811">
        <v>680.15856933999999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410.02399100000002</v>
      </c>
      <c r="B812" s="1">
        <f>DATE(2011,6,15) + TIME(0,34,32)</f>
        <v>40709.023981481485</v>
      </c>
      <c r="C812">
        <v>80</v>
      </c>
      <c r="D812">
        <v>79.929016113000003</v>
      </c>
      <c r="E812">
        <v>50</v>
      </c>
      <c r="F812">
        <v>44.735603333</v>
      </c>
      <c r="G812">
        <v>1824.3129882999999</v>
      </c>
      <c r="H812">
        <v>1697.6707764</v>
      </c>
      <c r="I812">
        <v>876.60095215000001</v>
      </c>
      <c r="J812">
        <v>679.16485595999995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410.92182300000002</v>
      </c>
      <c r="B813" s="1">
        <f>DATE(2011,6,15) + TIME(22,7,25)</f>
        <v>40709.921817129631</v>
      </c>
      <c r="C813">
        <v>80</v>
      </c>
      <c r="D813">
        <v>79.929000853999995</v>
      </c>
      <c r="E813">
        <v>50</v>
      </c>
      <c r="F813">
        <v>44.658603667999998</v>
      </c>
      <c r="G813">
        <v>1824.4558105000001</v>
      </c>
      <c r="H813">
        <v>1697.8162841999999</v>
      </c>
      <c r="I813">
        <v>875.72772216999999</v>
      </c>
      <c r="J813">
        <v>678.18371581999997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411.82202799999999</v>
      </c>
      <c r="B814" s="1">
        <f>DATE(2011,6,16) + TIME(19,43,43)</f>
        <v>40710.822025462963</v>
      </c>
      <c r="C814">
        <v>80</v>
      </c>
      <c r="D814">
        <v>79.928985596000004</v>
      </c>
      <c r="E814">
        <v>50</v>
      </c>
      <c r="F814">
        <v>44.580753326</v>
      </c>
      <c r="G814">
        <v>1824.5648193</v>
      </c>
      <c r="H814">
        <v>1697.9279785000001</v>
      </c>
      <c r="I814">
        <v>874.88055420000001</v>
      </c>
      <c r="J814">
        <v>677.22424316000001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412.72712300000001</v>
      </c>
      <c r="B815" s="1">
        <f>DATE(2011,6,17) + TIME(17,27,3)</f>
        <v>40711.727118055554</v>
      </c>
      <c r="C815">
        <v>80</v>
      </c>
      <c r="D815">
        <v>79.928977966000005</v>
      </c>
      <c r="E815">
        <v>50</v>
      </c>
      <c r="F815">
        <v>44.502300261999999</v>
      </c>
      <c r="G815">
        <v>1824.6446533000001</v>
      </c>
      <c r="H815">
        <v>1698.0102539</v>
      </c>
      <c r="I815">
        <v>874.05773925999995</v>
      </c>
      <c r="J815">
        <v>676.28485106999995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413.63963200000001</v>
      </c>
      <c r="B816" s="1">
        <f>DATE(2011,6,18) + TIME(15,21,4)</f>
        <v>40712.63962962963</v>
      </c>
      <c r="C816">
        <v>80</v>
      </c>
      <c r="D816">
        <v>79.928977966000005</v>
      </c>
      <c r="E816">
        <v>50</v>
      </c>
      <c r="F816">
        <v>44.423225403000004</v>
      </c>
      <c r="G816">
        <v>1824.6979980000001</v>
      </c>
      <c r="H816">
        <v>1698.065918</v>
      </c>
      <c r="I816">
        <v>873.25610352000001</v>
      </c>
      <c r="J816">
        <v>675.36212158000001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414.56211500000001</v>
      </c>
      <c r="B817" s="1">
        <f>DATE(2011,6,19) + TIME(13,29,26)</f>
        <v>40713.562106481484</v>
      </c>
      <c r="C817">
        <v>80</v>
      </c>
      <c r="D817">
        <v>79.928977966000005</v>
      </c>
      <c r="E817">
        <v>50</v>
      </c>
      <c r="F817">
        <v>44.343395233000003</v>
      </c>
      <c r="G817">
        <v>1824.7265625</v>
      </c>
      <c r="H817">
        <v>1698.0968018000001</v>
      </c>
      <c r="I817">
        <v>872.47235106999995</v>
      </c>
      <c r="J817">
        <v>674.45251465000001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415.49172399999998</v>
      </c>
      <c r="B818" s="1">
        <f>DATE(2011,6,20) + TIME(11,48,4)</f>
        <v>40714.491712962961</v>
      </c>
      <c r="C818">
        <v>80</v>
      </c>
      <c r="D818">
        <v>79.928985596000004</v>
      </c>
      <c r="E818">
        <v>50</v>
      </c>
      <c r="F818">
        <v>44.262832641999999</v>
      </c>
      <c r="G818">
        <v>1824.7302245999999</v>
      </c>
      <c r="H818">
        <v>1698.1025391000001</v>
      </c>
      <c r="I818">
        <v>871.70635986000002</v>
      </c>
      <c r="J818">
        <v>673.55572510000002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416.42777799999999</v>
      </c>
      <c r="B819" s="1">
        <f>DATE(2011,6,21) + TIME(10,15,59)</f>
        <v>40715.427766203706</v>
      </c>
      <c r="C819">
        <v>80</v>
      </c>
      <c r="D819">
        <v>79.929000853999995</v>
      </c>
      <c r="E819">
        <v>50</v>
      </c>
      <c r="F819">
        <v>44.181575774999999</v>
      </c>
      <c r="G819">
        <v>1824.7099608999999</v>
      </c>
      <c r="H819">
        <v>1698.0843506000001</v>
      </c>
      <c r="I819">
        <v>870.95727538999995</v>
      </c>
      <c r="J819">
        <v>672.67077637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417.37304699999999</v>
      </c>
      <c r="B820" s="1">
        <f>DATE(2011,6,22) + TIME(8,57,11)</f>
        <v>40716.373043981483</v>
      </c>
      <c r="C820">
        <v>80</v>
      </c>
      <c r="D820">
        <v>79.929023743000002</v>
      </c>
      <c r="E820">
        <v>50</v>
      </c>
      <c r="F820">
        <v>44.099529265999998</v>
      </c>
      <c r="G820">
        <v>1824.6673584</v>
      </c>
      <c r="H820">
        <v>1698.0437012</v>
      </c>
      <c r="I820">
        <v>870.22247314000003</v>
      </c>
      <c r="J820">
        <v>671.79473876999998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418.33038599999998</v>
      </c>
      <c r="B821" s="1">
        <f>DATE(2011,6,23) + TIME(7,55,45)</f>
        <v>40717.330381944441</v>
      </c>
      <c r="C821">
        <v>80</v>
      </c>
      <c r="D821">
        <v>79.929046631000006</v>
      </c>
      <c r="E821">
        <v>50</v>
      </c>
      <c r="F821">
        <v>44.016506194999998</v>
      </c>
      <c r="G821">
        <v>1824.6036377</v>
      </c>
      <c r="H821">
        <v>1697.9818115</v>
      </c>
      <c r="I821">
        <v>869.49890137</v>
      </c>
      <c r="J821">
        <v>670.92395020000004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419.30280199999999</v>
      </c>
      <c r="B822" s="1">
        <f>DATE(2011,6,24) + TIME(7,16,2)</f>
        <v>40718.302800925929</v>
      </c>
      <c r="C822">
        <v>80</v>
      </c>
      <c r="D822">
        <v>79.929077148000005</v>
      </c>
      <c r="E822">
        <v>50</v>
      </c>
      <c r="F822">
        <v>43.932254790999998</v>
      </c>
      <c r="G822">
        <v>1824.5191649999999</v>
      </c>
      <c r="H822">
        <v>1697.8991699000001</v>
      </c>
      <c r="I822">
        <v>868.78344727000001</v>
      </c>
      <c r="J822">
        <v>670.05480956999997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420.29351800000001</v>
      </c>
      <c r="B823" s="1">
        <f>DATE(2011,6,25) + TIME(7,2,39)</f>
        <v>40719.293506944443</v>
      </c>
      <c r="C823">
        <v>80</v>
      </c>
      <c r="D823">
        <v>79.929107665999993</v>
      </c>
      <c r="E823">
        <v>50</v>
      </c>
      <c r="F823">
        <v>43.846504211000003</v>
      </c>
      <c r="G823">
        <v>1824.4143065999999</v>
      </c>
      <c r="H823">
        <v>1697.7960204999999</v>
      </c>
      <c r="I823">
        <v>868.07312012</v>
      </c>
      <c r="J823">
        <v>669.18341064000003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421.30604299999999</v>
      </c>
      <c r="B824" s="1">
        <f>DATE(2011,6,26) + TIME(7,20,42)</f>
        <v>40720.306041666663</v>
      </c>
      <c r="C824">
        <v>80</v>
      </c>
      <c r="D824">
        <v>79.929153442</v>
      </c>
      <c r="E824">
        <v>50</v>
      </c>
      <c r="F824">
        <v>43.758941649999997</v>
      </c>
      <c r="G824">
        <v>1824.2886963000001</v>
      </c>
      <c r="H824">
        <v>1697.6721190999999</v>
      </c>
      <c r="I824">
        <v>867.36486816000001</v>
      </c>
      <c r="J824">
        <v>668.30584716999999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422.33823599999999</v>
      </c>
      <c r="B825" s="1">
        <f>DATE(2011,6,27) + TIME(8,7,3)</f>
        <v>40721.338229166664</v>
      </c>
      <c r="C825">
        <v>80</v>
      </c>
      <c r="D825">
        <v>79.929191588999998</v>
      </c>
      <c r="E825">
        <v>50</v>
      </c>
      <c r="F825">
        <v>43.669452667000002</v>
      </c>
      <c r="G825">
        <v>1824.1419678</v>
      </c>
      <c r="H825">
        <v>1697.5269774999999</v>
      </c>
      <c r="I825">
        <v>866.65765381000006</v>
      </c>
      <c r="J825">
        <v>667.42053223000005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423.37335300000001</v>
      </c>
      <c r="B826" s="1">
        <f>DATE(2011,6,28) + TIME(8,57,37)</f>
        <v>40722.373344907406</v>
      </c>
      <c r="C826">
        <v>80</v>
      </c>
      <c r="D826">
        <v>79.929229735999996</v>
      </c>
      <c r="E826">
        <v>50</v>
      </c>
      <c r="F826">
        <v>43.578613281000003</v>
      </c>
      <c r="G826">
        <v>1823.9731445</v>
      </c>
      <c r="H826">
        <v>1697.3597411999999</v>
      </c>
      <c r="I826">
        <v>865.95635986000002</v>
      </c>
      <c r="J826">
        <v>666.53326416000004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424.41417100000001</v>
      </c>
      <c r="B827" s="1">
        <f>DATE(2011,6,29) + TIME(9,56,24)</f>
        <v>40723.414166666669</v>
      </c>
      <c r="C827">
        <v>80</v>
      </c>
      <c r="D827">
        <v>79.929275512999993</v>
      </c>
      <c r="E827">
        <v>50</v>
      </c>
      <c r="F827">
        <v>43.486755371000001</v>
      </c>
      <c r="G827">
        <v>1823.7854004000001</v>
      </c>
      <c r="H827">
        <v>1697.1733397999999</v>
      </c>
      <c r="I827">
        <v>865.26214600000003</v>
      </c>
      <c r="J827">
        <v>665.64532470999995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425.46350699999999</v>
      </c>
      <c r="B828" s="1">
        <f>DATE(2011,6,30) + TIME(11,7,27)</f>
        <v>40724.463506944441</v>
      </c>
      <c r="C828">
        <v>80</v>
      </c>
      <c r="D828">
        <v>79.929321289000001</v>
      </c>
      <c r="E828">
        <v>50</v>
      </c>
      <c r="F828">
        <v>43.393867493000002</v>
      </c>
      <c r="G828">
        <v>1823.5800781</v>
      </c>
      <c r="H828">
        <v>1696.9696045000001</v>
      </c>
      <c r="I828">
        <v>864.57281493999994</v>
      </c>
      <c r="J828">
        <v>664.75439453000001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426</v>
      </c>
      <c r="B829" s="1">
        <f>DATE(2011,7,1) + TIME(0,0,0)</f>
        <v>40725</v>
      </c>
      <c r="C829">
        <v>80</v>
      </c>
      <c r="D829">
        <v>79.929229735999996</v>
      </c>
      <c r="E829">
        <v>50</v>
      </c>
      <c r="F829">
        <v>43.327472686999997</v>
      </c>
      <c r="G829">
        <v>1823.4055175999999</v>
      </c>
      <c r="H829">
        <v>1696.7960204999999</v>
      </c>
      <c r="I829">
        <v>864.07910156000003</v>
      </c>
      <c r="J829">
        <v>664.11315918000003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427.06071500000002</v>
      </c>
      <c r="B830" s="1">
        <f>DATE(2011,7,2) + TIME(1,27,25)</f>
        <v>40726.060706018521</v>
      </c>
      <c r="C830">
        <v>80</v>
      </c>
      <c r="D830">
        <v>79.929382324000002</v>
      </c>
      <c r="E830">
        <v>50</v>
      </c>
      <c r="F830">
        <v>43.243625641000001</v>
      </c>
      <c r="G830">
        <v>1823.1986084</v>
      </c>
      <c r="H830">
        <v>1696.5900879000001</v>
      </c>
      <c r="I830">
        <v>863.50231933999999</v>
      </c>
      <c r="J830">
        <v>663.34442138999998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428.14472799999999</v>
      </c>
      <c r="B831" s="1">
        <f>DATE(2011,7,3) + TIME(3,28,24)</f>
        <v>40727.14472222222</v>
      </c>
      <c r="C831">
        <v>80</v>
      </c>
      <c r="D831">
        <v>79.929481506000002</v>
      </c>
      <c r="E831">
        <v>50</v>
      </c>
      <c r="F831">
        <v>43.152053832999997</v>
      </c>
      <c r="G831">
        <v>1822.9727783000001</v>
      </c>
      <c r="H831">
        <v>1696.3654785000001</v>
      </c>
      <c r="I831">
        <v>862.83447265999996</v>
      </c>
      <c r="J831">
        <v>662.46398925999995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429.23605300000003</v>
      </c>
      <c r="B832" s="1">
        <f>DATE(2011,7,4) + TIME(5,39,54)</f>
        <v>40728.236041666663</v>
      </c>
      <c r="C832">
        <v>80</v>
      </c>
      <c r="D832">
        <v>79.929550171000002</v>
      </c>
      <c r="E832">
        <v>50</v>
      </c>
      <c r="F832">
        <v>43.056274414000001</v>
      </c>
      <c r="G832">
        <v>1822.7205810999999</v>
      </c>
      <c r="H832">
        <v>1696.1145019999999</v>
      </c>
      <c r="I832">
        <v>862.15161133000004</v>
      </c>
      <c r="J832">
        <v>661.55218506000006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430.33793500000002</v>
      </c>
      <c r="B833" s="1">
        <f>DATE(2011,7,5) + TIME(8,6,37)</f>
        <v>40729.33792824074</v>
      </c>
      <c r="C833">
        <v>80</v>
      </c>
      <c r="D833">
        <v>79.929603576999995</v>
      </c>
      <c r="E833">
        <v>50</v>
      </c>
      <c r="F833">
        <v>42.957927703999999</v>
      </c>
      <c r="G833">
        <v>1822.4482422000001</v>
      </c>
      <c r="H833">
        <v>1695.8432617000001</v>
      </c>
      <c r="I833">
        <v>861.46264647999999</v>
      </c>
      <c r="J833">
        <v>660.62158203000001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431.45382599999999</v>
      </c>
      <c r="B834" s="1">
        <f>DATE(2011,7,6) + TIME(10,53,30)</f>
        <v>40730.453819444447</v>
      </c>
      <c r="C834">
        <v>80</v>
      </c>
      <c r="D834">
        <v>79.929664611999996</v>
      </c>
      <c r="E834">
        <v>50</v>
      </c>
      <c r="F834">
        <v>42.857513427999997</v>
      </c>
      <c r="G834">
        <v>1822.1590576000001</v>
      </c>
      <c r="H834">
        <v>1695.5551757999999</v>
      </c>
      <c r="I834">
        <v>860.76763916000004</v>
      </c>
      <c r="J834">
        <v>659.67315673999997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432.58731799999998</v>
      </c>
      <c r="B835" s="1">
        <f>DATE(2011,7,7) + TIME(14,5,44)</f>
        <v>40731.587314814817</v>
      </c>
      <c r="C835">
        <v>80</v>
      </c>
      <c r="D835">
        <v>79.929733275999993</v>
      </c>
      <c r="E835">
        <v>50</v>
      </c>
      <c r="F835">
        <v>42.755058288999997</v>
      </c>
      <c r="G835">
        <v>1821.8540039</v>
      </c>
      <c r="H835">
        <v>1695.2512207</v>
      </c>
      <c r="I835">
        <v>860.06451416000004</v>
      </c>
      <c r="J835">
        <v>658.70458984000004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433.74225799999999</v>
      </c>
      <c r="B836" s="1">
        <f>DATE(2011,7,8) + TIME(17,48,51)</f>
        <v>40732.742256944446</v>
      </c>
      <c r="C836">
        <v>80</v>
      </c>
      <c r="D836">
        <v>79.929809570000003</v>
      </c>
      <c r="E836">
        <v>50</v>
      </c>
      <c r="F836">
        <v>42.650352478000002</v>
      </c>
      <c r="G836">
        <v>1821.5334473</v>
      </c>
      <c r="H836">
        <v>1694.9316406</v>
      </c>
      <c r="I836">
        <v>859.35070800999995</v>
      </c>
      <c r="J836">
        <v>657.71221923999997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434.91838200000001</v>
      </c>
      <c r="B837" s="1">
        <f>DATE(2011,7,9) + TIME(22,2,28)</f>
        <v>40733.918379629627</v>
      </c>
      <c r="C837">
        <v>80</v>
      </c>
      <c r="D837">
        <v>79.929885863999999</v>
      </c>
      <c r="E837">
        <v>50</v>
      </c>
      <c r="F837">
        <v>42.543216704999999</v>
      </c>
      <c r="G837">
        <v>1821.1971435999999</v>
      </c>
      <c r="H837">
        <v>1694.5963135</v>
      </c>
      <c r="I837">
        <v>858.62390137</v>
      </c>
      <c r="J837">
        <v>656.69287109000004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436.09800000000001</v>
      </c>
      <c r="B838" s="1">
        <f>DATE(2011,7,11) + TIME(2,21,7)</f>
        <v>40735.097997685189</v>
      </c>
      <c r="C838">
        <v>80</v>
      </c>
      <c r="D838">
        <v>79.929962157999995</v>
      </c>
      <c r="E838">
        <v>50</v>
      </c>
      <c r="F838">
        <v>42.434200287000003</v>
      </c>
      <c r="G838">
        <v>1820.8476562000001</v>
      </c>
      <c r="H838">
        <v>1694.2478027</v>
      </c>
      <c r="I838">
        <v>857.88641356999995</v>
      </c>
      <c r="J838">
        <v>655.64984131000006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437.28413999999998</v>
      </c>
      <c r="B839" s="1">
        <f>DATE(2011,7,12) + TIME(6,49,9)</f>
        <v>40736.284131944441</v>
      </c>
      <c r="C839">
        <v>80</v>
      </c>
      <c r="D839">
        <v>79.930038452000005</v>
      </c>
      <c r="E839">
        <v>50</v>
      </c>
      <c r="F839">
        <v>42.323715210000003</v>
      </c>
      <c r="G839">
        <v>1820.4864502</v>
      </c>
      <c r="H839">
        <v>1693.8874512</v>
      </c>
      <c r="I839">
        <v>857.14178466999999</v>
      </c>
      <c r="J839">
        <v>654.58752441000001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438.479916</v>
      </c>
      <c r="B840" s="1">
        <f>DATE(2011,7,13) + TIME(11,31,4)</f>
        <v>40737.479907407411</v>
      </c>
      <c r="C840">
        <v>80</v>
      </c>
      <c r="D840">
        <v>79.930122374999996</v>
      </c>
      <c r="E840">
        <v>50</v>
      </c>
      <c r="F840">
        <v>42.211742401000002</v>
      </c>
      <c r="G840">
        <v>1820.1143798999999</v>
      </c>
      <c r="H840">
        <v>1693.5162353999999</v>
      </c>
      <c r="I840">
        <v>856.38854979999996</v>
      </c>
      <c r="J840">
        <v>653.50421143000005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439.68848700000001</v>
      </c>
      <c r="B841" s="1">
        <f>DATE(2011,7,14) + TIME(16,31,25)</f>
        <v>40738.688483796293</v>
      </c>
      <c r="C841">
        <v>80</v>
      </c>
      <c r="D841">
        <v>79.930206299000005</v>
      </c>
      <c r="E841">
        <v>50</v>
      </c>
      <c r="F841">
        <v>42.098079681000002</v>
      </c>
      <c r="G841">
        <v>1819.7316894999999</v>
      </c>
      <c r="H841">
        <v>1693.1343993999999</v>
      </c>
      <c r="I841">
        <v>855.62432861000002</v>
      </c>
      <c r="J841">
        <v>652.39660645000004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440.91312900000003</v>
      </c>
      <c r="B842" s="1">
        <f>DATE(2011,7,15) + TIME(21,54,54)</f>
        <v>40739.913124999999</v>
      </c>
      <c r="C842">
        <v>80</v>
      </c>
      <c r="D842">
        <v>79.930290221999996</v>
      </c>
      <c r="E842">
        <v>50</v>
      </c>
      <c r="F842">
        <v>41.982440947999997</v>
      </c>
      <c r="G842">
        <v>1819.3380127</v>
      </c>
      <c r="H842">
        <v>1692.7414550999999</v>
      </c>
      <c r="I842">
        <v>854.84649658000001</v>
      </c>
      <c r="J842">
        <v>651.26098633000004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442.15357799999998</v>
      </c>
      <c r="B843" s="1">
        <f>DATE(2011,7,17) + TIME(3,41,9)</f>
        <v>40741.15357638889</v>
      </c>
      <c r="C843">
        <v>80</v>
      </c>
      <c r="D843">
        <v>79.930381775000001</v>
      </c>
      <c r="E843">
        <v>50</v>
      </c>
      <c r="F843">
        <v>41.864631653000004</v>
      </c>
      <c r="G843">
        <v>1818.9333495999999</v>
      </c>
      <c r="H843">
        <v>1692.3376464999999</v>
      </c>
      <c r="I843">
        <v>854.05279541000004</v>
      </c>
      <c r="J843">
        <v>650.09399413999995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443.41238900000002</v>
      </c>
      <c r="B844" s="1">
        <f>DATE(2011,7,18) + TIME(9,53,50)</f>
        <v>40742.41238425926</v>
      </c>
      <c r="C844">
        <v>80</v>
      </c>
      <c r="D844">
        <v>79.930473328000005</v>
      </c>
      <c r="E844">
        <v>50</v>
      </c>
      <c r="F844">
        <v>41.744468689000001</v>
      </c>
      <c r="G844">
        <v>1818.5177002</v>
      </c>
      <c r="H844">
        <v>1691.9227295000001</v>
      </c>
      <c r="I844">
        <v>853.24157715000001</v>
      </c>
      <c r="J844">
        <v>648.89300536999997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444.68318599999998</v>
      </c>
      <c r="B845" s="1">
        <f>DATE(2011,7,19) + TIME(16,23,47)</f>
        <v>40743.683182870373</v>
      </c>
      <c r="C845">
        <v>80</v>
      </c>
      <c r="D845">
        <v>79.930572510000005</v>
      </c>
      <c r="E845">
        <v>50</v>
      </c>
      <c r="F845">
        <v>41.622093200999998</v>
      </c>
      <c r="G845">
        <v>1818.0921631000001</v>
      </c>
      <c r="H845">
        <v>1691.4978027</v>
      </c>
      <c r="I845">
        <v>852.41192626999998</v>
      </c>
      <c r="J845">
        <v>647.65686034999999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445.96995399999997</v>
      </c>
      <c r="B846" s="1">
        <f>DATE(2011,7,20) + TIME(23,16,44)</f>
        <v>40744.969953703701</v>
      </c>
      <c r="C846">
        <v>80</v>
      </c>
      <c r="D846">
        <v>79.930664062000005</v>
      </c>
      <c r="E846">
        <v>50</v>
      </c>
      <c r="F846">
        <v>41.497493744000003</v>
      </c>
      <c r="G846">
        <v>1817.6566161999999</v>
      </c>
      <c r="H846">
        <v>1691.0629882999999</v>
      </c>
      <c r="I846">
        <v>851.56445312000005</v>
      </c>
      <c r="J846">
        <v>646.38586425999995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447.27635700000002</v>
      </c>
      <c r="B847" s="1">
        <f>DATE(2011,7,22) + TIME(6,37,57)</f>
        <v>40746.276354166665</v>
      </c>
      <c r="C847">
        <v>80</v>
      </c>
      <c r="D847">
        <v>79.930763244999994</v>
      </c>
      <c r="E847">
        <v>50</v>
      </c>
      <c r="F847">
        <v>41.370410919000001</v>
      </c>
      <c r="G847">
        <v>1817.2109375</v>
      </c>
      <c r="H847">
        <v>1690.6179199000001</v>
      </c>
      <c r="I847">
        <v>850.69659423999997</v>
      </c>
      <c r="J847">
        <v>645.07611083999996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448.60088400000001</v>
      </c>
      <c r="B848" s="1">
        <f>DATE(2011,7,23) + TIME(14,25,16)</f>
        <v>40747.60087962963</v>
      </c>
      <c r="C848">
        <v>80</v>
      </c>
      <c r="D848">
        <v>79.930862426999994</v>
      </c>
      <c r="E848">
        <v>50</v>
      </c>
      <c r="F848">
        <v>41.240688323999997</v>
      </c>
      <c r="G848">
        <v>1816.755249</v>
      </c>
      <c r="H848">
        <v>1690.1628418</v>
      </c>
      <c r="I848">
        <v>849.80603026999995</v>
      </c>
      <c r="J848">
        <v>643.72430420000001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449.932344</v>
      </c>
      <c r="B849" s="1">
        <f>DATE(2011,7,24) + TIME(22,22,34)</f>
        <v>40748.932337962964</v>
      </c>
      <c r="C849">
        <v>80</v>
      </c>
      <c r="D849">
        <v>79.930961608999993</v>
      </c>
      <c r="E849">
        <v>50</v>
      </c>
      <c r="F849">
        <v>41.108707428000002</v>
      </c>
      <c r="G849">
        <v>1816.2921143000001</v>
      </c>
      <c r="H849">
        <v>1689.7003173999999</v>
      </c>
      <c r="I849">
        <v>848.89379883000004</v>
      </c>
      <c r="J849">
        <v>642.33233643000005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451.27097099999997</v>
      </c>
      <c r="B850" s="1">
        <f>DATE(2011,7,26) + TIME(6,30,11)</f>
        <v>40750.270960648151</v>
      </c>
      <c r="C850">
        <v>80</v>
      </c>
      <c r="D850">
        <v>79.931068420000003</v>
      </c>
      <c r="E850">
        <v>50</v>
      </c>
      <c r="F850">
        <v>40.974868774000001</v>
      </c>
      <c r="G850">
        <v>1815.8226318</v>
      </c>
      <c r="H850">
        <v>1689.2314452999999</v>
      </c>
      <c r="I850">
        <v>847.96398925999995</v>
      </c>
      <c r="J850">
        <v>640.90527343999997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452.61992800000002</v>
      </c>
      <c r="B851" s="1">
        <f>DATE(2011,7,27) + TIME(14,52,41)</f>
        <v>40751.61991898148</v>
      </c>
      <c r="C851">
        <v>80</v>
      </c>
      <c r="D851">
        <v>79.931167603000006</v>
      </c>
      <c r="E851">
        <v>50</v>
      </c>
      <c r="F851">
        <v>40.839206695999998</v>
      </c>
      <c r="G851">
        <v>1815.3469238</v>
      </c>
      <c r="H851">
        <v>1688.7562256000001</v>
      </c>
      <c r="I851">
        <v>847.01629638999998</v>
      </c>
      <c r="J851">
        <v>639.44281006000006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453.97884599999998</v>
      </c>
      <c r="B852" s="1">
        <f>DATE(2011,7,28) + TIME(23,29,32)</f>
        <v>40752.978842592594</v>
      </c>
      <c r="C852">
        <v>80</v>
      </c>
      <c r="D852">
        <v>79.931274414000001</v>
      </c>
      <c r="E852">
        <v>50</v>
      </c>
      <c r="F852">
        <v>40.701644897000001</v>
      </c>
      <c r="G852">
        <v>1814.8654785000001</v>
      </c>
      <c r="H852">
        <v>1688.2752685999999</v>
      </c>
      <c r="I852">
        <v>846.04913329999999</v>
      </c>
      <c r="J852">
        <v>637.94274901999995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455.35110800000001</v>
      </c>
      <c r="B853" s="1">
        <f>DATE(2011,7,30) + TIME(8,25,35)</f>
        <v>40754.351099537038</v>
      </c>
      <c r="C853">
        <v>80</v>
      </c>
      <c r="D853">
        <v>79.931381225999999</v>
      </c>
      <c r="E853">
        <v>50</v>
      </c>
      <c r="F853">
        <v>40.562019348</v>
      </c>
      <c r="G853">
        <v>1814.3779297000001</v>
      </c>
      <c r="H853">
        <v>1687.7883300999999</v>
      </c>
      <c r="I853">
        <v>845.06170654000005</v>
      </c>
      <c r="J853">
        <v>636.40344238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456.74023099999999</v>
      </c>
      <c r="B854" s="1">
        <f>DATE(2011,7,31) + TIME(17,45,55)</f>
        <v>40755.740219907406</v>
      </c>
      <c r="C854">
        <v>80</v>
      </c>
      <c r="D854">
        <v>79.931488036999994</v>
      </c>
      <c r="E854">
        <v>50</v>
      </c>
      <c r="F854">
        <v>40.420017242</v>
      </c>
      <c r="G854">
        <v>1813.8836670000001</v>
      </c>
      <c r="H854">
        <v>1687.2945557</v>
      </c>
      <c r="I854">
        <v>844.05145263999998</v>
      </c>
      <c r="J854">
        <v>634.82092284999999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457</v>
      </c>
      <c r="B855" s="1">
        <f>DATE(2011,8,1) + TIME(0,0,0)</f>
        <v>40756</v>
      </c>
      <c r="C855">
        <v>80</v>
      </c>
      <c r="D855">
        <v>79.931442261000001</v>
      </c>
      <c r="E855">
        <v>50</v>
      </c>
      <c r="F855">
        <v>40.363510132000002</v>
      </c>
      <c r="G855">
        <v>1813.7633057</v>
      </c>
      <c r="H855">
        <v>1687.1743164</v>
      </c>
      <c r="I855">
        <v>843.42010498000002</v>
      </c>
      <c r="J855">
        <v>633.93853760000002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458.40967699999999</v>
      </c>
      <c r="B856" s="1">
        <f>DATE(2011,8,2) + TIME(9,49,56)</f>
        <v>40757.409675925926</v>
      </c>
      <c r="C856">
        <v>80</v>
      </c>
      <c r="D856">
        <v>79.931594849000007</v>
      </c>
      <c r="E856">
        <v>50</v>
      </c>
      <c r="F856">
        <v>40.237483978</v>
      </c>
      <c r="G856">
        <v>1813.2598877</v>
      </c>
      <c r="H856">
        <v>1686.6712646000001</v>
      </c>
      <c r="I856">
        <v>842.76239013999998</v>
      </c>
      <c r="J856">
        <v>632.77990723000005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459.84903100000002</v>
      </c>
      <c r="B857" s="1">
        <f>DATE(2011,8,3) + TIME(20,22,36)</f>
        <v>40758.849027777775</v>
      </c>
      <c r="C857">
        <v>80</v>
      </c>
      <c r="D857">
        <v>79.931739807</v>
      </c>
      <c r="E857">
        <v>50</v>
      </c>
      <c r="F857">
        <v>40.096023559999999</v>
      </c>
      <c r="G857">
        <v>1812.7604980000001</v>
      </c>
      <c r="H857">
        <v>1686.1722411999999</v>
      </c>
      <c r="I857">
        <v>841.73565673999997</v>
      </c>
      <c r="J857">
        <v>631.15917968999997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461.30604099999999</v>
      </c>
      <c r="B858" s="1">
        <f>DATE(2011,8,5) + TIME(7,20,41)</f>
        <v>40760.306030092594</v>
      </c>
      <c r="C858">
        <v>80</v>
      </c>
      <c r="D858">
        <v>79.931854247999993</v>
      </c>
      <c r="E858">
        <v>50</v>
      </c>
      <c r="F858">
        <v>39.946720122999999</v>
      </c>
      <c r="G858">
        <v>1812.2482910000001</v>
      </c>
      <c r="H858">
        <v>1685.6605225000001</v>
      </c>
      <c r="I858">
        <v>840.64453125</v>
      </c>
      <c r="J858">
        <v>629.42907715000001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462.77679999999998</v>
      </c>
      <c r="B859" s="1">
        <f>DATE(2011,8,6) + TIME(18,38,35)</f>
        <v>40761.77679398148</v>
      </c>
      <c r="C859">
        <v>80</v>
      </c>
      <c r="D859">
        <v>79.931968689000001</v>
      </c>
      <c r="E859">
        <v>50</v>
      </c>
      <c r="F859">
        <v>39.792911529999998</v>
      </c>
      <c r="G859">
        <v>1811.7264404</v>
      </c>
      <c r="H859">
        <v>1685.1390381000001</v>
      </c>
      <c r="I859">
        <v>839.51806640999996</v>
      </c>
      <c r="J859">
        <v>627.63256836000005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464.26506599999999</v>
      </c>
      <c r="B860" s="1">
        <f>DATE(2011,8,8) + TIME(6,21,41)</f>
        <v>40763.265057870369</v>
      </c>
      <c r="C860">
        <v>80</v>
      </c>
      <c r="D860">
        <v>79.932083129999995</v>
      </c>
      <c r="E860">
        <v>50</v>
      </c>
      <c r="F860">
        <v>39.635715484999999</v>
      </c>
      <c r="G860">
        <v>1811.1965332</v>
      </c>
      <c r="H860">
        <v>1684.6096190999999</v>
      </c>
      <c r="I860">
        <v>838.36315918000003</v>
      </c>
      <c r="J860">
        <v>625.78094481999995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465.75942700000002</v>
      </c>
      <c r="B861" s="1">
        <f>DATE(2011,8,9) + TIME(18,13,34)</f>
        <v>40764.759421296294</v>
      </c>
      <c r="C861">
        <v>80</v>
      </c>
      <c r="D861">
        <v>79.932197571000003</v>
      </c>
      <c r="E861">
        <v>50</v>
      </c>
      <c r="F861">
        <v>39.475799561000002</v>
      </c>
      <c r="G861">
        <v>1810.6624756000001</v>
      </c>
      <c r="H861">
        <v>1684.0759277</v>
      </c>
      <c r="I861">
        <v>837.18090819999998</v>
      </c>
      <c r="J861">
        <v>623.87799071999996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467.26006999999998</v>
      </c>
      <c r="B862" s="1">
        <f>DATE(2011,8,11) + TIME(6,14,30)</f>
        <v>40766.260069444441</v>
      </c>
      <c r="C862">
        <v>80</v>
      </c>
      <c r="D862">
        <v>79.932312011999997</v>
      </c>
      <c r="E862">
        <v>50</v>
      </c>
      <c r="F862">
        <v>39.313755035</v>
      </c>
      <c r="G862">
        <v>1810.1253661999999</v>
      </c>
      <c r="H862">
        <v>1683.5391846</v>
      </c>
      <c r="I862">
        <v>835.97802734000004</v>
      </c>
      <c r="J862">
        <v>621.93310546999999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468.76953800000001</v>
      </c>
      <c r="B863" s="1">
        <f>DATE(2011,8,12) + TIME(18,28,8)</f>
        <v>40767.769537037035</v>
      </c>
      <c r="C863">
        <v>80</v>
      </c>
      <c r="D863">
        <v>79.932426453000005</v>
      </c>
      <c r="E863">
        <v>50</v>
      </c>
      <c r="F863">
        <v>39.149707794000001</v>
      </c>
      <c r="G863">
        <v>1809.5853271000001</v>
      </c>
      <c r="H863">
        <v>1682.9995117000001</v>
      </c>
      <c r="I863">
        <v>834.75555420000001</v>
      </c>
      <c r="J863">
        <v>619.94769286999997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470.29145399999999</v>
      </c>
      <c r="B864" s="1">
        <f>DATE(2011,8,14) + TIME(6,59,41)</f>
        <v>40769.291446759256</v>
      </c>
      <c r="C864">
        <v>80</v>
      </c>
      <c r="D864">
        <v>79.932540893999999</v>
      </c>
      <c r="E864">
        <v>50</v>
      </c>
      <c r="F864">
        <v>38.983482361</v>
      </c>
      <c r="G864">
        <v>1809.0419922000001</v>
      </c>
      <c r="H864">
        <v>1682.456543</v>
      </c>
      <c r="I864">
        <v>833.51226807</v>
      </c>
      <c r="J864">
        <v>617.91973876999998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471.82954899999999</v>
      </c>
      <c r="B865" s="1">
        <f>DATE(2011,8,15) + TIME(19,54,33)</f>
        <v>40770.829548611109</v>
      </c>
      <c r="C865">
        <v>80</v>
      </c>
      <c r="D865">
        <v>79.932662964000002</v>
      </c>
      <c r="E865">
        <v>50</v>
      </c>
      <c r="F865">
        <v>38.814773559999999</v>
      </c>
      <c r="G865">
        <v>1808.4945068</v>
      </c>
      <c r="H865">
        <v>1681.9093018000001</v>
      </c>
      <c r="I865">
        <v>832.24597168000003</v>
      </c>
      <c r="J865">
        <v>615.84539795000001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473.38775399999997</v>
      </c>
      <c r="B866" s="1">
        <f>DATE(2011,8,17) + TIME(9,18,21)</f>
        <v>40772.387743055559</v>
      </c>
      <c r="C866">
        <v>80</v>
      </c>
      <c r="D866">
        <v>79.932785034000005</v>
      </c>
      <c r="E866">
        <v>50</v>
      </c>
      <c r="F866">
        <v>38.64320755</v>
      </c>
      <c r="G866">
        <v>1807.9418945</v>
      </c>
      <c r="H866">
        <v>1681.3569336</v>
      </c>
      <c r="I866">
        <v>830.95404053000004</v>
      </c>
      <c r="J866">
        <v>613.72015381000006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474.97020700000002</v>
      </c>
      <c r="B867" s="1">
        <f>DATE(2011,8,18) + TIME(23,17,5)</f>
        <v>40773.970196759263</v>
      </c>
      <c r="C867">
        <v>80</v>
      </c>
      <c r="D867">
        <v>79.932907103999995</v>
      </c>
      <c r="E867">
        <v>50</v>
      </c>
      <c r="F867">
        <v>38.468376159999998</v>
      </c>
      <c r="G867">
        <v>1807.3829346</v>
      </c>
      <c r="H867">
        <v>1680.7983397999999</v>
      </c>
      <c r="I867">
        <v>829.63366699000005</v>
      </c>
      <c r="J867">
        <v>611.53887939000003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476.58135600000003</v>
      </c>
      <c r="B868" s="1">
        <f>DATE(2011,8,20) + TIME(13,57,9)</f>
        <v>40775.581354166665</v>
      </c>
      <c r="C868">
        <v>80</v>
      </c>
      <c r="D868">
        <v>79.933029175000001</v>
      </c>
      <c r="E868">
        <v>50</v>
      </c>
      <c r="F868">
        <v>38.289848327999998</v>
      </c>
      <c r="G868">
        <v>1806.8164062000001</v>
      </c>
      <c r="H868">
        <v>1680.2320557</v>
      </c>
      <c r="I868">
        <v>828.28186034999999</v>
      </c>
      <c r="J868">
        <v>609.29602050999995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478.21434900000003</v>
      </c>
      <c r="B869" s="1">
        <f>DATE(2011,8,22) + TIME(5,8,39)</f>
        <v>40777.21434027778</v>
      </c>
      <c r="C869">
        <v>80</v>
      </c>
      <c r="D869">
        <v>79.933158875000004</v>
      </c>
      <c r="E869">
        <v>50</v>
      </c>
      <c r="F869">
        <v>38.107570647999999</v>
      </c>
      <c r="G869">
        <v>1806.2436522999999</v>
      </c>
      <c r="H869">
        <v>1679.659668</v>
      </c>
      <c r="I869">
        <v>826.89660645000004</v>
      </c>
      <c r="J869">
        <v>606.98883057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479.861175</v>
      </c>
      <c r="B870" s="1">
        <f>DATE(2011,8,23) + TIME(20,40,5)</f>
        <v>40778.861168981479</v>
      </c>
      <c r="C870">
        <v>80</v>
      </c>
      <c r="D870">
        <v>79.933280945000007</v>
      </c>
      <c r="E870">
        <v>50</v>
      </c>
      <c r="F870">
        <v>37.922130584999998</v>
      </c>
      <c r="G870">
        <v>1805.6668701000001</v>
      </c>
      <c r="H870">
        <v>1679.0831298999999</v>
      </c>
      <c r="I870">
        <v>825.48333739999998</v>
      </c>
      <c r="J870">
        <v>604.62530518000005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481.51438100000001</v>
      </c>
      <c r="B871" s="1">
        <f>DATE(2011,8,25) + TIME(12,20,42)</f>
        <v>40780.514374999999</v>
      </c>
      <c r="C871">
        <v>80</v>
      </c>
      <c r="D871">
        <v>79.933403014999996</v>
      </c>
      <c r="E871">
        <v>50</v>
      </c>
      <c r="F871">
        <v>37.734390259000001</v>
      </c>
      <c r="G871">
        <v>1805.0882568</v>
      </c>
      <c r="H871">
        <v>1678.5047606999999</v>
      </c>
      <c r="I871">
        <v>824.04949951000003</v>
      </c>
      <c r="J871">
        <v>602.21691895000004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483.17335300000002</v>
      </c>
      <c r="B872" s="1">
        <f>DATE(2011,8,27) + TIME(4,9,37)</f>
        <v>40782.173344907409</v>
      </c>
      <c r="C872">
        <v>80</v>
      </c>
      <c r="D872">
        <v>79.933525084999999</v>
      </c>
      <c r="E872">
        <v>50</v>
      </c>
      <c r="F872">
        <v>37.545051575000002</v>
      </c>
      <c r="G872">
        <v>1804.5086670000001</v>
      </c>
      <c r="H872">
        <v>1677.9255370999999</v>
      </c>
      <c r="I872">
        <v>822.60205078000001</v>
      </c>
      <c r="J872">
        <v>599.77441406000003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484.84271699999999</v>
      </c>
      <c r="B873" s="1">
        <f>DATE(2011,8,28) + TIME(20,13,30)</f>
        <v>40783.84270833333</v>
      </c>
      <c r="C873">
        <v>80</v>
      </c>
      <c r="D873">
        <v>79.933654785000002</v>
      </c>
      <c r="E873">
        <v>50</v>
      </c>
      <c r="F873">
        <v>37.354297637999998</v>
      </c>
      <c r="G873">
        <v>1803.9274902</v>
      </c>
      <c r="H873">
        <v>1677.3446045000001</v>
      </c>
      <c r="I873">
        <v>821.14337158000001</v>
      </c>
      <c r="J873">
        <v>597.30096435999997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486.52502099999998</v>
      </c>
      <c r="B874" s="1">
        <f>DATE(2011,8,30) + TIME(12,36,1)</f>
        <v>40785.525011574071</v>
      </c>
      <c r="C874">
        <v>80</v>
      </c>
      <c r="D874">
        <v>79.933776855000005</v>
      </c>
      <c r="E874">
        <v>50</v>
      </c>
      <c r="F874">
        <v>37.162021637000002</v>
      </c>
      <c r="G874">
        <v>1803.3442382999999</v>
      </c>
      <c r="H874">
        <v>1676.7615966999999</v>
      </c>
      <c r="I874">
        <v>819.67205810999997</v>
      </c>
      <c r="J874">
        <v>594.79467772999999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488</v>
      </c>
      <c r="B875" s="1">
        <f>DATE(2011,9,1) + TIME(0,0,0)</f>
        <v>40787</v>
      </c>
      <c r="C875">
        <v>80</v>
      </c>
      <c r="D875">
        <v>79.933868407999995</v>
      </c>
      <c r="E875">
        <v>50</v>
      </c>
      <c r="F875">
        <v>36.976806641000003</v>
      </c>
      <c r="G875">
        <v>1802.8145752</v>
      </c>
      <c r="H875">
        <v>1676.2319336</v>
      </c>
      <c r="I875">
        <v>818.21264647999999</v>
      </c>
      <c r="J875">
        <v>592.32312012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489.69769700000001</v>
      </c>
      <c r="B876" s="1">
        <f>DATE(2011,9,2) + TIME(16,44,41)</f>
        <v>40788.697696759256</v>
      </c>
      <c r="C876">
        <v>80</v>
      </c>
      <c r="D876">
        <v>79.934013367000006</v>
      </c>
      <c r="E876">
        <v>50</v>
      </c>
      <c r="F876">
        <v>36.793445587000001</v>
      </c>
      <c r="G876">
        <v>1802.2353516000001</v>
      </c>
      <c r="H876">
        <v>1675.6530762</v>
      </c>
      <c r="I876">
        <v>816.86566161999997</v>
      </c>
      <c r="J876">
        <v>589.97058104999996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491.43575900000002</v>
      </c>
      <c r="B877" s="1">
        <f>DATE(2011,9,4) + TIME(10,27,29)</f>
        <v>40790.435752314814</v>
      </c>
      <c r="C877">
        <v>80</v>
      </c>
      <c r="D877">
        <v>79.934150696000003</v>
      </c>
      <c r="E877">
        <v>50</v>
      </c>
      <c r="F877">
        <v>36.600681305000002</v>
      </c>
      <c r="G877">
        <v>1801.6475829999999</v>
      </c>
      <c r="H877">
        <v>1675.0654297000001</v>
      </c>
      <c r="I877">
        <v>815.38452147999999</v>
      </c>
      <c r="J877">
        <v>587.41625977000001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493.20048400000002</v>
      </c>
      <c r="B878" s="1">
        <f>DATE(2011,9,6) + TIME(4,48,41)</f>
        <v>40792.200474537036</v>
      </c>
      <c r="C878">
        <v>80</v>
      </c>
      <c r="D878">
        <v>79.934280396000005</v>
      </c>
      <c r="E878">
        <v>50</v>
      </c>
      <c r="F878">
        <v>36.402675629000001</v>
      </c>
      <c r="G878">
        <v>1801.0511475000001</v>
      </c>
      <c r="H878">
        <v>1674.4692382999999</v>
      </c>
      <c r="I878">
        <v>813.86334228999999</v>
      </c>
      <c r="J878">
        <v>584.77960204999999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494.97562499999998</v>
      </c>
      <c r="B879" s="1">
        <f>DATE(2011,9,7) + TIME(23,24,54)</f>
        <v>40793.975624999999</v>
      </c>
      <c r="C879">
        <v>80</v>
      </c>
      <c r="D879">
        <v>79.934410095000004</v>
      </c>
      <c r="E879">
        <v>50</v>
      </c>
      <c r="F879">
        <v>36.202194214000002</v>
      </c>
      <c r="G879">
        <v>1800.4506836</v>
      </c>
      <c r="H879">
        <v>1673.8690185999999</v>
      </c>
      <c r="I879">
        <v>812.32336425999995</v>
      </c>
      <c r="J879">
        <v>582.09674071999996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496.75677200000001</v>
      </c>
      <c r="B880" s="1">
        <f>DATE(2011,9,9) + TIME(18,9,45)</f>
        <v>40795.75677083333</v>
      </c>
      <c r="C880">
        <v>80</v>
      </c>
      <c r="D880">
        <v>79.934532165999997</v>
      </c>
      <c r="E880">
        <v>50</v>
      </c>
      <c r="F880">
        <v>36.001251220999997</v>
      </c>
      <c r="G880">
        <v>1799.8486327999999</v>
      </c>
      <c r="H880">
        <v>1673.2670897999999</v>
      </c>
      <c r="I880">
        <v>810.78167725000003</v>
      </c>
      <c r="J880">
        <v>579.39581298999997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498.54793799999999</v>
      </c>
      <c r="B881" s="1">
        <f>DATE(2011,9,11) + TIME(13,9,1)</f>
        <v>40797.54792824074</v>
      </c>
      <c r="C881">
        <v>80</v>
      </c>
      <c r="D881">
        <v>79.934661864999995</v>
      </c>
      <c r="E881">
        <v>50</v>
      </c>
      <c r="F881">
        <v>35.800807953000003</v>
      </c>
      <c r="G881">
        <v>1799.244751</v>
      </c>
      <c r="H881">
        <v>1672.6634521000001</v>
      </c>
      <c r="I881">
        <v>809.24609375</v>
      </c>
      <c r="J881">
        <v>576.68994140999996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500.35143799999997</v>
      </c>
      <c r="B882" s="1">
        <f>DATE(2011,9,13) + TIME(8,26,4)</f>
        <v>40799.351435185185</v>
      </c>
      <c r="C882">
        <v>80</v>
      </c>
      <c r="D882">
        <v>79.934791564999998</v>
      </c>
      <c r="E882">
        <v>50</v>
      </c>
      <c r="F882">
        <v>35.601226807000003</v>
      </c>
      <c r="G882">
        <v>1798.6387939000001</v>
      </c>
      <c r="H882">
        <v>1672.0577393000001</v>
      </c>
      <c r="I882">
        <v>807.71777343999997</v>
      </c>
      <c r="J882">
        <v>573.98187256000006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502.16627</v>
      </c>
      <c r="B883" s="1">
        <f>DATE(2011,9,15) + TIME(3,59,25)</f>
        <v>40801.166261574072</v>
      </c>
      <c r="C883">
        <v>80</v>
      </c>
      <c r="D883">
        <v>79.934921265</v>
      </c>
      <c r="E883">
        <v>50</v>
      </c>
      <c r="F883">
        <v>35.402900696000003</v>
      </c>
      <c r="G883">
        <v>1798.03125</v>
      </c>
      <c r="H883">
        <v>1671.4503173999999</v>
      </c>
      <c r="I883">
        <v>806.19848633000004</v>
      </c>
      <c r="J883">
        <v>571.27539062000005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503.99747600000001</v>
      </c>
      <c r="B884" s="1">
        <f>DATE(2011,9,16) + TIME(23,56,21)</f>
        <v>40802.997465277775</v>
      </c>
      <c r="C884">
        <v>80</v>
      </c>
      <c r="D884">
        <v>79.935050963999998</v>
      </c>
      <c r="E884">
        <v>50</v>
      </c>
      <c r="F884">
        <v>35.206230163999997</v>
      </c>
      <c r="G884">
        <v>1797.4208983999999</v>
      </c>
      <c r="H884">
        <v>1670.8400879000001</v>
      </c>
      <c r="I884">
        <v>804.69226074000005</v>
      </c>
      <c r="J884">
        <v>568.57623291000004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505.85018700000001</v>
      </c>
      <c r="B885" s="1">
        <f>DATE(2011,9,18) + TIME(20,24,16)</f>
        <v>40804.850185185183</v>
      </c>
      <c r="C885">
        <v>80</v>
      </c>
      <c r="D885">
        <v>79.935180664000001</v>
      </c>
      <c r="E885">
        <v>50</v>
      </c>
      <c r="F885">
        <v>35.011405945</v>
      </c>
      <c r="G885">
        <v>1796.8062743999999</v>
      </c>
      <c r="H885">
        <v>1670.2257079999999</v>
      </c>
      <c r="I885">
        <v>803.19927978999999</v>
      </c>
      <c r="J885">
        <v>565.88507079999999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507.721317</v>
      </c>
      <c r="B886" s="1">
        <f>DATE(2011,9,20) + TIME(17,18,41)</f>
        <v>40806.721307870372</v>
      </c>
      <c r="C886">
        <v>80</v>
      </c>
      <c r="D886">
        <v>79.935310364000003</v>
      </c>
      <c r="E886">
        <v>50</v>
      </c>
      <c r="F886">
        <v>34.818874358999999</v>
      </c>
      <c r="G886">
        <v>1796.1879882999999</v>
      </c>
      <c r="H886">
        <v>1669.6075439000001</v>
      </c>
      <c r="I886">
        <v>801.72033691000001</v>
      </c>
      <c r="J886">
        <v>563.20452881000006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509.609263</v>
      </c>
      <c r="B887" s="1">
        <f>DATE(2011,9,22) + TIME(14,37,20)</f>
        <v>40808.609259259261</v>
      </c>
      <c r="C887">
        <v>80</v>
      </c>
      <c r="D887">
        <v>79.935440063000001</v>
      </c>
      <c r="E887">
        <v>50</v>
      </c>
      <c r="F887">
        <v>34.629512787000003</v>
      </c>
      <c r="G887">
        <v>1795.5662841999999</v>
      </c>
      <c r="H887">
        <v>1668.9859618999999</v>
      </c>
      <c r="I887">
        <v>800.26190185999997</v>
      </c>
      <c r="J887">
        <v>560.54547118999994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511.50404099999997</v>
      </c>
      <c r="B888" s="1">
        <f>DATE(2011,9,24) + TIME(12,5,49)</f>
        <v>40810.50403935185</v>
      </c>
      <c r="C888">
        <v>80</v>
      </c>
      <c r="D888">
        <v>79.935569763000004</v>
      </c>
      <c r="E888">
        <v>50</v>
      </c>
      <c r="F888">
        <v>34.444541931000003</v>
      </c>
      <c r="G888">
        <v>1794.9434814000001</v>
      </c>
      <c r="H888">
        <v>1668.3632812000001</v>
      </c>
      <c r="I888">
        <v>798.83032227000001</v>
      </c>
      <c r="J888">
        <v>557.92083739999998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513.404267</v>
      </c>
      <c r="B889" s="1">
        <f>DATE(2011,9,26) + TIME(9,42,8)</f>
        <v>40812.40425925926</v>
      </c>
      <c r="C889">
        <v>80</v>
      </c>
      <c r="D889">
        <v>79.935699463000006</v>
      </c>
      <c r="E889">
        <v>50</v>
      </c>
      <c r="F889">
        <v>34.265384674000003</v>
      </c>
      <c r="G889">
        <v>1794.3201904</v>
      </c>
      <c r="H889">
        <v>1667.7402344</v>
      </c>
      <c r="I889">
        <v>797.43707274999997</v>
      </c>
      <c r="J889">
        <v>555.35028076000003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515.31492200000002</v>
      </c>
      <c r="B890" s="1">
        <f>DATE(2011,9,28) + TIME(7,33,29)</f>
        <v>40814.314918981479</v>
      </c>
      <c r="C890">
        <v>80</v>
      </c>
      <c r="D890">
        <v>79.935836792000003</v>
      </c>
      <c r="E890">
        <v>50</v>
      </c>
      <c r="F890">
        <v>34.093002319</v>
      </c>
      <c r="G890">
        <v>1793.6955565999999</v>
      </c>
      <c r="H890">
        <v>1667.1157227000001</v>
      </c>
      <c r="I890">
        <v>796.08776854999996</v>
      </c>
      <c r="J890">
        <v>552.84484863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517.24095199999999</v>
      </c>
      <c r="B891" s="1">
        <f>DATE(2011,9,30) + TIME(5,46,58)</f>
        <v>40816.240949074076</v>
      </c>
      <c r="C891">
        <v>80</v>
      </c>
      <c r="D891">
        <v>79.935966492000006</v>
      </c>
      <c r="E891">
        <v>50</v>
      </c>
      <c r="F891">
        <v>33.928031920999999</v>
      </c>
      <c r="G891">
        <v>1793.0682373</v>
      </c>
      <c r="H891">
        <v>1666.4885254000001</v>
      </c>
      <c r="I891">
        <v>794.78399658000001</v>
      </c>
      <c r="J891">
        <v>550.40887451000003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518</v>
      </c>
      <c r="B892" s="1">
        <f>DATE(2011,10,1) + TIME(0,0,0)</f>
        <v>40817</v>
      </c>
      <c r="C892">
        <v>80</v>
      </c>
      <c r="D892">
        <v>79.935951232999997</v>
      </c>
      <c r="E892">
        <v>50</v>
      </c>
      <c r="F892">
        <v>33.818462371999999</v>
      </c>
      <c r="G892">
        <v>1792.7825928</v>
      </c>
      <c r="H892">
        <v>1666.2028809000001</v>
      </c>
      <c r="I892">
        <v>793.64093018000005</v>
      </c>
      <c r="J892">
        <v>548.46105956999997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519.94673399999999</v>
      </c>
      <c r="B893" s="1">
        <f>DATE(2011,10,2) + TIME(22,43,17)</f>
        <v>40818.94672453704</v>
      </c>
      <c r="C893">
        <v>80</v>
      </c>
      <c r="D893">
        <v>79.936134338000002</v>
      </c>
      <c r="E893">
        <v>50</v>
      </c>
      <c r="F893">
        <v>33.699893951</v>
      </c>
      <c r="G893">
        <v>1792.1551514</v>
      </c>
      <c r="H893">
        <v>1665.5755615</v>
      </c>
      <c r="I893">
        <v>792.99639893000005</v>
      </c>
      <c r="J893">
        <v>547.00854491999996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520.92934400000001</v>
      </c>
      <c r="B894" s="1">
        <f>DATE(2011,10,3) + TIME(22,18,15)</f>
        <v>40819.929340277777</v>
      </c>
      <c r="C894">
        <v>80</v>
      </c>
      <c r="D894">
        <v>79.936157226999995</v>
      </c>
      <c r="E894">
        <v>50</v>
      </c>
      <c r="F894">
        <v>33.594856262</v>
      </c>
      <c r="G894">
        <v>1791.8034668</v>
      </c>
      <c r="H894">
        <v>1665.223999</v>
      </c>
      <c r="I894">
        <v>791.91912841999999</v>
      </c>
      <c r="J894">
        <v>545.12792968999997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521.91195300000004</v>
      </c>
      <c r="B895" s="1">
        <f>DATE(2011,10,4) + TIME(21,53,12)</f>
        <v>40820.911944444444</v>
      </c>
      <c r="C895">
        <v>80</v>
      </c>
      <c r="D895">
        <v>79.936203003000003</v>
      </c>
      <c r="E895">
        <v>50</v>
      </c>
      <c r="F895">
        <v>33.512870788999997</v>
      </c>
      <c r="G895">
        <v>1791.4500731999999</v>
      </c>
      <c r="H895">
        <v>1664.8706055</v>
      </c>
      <c r="I895">
        <v>791.27770996000004</v>
      </c>
      <c r="J895">
        <v>543.87652588000003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522.89456299999995</v>
      </c>
      <c r="B896" s="1">
        <f>DATE(2011,10,5) + TIME(21,28,10)</f>
        <v>40821.894560185188</v>
      </c>
      <c r="C896">
        <v>80</v>
      </c>
      <c r="D896">
        <v>79.936271667</v>
      </c>
      <c r="E896">
        <v>50</v>
      </c>
      <c r="F896">
        <v>33.442703246999997</v>
      </c>
      <c r="G896">
        <v>1791.1040039</v>
      </c>
      <c r="H896">
        <v>1664.5246582</v>
      </c>
      <c r="I896">
        <v>790.71331786999997</v>
      </c>
      <c r="J896">
        <v>542.77294921999999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523.87717199999997</v>
      </c>
      <c r="B897" s="1">
        <f>DATE(2011,10,6) + TIME(21,3,7)</f>
        <v>40822.877164351848</v>
      </c>
      <c r="C897">
        <v>80</v>
      </c>
      <c r="D897">
        <v>79.936340332</v>
      </c>
      <c r="E897">
        <v>50</v>
      </c>
      <c r="F897">
        <v>33.379570006999998</v>
      </c>
      <c r="G897">
        <v>1790.7651367000001</v>
      </c>
      <c r="H897">
        <v>1664.1857910000001</v>
      </c>
      <c r="I897">
        <v>790.18212890999996</v>
      </c>
      <c r="J897">
        <v>541.74096680000002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524.859782</v>
      </c>
      <c r="B898" s="1">
        <f>DATE(2011,10,7) + TIME(20,38,5)</f>
        <v>40823.859780092593</v>
      </c>
      <c r="C898">
        <v>80</v>
      </c>
      <c r="D898">
        <v>79.936416625999996</v>
      </c>
      <c r="E898">
        <v>50</v>
      </c>
      <c r="F898">
        <v>33.321445464999996</v>
      </c>
      <c r="G898">
        <v>1790.4315185999999</v>
      </c>
      <c r="H898">
        <v>1663.8521728999999</v>
      </c>
      <c r="I898">
        <v>789.67388916000004</v>
      </c>
      <c r="J898">
        <v>540.75695800999995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525.84239200000002</v>
      </c>
      <c r="B899" s="1">
        <f>DATE(2011,10,8) + TIME(20,13,2)</f>
        <v>40824.84238425926</v>
      </c>
      <c r="C899">
        <v>80</v>
      </c>
      <c r="D899">
        <v>79.936492920000006</v>
      </c>
      <c r="E899">
        <v>50</v>
      </c>
      <c r="F899">
        <v>33.267509459999999</v>
      </c>
      <c r="G899">
        <v>1790.1016846</v>
      </c>
      <c r="H899">
        <v>1663.5224608999999</v>
      </c>
      <c r="I899">
        <v>789.18530272999999</v>
      </c>
      <c r="J899">
        <v>539.81207274999997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526.82500100000004</v>
      </c>
      <c r="B900" s="1">
        <f>DATE(2011,10,9) + TIME(19,48,0)</f>
        <v>40825.824999999997</v>
      </c>
      <c r="C900">
        <v>80</v>
      </c>
      <c r="D900">
        <v>79.936569214000002</v>
      </c>
      <c r="E900">
        <v>50</v>
      </c>
      <c r="F900">
        <v>33.217468261999997</v>
      </c>
      <c r="G900">
        <v>1789.7746582</v>
      </c>
      <c r="H900">
        <v>1663.1955565999999</v>
      </c>
      <c r="I900">
        <v>788.71533203000001</v>
      </c>
      <c r="J900">
        <v>538.90313720999995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527.80761099999995</v>
      </c>
      <c r="B901" s="1">
        <f>DATE(2011,10,10) + TIME(19,22,57)</f>
        <v>40826.807604166665</v>
      </c>
      <c r="C901">
        <v>80</v>
      </c>
      <c r="D901">
        <v>79.936637877999999</v>
      </c>
      <c r="E901">
        <v>50</v>
      </c>
      <c r="F901">
        <v>33.171226501</v>
      </c>
      <c r="G901">
        <v>1789.4498291</v>
      </c>
      <c r="H901">
        <v>1662.8708495999999</v>
      </c>
      <c r="I901">
        <v>788.26342772999999</v>
      </c>
      <c r="J901">
        <v>538.02893066000001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529.77283</v>
      </c>
      <c r="B902" s="1">
        <f>DATE(2011,10,12) + TIME(18,32,52)</f>
        <v>40828.772824074076</v>
      </c>
      <c r="C902">
        <v>80</v>
      </c>
      <c r="D902">
        <v>79.936836243000002</v>
      </c>
      <c r="E902">
        <v>50</v>
      </c>
      <c r="F902">
        <v>33.117103577000002</v>
      </c>
      <c r="G902">
        <v>1788.8769531</v>
      </c>
      <c r="H902">
        <v>1662.2980957</v>
      </c>
      <c r="I902">
        <v>787.84265137</v>
      </c>
      <c r="J902">
        <v>537.10925293000003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531.74724300000003</v>
      </c>
      <c r="B903" s="1">
        <f>DATE(2011,10,14) + TIME(17,56,1)</f>
        <v>40830.747233796297</v>
      </c>
      <c r="C903">
        <v>80</v>
      </c>
      <c r="D903">
        <v>79.936973571999999</v>
      </c>
      <c r="E903">
        <v>50</v>
      </c>
      <c r="F903">
        <v>33.050708770999996</v>
      </c>
      <c r="G903">
        <v>1788.2897949000001</v>
      </c>
      <c r="H903">
        <v>1661.7110596</v>
      </c>
      <c r="I903">
        <v>787.05267333999996</v>
      </c>
      <c r="J903">
        <v>535.61950683999999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533.76974399999995</v>
      </c>
      <c r="B904" s="1">
        <f>DATE(2011,10,16) + TIME(18,28,25)</f>
        <v>40832.769733796296</v>
      </c>
      <c r="C904">
        <v>80</v>
      </c>
      <c r="D904">
        <v>79.937095642000003</v>
      </c>
      <c r="E904">
        <v>50</v>
      </c>
      <c r="F904">
        <v>32.991924286</v>
      </c>
      <c r="G904">
        <v>1787.6759033000001</v>
      </c>
      <c r="H904">
        <v>1661.0972899999999</v>
      </c>
      <c r="I904">
        <v>786.28576659999999</v>
      </c>
      <c r="J904">
        <v>534.15820312000005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535.84706900000003</v>
      </c>
      <c r="B905" s="1">
        <f>DATE(2011,10,18) + TIME(20,19,46)</f>
        <v>40834.847060185188</v>
      </c>
      <c r="C905">
        <v>80</v>
      </c>
      <c r="D905">
        <v>79.937217712000006</v>
      </c>
      <c r="E905">
        <v>50</v>
      </c>
      <c r="F905">
        <v>32.946701050000001</v>
      </c>
      <c r="G905">
        <v>1787.0395507999999</v>
      </c>
      <c r="H905">
        <v>1660.4610596</v>
      </c>
      <c r="I905">
        <v>785.56939696999996</v>
      </c>
      <c r="J905">
        <v>532.78973388999998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536.892785</v>
      </c>
      <c r="B906" s="1">
        <f>DATE(2011,10,19) + TIME(21,25,36)</f>
        <v>40835.892777777779</v>
      </c>
      <c r="C906">
        <v>80</v>
      </c>
      <c r="D906">
        <v>79.937225342000005</v>
      </c>
      <c r="E906">
        <v>50</v>
      </c>
      <c r="F906">
        <v>32.923927307</v>
      </c>
      <c r="G906">
        <v>1786.6785889</v>
      </c>
      <c r="H906">
        <v>1660.1000977000001</v>
      </c>
      <c r="I906">
        <v>784.91394043000003</v>
      </c>
      <c r="J906">
        <v>531.63085937999995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537.93849999999998</v>
      </c>
      <c r="B907" s="1">
        <f>DATE(2011,10,20) + TIME(22,31,26)</f>
        <v>40836.93849537037</v>
      </c>
      <c r="C907">
        <v>80</v>
      </c>
      <c r="D907">
        <v>79.937263489000003</v>
      </c>
      <c r="E907">
        <v>50</v>
      </c>
      <c r="F907">
        <v>32.913230896000002</v>
      </c>
      <c r="G907">
        <v>1786.3144531</v>
      </c>
      <c r="H907">
        <v>1659.7359618999999</v>
      </c>
      <c r="I907">
        <v>784.56018066000001</v>
      </c>
      <c r="J907">
        <v>530.95751953000001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538.98421599999995</v>
      </c>
      <c r="B908" s="1">
        <f>DATE(2011,10,21) + TIME(23,37,16)</f>
        <v>40837.984212962961</v>
      </c>
      <c r="C908">
        <v>80</v>
      </c>
      <c r="D908">
        <v>79.937324524000005</v>
      </c>
      <c r="E908">
        <v>50</v>
      </c>
      <c r="F908">
        <v>32.910240172999998</v>
      </c>
      <c r="G908">
        <v>1785.9573975000001</v>
      </c>
      <c r="H908">
        <v>1659.3790283000001</v>
      </c>
      <c r="I908">
        <v>784.27569579999999</v>
      </c>
      <c r="J908">
        <v>530.40765381000006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540.02993200000003</v>
      </c>
      <c r="B909" s="1">
        <f>DATE(2011,10,23) + TIME(0,43,6)</f>
        <v>40839.029930555553</v>
      </c>
      <c r="C909">
        <v>80</v>
      </c>
      <c r="D909">
        <v>79.937400818</v>
      </c>
      <c r="E909">
        <v>50</v>
      </c>
      <c r="F909">
        <v>32.91312027</v>
      </c>
      <c r="G909">
        <v>1785.6074219</v>
      </c>
      <c r="H909">
        <v>1659.0290527</v>
      </c>
      <c r="I909">
        <v>784.02319336000005</v>
      </c>
      <c r="J909">
        <v>529.92340088000003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541.075647</v>
      </c>
      <c r="B910" s="1">
        <f>DATE(2011,10,24) + TIME(1,48,55)</f>
        <v>40840.075636574074</v>
      </c>
      <c r="C910">
        <v>80</v>
      </c>
      <c r="D910">
        <v>79.937477111999996</v>
      </c>
      <c r="E910">
        <v>50</v>
      </c>
      <c r="F910">
        <v>32.921096802000001</v>
      </c>
      <c r="G910">
        <v>1785.2626952999999</v>
      </c>
      <c r="H910">
        <v>1658.6844481999999</v>
      </c>
      <c r="I910">
        <v>783.79272461000005</v>
      </c>
      <c r="J910">
        <v>529.48657227000001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542.12136299999997</v>
      </c>
      <c r="B911" s="1">
        <f>DATE(2011,10,25) + TIME(2,54,45)</f>
        <v>40841.121354166666</v>
      </c>
      <c r="C911">
        <v>80</v>
      </c>
      <c r="D911">
        <v>79.937545775999993</v>
      </c>
      <c r="E911">
        <v>50</v>
      </c>
      <c r="F911">
        <v>32.933811188</v>
      </c>
      <c r="G911">
        <v>1784.9219971</v>
      </c>
      <c r="H911">
        <v>1658.34375</v>
      </c>
      <c r="I911">
        <v>783.58081055000002</v>
      </c>
      <c r="J911">
        <v>529.09008788999995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543.16707899999994</v>
      </c>
      <c r="B912" s="1">
        <f>DATE(2011,10,26) + TIME(4,0,35)</f>
        <v>40842.167071759257</v>
      </c>
      <c r="C912">
        <v>80</v>
      </c>
      <c r="D912">
        <v>79.937622070000003</v>
      </c>
      <c r="E912">
        <v>50</v>
      </c>
      <c r="F912">
        <v>32.951068878000001</v>
      </c>
      <c r="G912">
        <v>1784.5842285000001</v>
      </c>
      <c r="H912">
        <v>1658.0061035000001</v>
      </c>
      <c r="I912">
        <v>783.38592529000005</v>
      </c>
      <c r="J912">
        <v>528.73059081999997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544.21279500000003</v>
      </c>
      <c r="B913" s="1">
        <f>DATE(2011,10,27) + TIME(5,6,25)</f>
        <v>40843.212789351855</v>
      </c>
      <c r="C913">
        <v>80</v>
      </c>
      <c r="D913">
        <v>79.937690735000004</v>
      </c>
      <c r="E913">
        <v>50</v>
      </c>
      <c r="F913">
        <v>32.972743987999998</v>
      </c>
      <c r="G913">
        <v>1784.2489014</v>
      </c>
      <c r="H913">
        <v>1657.6707764</v>
      </c>
      <c r="I913">
        <v>783.20733643000005</v>
      </c>
      <c r="J913">
        <v>528.40625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545.25851</v>
      </c>
      <c r="B914" s="1">
        <f>DATE(2011,10,28) + TIME(6,12,15)</f>
        <v>40844.258506944447</v>
      </c>
      <c r="C914">
        <v>80</v>
      </c>
      <c r="D914">
        <v>79.937767029</v>
      </c>
      <c r="E914">
        <v>50</v>
      </c>
      <c r="F914">
        <v>32.998725890999999</v>
      </c>
      <c r="G914">
        <v>1783.9155272999999</v>
      </c>
      <c r="H914">
        <v>1657.3375243999999</v>
      </c>
      <c r="I914">
        <v>783.04443359000004</v>
      </c>
      <c r="J914">
        <v>528.11584473000005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546.30422599999997</v>
      </c>
      <c r="B915" s="1">
        <f>DATE(2011,10,29) + TIME(7,18,5)</f>
        <v>40845.304224537038</v>
      </c>
      <c r="C915">
        <v>80</v>
      </c>
      <c r="D915">
        <v>79.937835692999997</v>
      </c>
      <c r="E915">
        <v>50</v>
      </c>
      <c r="F915">
        <v>33.028903960999997</v>
      </c>
      <c r="G915">
        <v>1783.5839844</v>
      </c>
      <c r="H915">
        <v>1657.0059814000001</v>
      </c>
      <c r="I915">
        <v>782.89678954999999</v>
      </c>
      <c r="J915">
        <v>527.85833739999998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547.34994200000006</v>
      </c>
      <c r="B916" s="1">
        <f>DATE(2011,10,30) + TIME(8,23,54)</f>
        <v>40846.349930555552</v>
      </c>
      <c r="C916">
        <v>80</v>
      </c>
      <c r="D916">
        <v>79.937896729000002</v>
      </c>
      <c r="E916">
        <v>50</v>
      </c>
      <c r="F916">
        <v>33.063171386999997</v>
      </c>
      <c r="G916">
        <v>1783.2539062000001</v>
      </c>
      <c r="H916">
        <v>1656.6760254000001</v>
      </c>
      <c r="I916">
        <v>782.76391602000001</v>
      </c>
      <c r="J916">
        <v>527.63275146000001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549</v>
      </c>
      <c r="B917" s="1">
        <f>DATE(2011,11,1) + TIME(0,0,0)</f>
        <v>40848</v>
      </c>
      <c r="C917">
        <v>80</v>
      </c>
      <c r="D917">
        <v>79.938041686999995</v>
      </c>
      <c r="E917">
        <v>50</v>
      </c>
      <c r="F917">
        <v>33.108036040999998</v>
      </c>
      <c r="G917">
        <v>1782.7675781</v>
      </c>
      <c r="H917">
        <v>1656.1896973</v>
      </c>
      <c r="I917">
        <v>782.67254638999998</v>
      </c>
      <c r="J917">
        <v>527.46569824000005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549.000001</v>
      </c>
      <c r="B918" s="1">
        <f>DATE(2011,11,1) + TIME(0,0,0)</f>
        <v>40848</v>
      </c>
      <c r="C918">
        <v>80</v>
      </c>
      <c r="D918">
        <v>79.938011169000006</v>
      </c>
      <c r="E918">
        <v>50</v>
      </c>
      <c r="F918">
        <v>33.108070374</v>
      </c>
      <c r="G918">
        <v>1656.1796875</v>
      </c>
      <c r="H918">
        <v>1529.6024170000001</v>
      </c>
      <c r="I918">
        <v>1038.6105957</v>
      </c>
      <c r="J918">
        <v>782.68212890999996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549.00000399999999</v>
      </c>
      <c r="B919" s="1">
        <f>DATE(2011,11,1) + TIME(0,0,0)</f>
        <v>40848</v>
      </c>
      <c r="C919">
        <v>80</v>
      </c>
      <c r="D919">
        <v>79.937911987000007</v>
      </c>
      <c r="E919">
        <v>50</v>
      </c>
      <c r="F919">
        <v>33.108165741000001</v>
      </c>
      <c r="G919">
        <v>1656.1496582</v>
      </c>
      <c r="H919">
        <v>1529.5722656</v>
      </c>
      <c r="I919">
        <v>1038.6396483999999</v>
      </c>
      <c r="J919">
        <v>782.7109375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549.00001299999997</v>
      </c>
      <c r="B920" s="1">
        <f>DATE(2011,11,1) + TIME(0,0,1)</f>
        <v>40848.000011574077</v>
      </c>
      <c r="C920">
        <v>80</v>
      </c>
      <c r="D920">
        <v>79.937637328999998</v>
      </c>
      <c r="E920">
        <v>50</v>
      </c>
      <c r="F920">
        <v>33.108451842999997</v>
      </c>
      <c r="G920">
        <v>1656.0595702999999</v>
      </c>
      <c r="H920">
        <v>1529.4818115</v>
      </c>
      <c r="I920">
        <v>1038.7265625</v>
      </c>
      <c r="J920">
        <v>782.79742432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549.00004000000001</v>
      </c>
      <c r="B921" s="1">
        <f>DATE(2011,11,1) + TIME(0,0,3)</f>
        <v>40848.000034722223</v>
      </c>
      <c r="C921">
        <v>80</v>
      </c>
      <c r="D921">
        <v>79.936813353999995</v>
      </c>
      <c r="E921">
        <v>50</v>
      </c>
      <c r="F921">
        <v>33.109313964999998</v>
      </c>
      <c r="G921">
        <v>1655.7899170000001</v>
      </c>
      <c r="H921">
        <v>1529.2106934000001</v>
      </c>
      <c r="I921">
        <v>1038.9870605000001</v>
      </c>
      <c r="J921">
        <v>783.05664062000005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549.00012100000004</v>
      </c>
      <c r="B922" s="1">
        <f>DATE(2011,11,1) + TIME(0,0,10)</f>
        <v>40848.000115740739</v>
      </c>
      <c r="C922">
        <v>80</v>
      </c>
      <c r="D922">
        <v>79.934349060000002</v>
      </c>
      <c r="E922">
        <v>50</v>
      </c>
      <c r="F922">
        <v>33.111900329999997</v>
      </c>
      <c r="G922">
        <v>1654.9858397999999</v>
      </c>
      <c r="H922">
        <v>1528.4023437999999</v>
      </c>
      <c r="I922">
        <v>1039.7663574000001</v>
      </c>
      <c r="J922">
        <v>783.83300781000003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549.00036399999999</v>
      </c>
      <c r="B923" s="1">
        <f>DATE(2011,11,1) + TIME(0,0,31)</f>
        <v>40848.000358796293</v>
      </c>
      <c r="C923">
        <v>80</v>
      </c>
      <c r="D923">
        <v>79.927078246999997</v>
      </c>
      <c r="E923">
        <v>50</v>
      </c>
      <c r="F923">
        <v>33.119655608999999</v>
      </c>
      <c r="G923">
        <v>1652.6149902</v>
      </c>
      <c r="H923">
        <v>1526.0192870999999</v>
      </c>
      <c r="I923">
        <v>1042.0842285000001</v>
      </c>
      <c r="J923">
        <v>786.15112305000002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549.00109299999997</v>
      </c>
      <c r="B924" s="1">
        <f>DATE(2011,11,1) + TIME(0,1,34)</f>
        <v>40848.001087962963</v>
      </c>
      <c r="C924">
        <v>80</v>
      </c>
      <c r="D924">
        <v>79.906341553000004</v>
      </c>
      <c r="E924">
        <v>50</v>
      </c>
      <c r="F924">
        <v>33.142845154</v>
      </c>
      <c r="G924">
        <v>1645.8527832</v>
      </c>
      <c r="H924">
        <v>1519.2232666</v>
      </c>
      <c r="I924">
        <v>1048.8637695</v>
      </c>
      <c r="J924">
        <v>792.99279784999999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549.00328000000002</v>
      </c>
      <c r="B925" s="1">
        <f>DATE(2011,11,1) + TIME(0,4,43)</f>
        <v>40848.003275462965</v>
      </c>
      <c r="C925">
        <v>80</v>
      </c>
      <c r="D925">
        <v>79.852142334000007</v>
      </c>
      <c r="E925">
        <v>50</v>
      </c>
      <c r="F925">
        <v>33.211334229000002</v>
      </c>
      <c r="G925">
        <v>1628.1859131000001</v>
      </c>
      <c r="H925">
        <v>1501.4714355000001</v>
      </c>
      <c r="I925">
        <v>1067.7827147999999</v>
      </c>
      <c r="J925">
        <v>812.38146973000005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549.00984100000005</v>
      </c>
      <c r="B926" s="1">
        <f>DATE(2011,11,1) + TIME(0,14,10)</f>
        <v>40848.009837962964</v>
      </c>
      <c r="C926">
        <v>80</v>
      </c>
      <c r="D926">
        <v>79.735321045000006</v>
      </c>
      <c r="E926">
        <v>50</v>
      </c>
      <c r="F926">
        <v>33.406021117999998</v>
      </c>
      <c r="G926">
        <v>1590.1530762</v>
      </c>
      <c r="H926">
        <v>1463.2635498</v>
      </c>
      <c r="I926">
        <v>1114.6784668</v>
      </c>
      <c r="J926">
        <v>861.11541748000002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549.02952400000004</v>
      </c>
      <c r="B927" s="1">
        <f>DATE(2011,11,1) + TIME(0,42,30)</f>
        <v>40848.029513888891</v>
      </c>
      <c r="C927">
        <v>80</v>
      </c>
      <c r="D927">
        <v>79.550926208000007</v>
      </c>
      <c r="E927">
        <v>50</v>
      </c>
      <c r="F927">
        <v>33.921531676999997</v>
      </c>
      <c r="G927">
        <v>1529.9394531</v>
      </c>
      <c r="H927">
        <v>1402.7902832</v>
      </c>
      <c r="I927">
        <v>1205.9470214999999</v>
      </c>
      <c r="J927">
        <v>956.20098876999998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549.06598099999997</v>
      </c>
      <c r="B928" s="1">
        <f>DATE(2011,11,1) + TIME(1,35,0)</f>
        <v>40848.065972222219</v>
      </c>
      <c r="C928">
        <v>80</v>
      </c>
      <c r="D928">
        <v>79.390205382999994</v>
      </c>
      <c r="E928">
        <v>50</v>
      </c>
      <c r="F928">
        <v>34.745532990000001</v>
      </c>
      <c r="G928">
        <v>1476.0090332</v>
      </c>
      <c r="H928">
        <v>1348.6379394999999</v>
      </c>
      <c r="I928">
        <v>1300.4765625</v>
      </c>
      <c r="J928">
        <v>1054.8000488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549.10648400000002</v>
      </c>
      <c r="B929" s="1">
        <f>DATE(2011,11,1) + TIME(2,33,20)</f>
        <v>40848.106481481482</v>
      </c>
      <c r="C929">
        <v>80</v>
      </c>
      <c r="D929">
        <v>79.290626525999997</v>
      </c>
      <c r="E929">
        <v>50</v>
      </c>
      <c r="F929">
        <v>35.560352324999997</v>
      </c>
      <c r="G929">
        <v>1441.4150391000001</v>
      </c>
      <c r="H929">
        <v>1313.9094238</v>
      </c>
      <c r="I929">
        <v>1363.9365233999999</v>
      </c>
      <c r="J929">
        <v>1121.5471190999999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549.150936</v>
      </c>
      <c r="B930" s="1">
        <f>DATE(2011,11,1) + TIME(3,37,20)</f>
        <v>40848.150925925926</v>
      </c>
      <c r="C930">
        <v>80</v>
      </c>
      <c r="D930">
        <v>79.221153259000005</v>
      </c>
      <c r="E930">
        <v>50</v>
      </c>
      <c r="F930">
        <v>36.375072479000004</v>
      </c>
      <c r="G930">
        <v>1416.3269043</v>
      </c>
      <c r="H930">
        <v>1288.7335204999999</v>
      </c>
      <c r="I930">
        <v>1409.6114502</v>
      </c>
      <c r="J930">
        <v>1170.3204346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549.19889899999998</v>
      </c>
      <c r="B931" s="1">
        <f>DATE(2011,11,1) + TIME(4,46,24)</f>
        <v>40848.198888888888</v>
      </c>
      <c r="C931">
        <v>80</v>
      </c>
      <c r="D931">
        <v>79.168762207</v>
      </c>
      <c r="E931">
        <v>50</v>
      </c>
      <c r="F931">
        <v>37.184715271000002</v>
      </c>
      <c r="G931">
        <v>1396.7131348</v>
      </c>
      <c r="H931">
        <v>1269.0581055</v>
      </c>
      <c r="I931">
        <v>1444.4375</v>
      </c>
      <c r="J931">
        <v>1208.1755370999999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549.25019799999995</v>
      </c>
      <c r="B932" s="1">
        <f>DATE(2011,11,1) + TIME(6,0,17)</f>
        <v>40848.250196759262</v>
      </c>
      <c r="C932">
        <v>80</v>
      </c>
      <c r="D932">
        <v>79.126930236999996</v>
      </c>
      <c r="E932">
        <v>50</v>
      </c>
      <c r="F932">
        <v>37.985671996999997</v>
      </c>
      <c r="G932">
        <v>1380.5644531</v>
      </c>
      <c r="H932">
        <v>1252.8637695</v>
      </c>
      <c r="I932">
        <v>1472.3427733999999</v>
      </c>
      <c r="J932">
        <v>1239.0480957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549.30484200000001</v>
      </c>
      <c r="B933" s="1">
        <f>DATE(2011,11,1) + TIME(7,18,58)</f>
        <v>40848.304837962962</v>
      </c>
      <c r="C933">
        <v>80</v>
      </c>
      <c r="D933">
        <v>79.092025757000002</v>
      </c>
      <c r="E933">
        <v>50</v>
      </c>
      <c r="F933">
        <v>38.775478362999998</v>
      </c>
      <c r="G933">
        <v>1366.7677002</v>
      </c>
      <c r="H933">
        <v>1239.0323486</v>
      </c>
      <c r="I933">
        <v>1495.604126</v>
      </c>
      <c r="J933">
        <v>1265.2042236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549.36298299999999</v>
      </c>
      <c r="B934" s="1">
        <f>DATE(2011,11,1) + TIME(8,42,41)</f>
        <v>40848.362974537034</v>
      </c>
      <c r="C934">
        <v>80</v>
      </c>
      <c r="D934">
        <v>79.061836243000002</v>
      </c>
      <c r="E934">
        <v>50</v>
      </c>
      <c r="F934">
        <v>39.552532196000001</v>
      </c>
      <c r="G934">
        <v>1354.6470947</v>
      </c>
      <c r="H934">
        <v>1226.8846435999999</v>
      </c>
      <c r="I934">
        <v>1515.6121826000001</v>
      </c>
      <c r="J934">
        <v>1288.0255127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549.42488800000001</v>
      </c>
      <c r="B935" s="1">
        <f>DATE(2011,11,1) + TIME(10,11,50)</f>
        <v>40848.424884259257</v>
      </c>
      <c r="C935">
        <v>80</v>
      </c>
      <c r="D935">
        <v>79.034889221</v>
      </c>
      <c r="E935">
        <v>50</v>
      </c>
      <c r="F935">
        <v>40.315738678000002</v>
      </c>
      <c r="G935">
        <v>1343.7620850000001</v>
      </c>
      <c r="H935">
        <v>1215.9780272999999</v>
      </c>
      <c r="I935">
        <v>1533.2636719</v>
      </c>
      <c r="J935">
        <v>1308.4030762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549.49092399999995</v>
      </c>
      <c r="B936" s="1">
        <f>DATE(2011,11,1) + TIME(11,46,55)</f>
        <v>40848.490914351853</v>
      </c>
      <c r="C936">
        <v>80</v>
      </c>
      <c r="D936">
        <v>79.010154724000003</v>
      </c>
      <c r="E936">
        <v>50</v>
      </c>
      <c r="F936">
        <v>41.064201355000002</v>
      </c>
      <c r="G936">
        <v>1333.8087158000001</v>
      </c>
      <c r="H936">
        <v>1206.0070800999999</v>
      </c>
      <c r="I936">
        <v>1549.1704102000001</v>
      </c>
      <c r="J936">
        <v>1326.9461670000001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549.56156699999997</v>
      </c>
      <c r="B937" s="1">
        <f>DATE(2011,11,1) + TIME(13,28,39)</f>
        <v>40848.561562499999</v>
      </c>
      <c r="C937">
        <v>80</v>
      </c>
      <c r="D937">
        <v>78.986854553000001</v>
      </c>
      <c r="E937">
        <v>50</v>
      </c>
      <c r="F937">
        <v>41.796997070000003</v>
      </c>
      <c r="G937">
        <v>1324.5662841999999</v>
      </c>
      <c r="H937">
        <v>1196.7501221</v>
      </c>
      <c r="I937">
        <v>1563.7707519999999</v>
      </c>
      <c r="J937">
        <v>1344.0919189000001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549.63741900000002</v>
      </c>
      <c r="B938" s="1">
        <f>DATE(2011,11,1) + TIME(15,17,53)</f>
        <v>40848.637418981481</v>
      </c>
      <c r="C938">
        <v>80</v>
      </c>
      <c r="D938">
        <v>78.964378357000001</v>
      </c>
      <c r="E938">
        <v>50</v>
      </c>
      <c r="F938">
        <v>42.513309479</v>
      </c>
      <c r="G938">
        <v>1315.8666992000001</v>
      </c>
      <c r="H938">
        <v>1188.0380858999999</v>
      </c>
      <c r="I938">
        <v>1577.3929443</v>
      </c>
      <c r="J938">
        <v>1360.1680908000001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549.71922300000006</v>
      </c>
      <c r="B939" s="1">
        <f>DATE(2011,11,1) + TIME(17,15,40)</f>
        <v>40848.719212962962</v>
      </c>
      <c r="C939">
        <v>80</v>
      </c>
      <c r="D939">
        <v>78.942192078000005</v>
      </c>
      <c r="E939">
        <v>50</v>
      </c>
      <c r="F939">
        <v>43.212219238000003</v>
      </c>
      <c r="G939">
        <v>1307.5767822</v>
      </c>
      <c r="H939">
        <v>1179.7374268000001</v>
      </c>
      <c r="I939">
        <v>1590.2938231999999</v>
      </c>
      <c r="J939">
        <v>1375.4316406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549.80792599999995</v>
      </c>
      <c r="B940" s="1">
        <f>DATE(2011,11,1) + TIME(19,23,24)</f>
        <v>40848.807916666665</v>
      </c>
      <c r="C940">
        <v>80</v>
      </c>
      <c r="D940">
        <v>78.919830321999996</v>
      </c>
      <c r="E940">
        <v>50</v>
      </c>
      <c r="F940">
        <v>43.892810822000001</v>
      </c>
      <c r="G940">
        <v>1299.5838623</v>
      </c>
      <c r="H940">
        <v>1171.7347411999999</v>
      </c>
      <c r="I940">
        <v>1602.6862793</v>
      </c>
      <c r="J940">
        <v>1390.0959473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549.90473499999996</v>
      </c>
      <c r="B941" s="1">
        <f>DATE(2011,11,1) + TIME(21,42,49)</f>
        <v>40848.904733796298</v>
      </c>
      <c r="C941">
        <v>80</v>
      </c>
      <c r="D941">
        <v>78.896812439000001</v>
      </c>
      <c r="E941">
        <v>50</v>
      </c>
      <c r="F941">
        <v>44.554031371999997</v>
      </c>
      <c r="G941">
        <v>1291.7882079999999</v>
      </c>
      <c r="H941">
        <v>1163.9300536999999</v>
      </c>
      <c r="I941">
        <v>1614.7543945</v>
      </c>
      <c r="J941">
        <v>1404.3458252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550.01120400000002</v>
      </c>
      <c r="B942" s="1">
        <f>DATE(2011,11,2) + TIME(0,16,8)</f>
        <v>40849.011203703703</v>
      </c>
      <c r="C942">
        <v>80</v>
      </c>
      <c r="D942">
        <v>78.872680664000001</v>
      </c>
      <c r="E942">
        <v>50</v>
      </c>
      <c r="F942">
        <v>45.194656371999997</v>
      </c>
      <c r="G942">
        <v>1284.0968018000001</v>
      </c>
      <c r="H942">
        <v>1156.2294922000001</v>
      </c>
      <c r="I942">
        <v>1626.6660156</v>
      </c>
      <c r="J942">
        <v>1418.3492432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550.12942399999997</v>
      </c>
      <c r="B943" s="1">
        <f>DATE(2011,11,2) + TIME(3,6,22)</f>
        <v>40849.129421296297</v>
      </c>
      <c r="C943">
        <v>80</v>
      </c>
      <c r="D943">
        <v>78.846878051999994</v>
      </c>
      <c r="E943">
        <v>50</v>
      </c>
      <c r="F943">
        <v>45.813396453999999</v>
      </c>
      <c r="G943">
        <v>1276.4135742000001</v>
      </c>
      <c r="H943">
        <v>1148.5371094</v>
      </c>
      <c r="I943">
        <v>1638.5876464999999</v>
      </c>
      <c r="J943">
        <v>1432.2731934000001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550.26219600000002</v>
      </c>
      <c r="B944" s="1">
        <f>DATE(2011,11,2) + TIME(6,17,33)</f>
        <v>40849.262187499997</v>
      </c>
      <c r="C944">
        <v>80</v>
      </c>
      <c r="D944">
        <v>78.818786621000001</v>
      </c>
      <c r="E944">
        <v>50</v>
      </c>
      <c r="F944">
        <v>46.408538817999997</v>
      </c>
      <c r="G944">
        <v>1268.6375731999999</v>
      </c>
      <c r="H944">
        <v>1140.7510986</v>
      </c>
      <c r="I944">
        <v>1650.6925048999999</v>
      </c>
      <c r="J944">
        <v>1446.2900391000001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550.41342499999996</v>
      </c>
      <c r="B945" s="1">
        <f>DATE(2011,11,2) + TIME(9,55,19)</f>
        <v>40849.413414351853</v>
      </c>
      <c r="C945">
        <v>80</v>
      </c>
      <c r="D945">
        <v>78.787628174000005</v>
      </c>
      <c r="E945">
        <v>50</v>
      </c>
      <c r="F945">
        <v>46.977947235000002</v>
      </c>
      <c r="G945">
        <v>1260.6519774999999</v>
      </c>
      <c r="H945">
        <v>1132.7543945</v>
      </c>
      <c r="I945">
        <v>1663.1746826000001</v>
      </c>
      <c r="J945">
        <v>1460.5924072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550.58874500000002</v>
      </c>
      <c r="B946" s="1">
        <f>DATE(2011,11,2) + TIME(14,7,47)</f>
        <v>40849.588738425926</v>
      </c>
      <c r="C946">
        <v>80</v>
      </c>
      <c r="D946">
        <v>78.752380371000001</v>
      </c>
      <c r="E946">
        <v>50</v>
      </c>
      <c r="F946">
        <v>47.518852234000001</v>
      </c>
      <c r="G946">
        <v>1252.3139647999999</v>
      </c>
      <c r="H946">
        <v>1124.4034423999999</v>
      </c>
      <c r="I946">
        <v>1676.2683105000001</v>
      </c>
      <c r="J946">
        <v>1475.4111327999999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550.77604499999995</v>
      </c>
      <c r="B947" s="1">
        <f>DATE(2011,11,2) + TIME(18,37,30)</f>
        <v>40849.776041666664</v>
      </c>
      <c r="C947">
        <v>80</v>
      </c>
      <c r="D947">
        <v>78.714706421000002</v>
      </c>
      <c r="E947">
        <v>50</v>
      </c>
      <c r="F947">
        <v>47.986625670999999</v>
      </c>
      <c r="G947">
        <v>1244.2379149999999</v>
      </c>
      <c r="H947">
        <v>1116.3133545000001</v>
      </c>
      <c r="I947">
        <v>1688.9571533000001</v>
      </c>
      <c r="J947">
        <v>1489.5922852000001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550.96698200000003</v>
      </c>
      <c r="B948" s="1">
        <f>DATE(2011,11,2) + TIME(23,12,27)</f>
        <v>40849.966979166667</v>
      </c>
      <c r="C948">
        <v>80</v>
      </c>
      <c r="D948">
        <v>78.675849915000001</v>
      </c>
      <c r="E948">
        <v>50</v>
      </c>
      <c r="F948">
        <v>48.371311188</v>
      </c>
      <c r="G948">
        <v>1236.7077637</v>
      </c>
      <c r="H948">
        <v>1108.7680664</v>
      </c>
      <c r="I948">
        <v>1700.7741699000001</v>
      </c>
      <c r="J948">
        <v>1502.6425781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551.16223200000002</v>
      </c>
      <c r="B949" s="1">
        <f>DATE(2011,11,3) + TIME(3,53,36)</f>
        <v>40850.162222222221</v>
      </c>
      <c r="C949">
        <v>80</v>
      </c>
      <c r="D949">
        <v>78.635848999000004</v>
      </c>
      <c r="E949">
        <v>50</v>
      </c>
      <c r="F949">
        <v>48.687416077000002</v>
      </c>
      <c r="G949">
        <v>1229.6170654</v>
      </c>
      <c r="H949">
        <v>1101.6611327999999</v>
      </c>
      <c r="I949">
        <v>1711.8959961</v>
      </c>
      <c r="J949">
        <v>1514.7867432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551.36363400000005</v>
      </c>
      <c r="B950" s="1">
        <f>DATE(2011,11,3) + TIME(8,43,37)</f>
        <v>40850.363622685189</v>
      </c>
      <c r="C950">
        <v>80</v>
      </c>
      <c r="D950">
        <v>78.594543457</v>
      </c>
      <c r="E950">
        <v>50</v>
      </c>
      <c r="F950">
        <v>48.947917938000003</v>
      </c>
      <c r="G950">
        <v>1222.8477783000001</v>
      </c>
      <c r="H950">
        <v>1094.8746338000001</v>
      </c>
      <c r="I950">
        <v>1722.5065918</v>
      </c>
      <c r="J950">
        <v>1526.25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551.57298800000001</v>
      </c>
      <c r="B951" s="1">
        <f>DATE(2011,11,3) + TIME(13,45,6)</f>
        <v>40850.57298611111</v>
      </c>
      <c r="C951">
        <v>80</v>
      </c>
      <c r="D951">
        <v>78.551742554</v>
      </c>
      <c r="E951">
        <v>50</v>
      </c>
      <c r="F951">
        <v>49.162620543999999</v>
      </c>
      <c r="G951">
        <v>1216.3114014</v>
      </c>
      <c r="H951">
        <v>1088.3199463000001</v>
      </c>
      <c r="I951">
        <v>1732.7364502</v>
      </c>
      <c r="J951">
        <v>1537.1934814000001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551.79225599999995</v>
      </c>
      <c r="B952" s="1">
        <f>DATE(2011,11,3) + TIME(19,0,50)</f>
        <v>40850.792245370372</v>
      </c>
      <c r="C952">
        <v>80</v>
      </c>
      <c r="D952">
        <v>78.507225036999998</v>
      </c>
      <c r="E952">
        <v>50</v>
      </c>
      <c r="F952">
        <v>49.339225769000002</v>
      </c>
      <c r="G952">
        <v>1209.9360352000001</v>
      </c>
      <c r="H952">
        <v>1081.9251709</v>
      </c>
      <c r="I952">
        <v>1742.6885986</v>
      </c>
      <c r="J952">
        <v>1547.7437743999999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552.02365999999995</v>
      </c>
      <c r="B953" s="1">
        <f>DATE(2011,11,4) + TIME(0,34,4)</f>
        <v>40851.023657407408</v>
      </c>
      <c r="C953">
        <v>80</v>
      </c>
      <c r="D953">
        <v>78.460708617999998</v>
      </c>
      <c r="E953">
        <v>50</v>
      </c>
      <c r="F953">
        <v>49.483905792000002</v>
      </c>
      <c r="G953">
        <v>1203.6604004000001</v>
      </c>
      <c r="H953">
        <v>1075.6291504000001</v>
      </c>
      <c r="I953">
        <v>1752.4482422000001</v>
      </c>
      <c r="J953">
        <v>1558.0051269999999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552.269811</v>
      </c>
      <c r="B954" s="1">
        <f>DATE(2011,11,4) + TIME(6,28,31)</f>
        <v>40851.269803240742</v>
      </c>
      <c r="C954">
        <v>80</v>
      </c>
      <c r="D954">
        <v>78.411857604999994</v>
      </c>
      <c r="E954">
        <v>50</v>
      </c>
      <c r="F954">
        <v>49.601688385000003</v>
      </c>
      <c r="G954">
        <v>1197.4295654</v>
      </c>
      <c r="H954">
        <v>1069.3768310999999</v>
      </c>
      <c r="I954">
        <v>1762.0902100000001</v>
      </c>
      <c r="J954">
        <v>1568.0673827999999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552.53384900000003</v>
      </c>
      <c r="B955" s="1">
        <f>DATE(2011,11,4) + TIME(12,48,44)</f>
        <v>40851.533842592595</v>
      </c>
      <c r="C955">
        <v>80</v>
      </c>
      <c r="D955">
        <v>78.360275268999999</v>
      </c>
      <c r="E955">
        <v>50</v>
      </c>
      <c r="F955">
        <v>49.696743011000002</v>
      </c>
      <c r="G955">
        <v>1191.1918945</v>
      </c>
      <c r="H955">
        <v>1063.1165771000001</v>
      </c>
      <c r="I955">
        <v>1771.6827393000001</v>
      </c>
      <c r="J955">
        <v>1578.0112305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552.819029</v>
      </c>
      <c r="B956" s="1">
        <f>DATE(2011,11,4) + TIME(19,39,24)</f>
        <v>40851.819027777776</v>
      </c>
      <c r="C956">
        <v>80</v>
      </c>
      <c r="D956">
        <v>78.305511475000003</v>
      </c>
      <c r="E956">
        <v>50</v>
      </c>
      <c r="F956">
        <v>49.772441864000001</v>
      </c>
      <c r="G956">
        <v>1184.9091797000001</v>
      </c>
      <c r="H956">
        <v>1056.8098144999999</v>
      </c>
      <c r="I956">
        <v>1781.2705077999999</v>
      </c>
      <c r="J956">
        <v>1587.8916016000001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553.12794399999996</v>
      </c>
      <c r="B957" s="1">
        <f>DATE(2011,11,5) + TIME(3,4,14)</f>
        <v>40852.127939814818</v>
      </c>
      <c r="C957">
        <v>80</v>
      </c>
      <c r="D957">
        <v>78.247253418</v>
      </c>
      <c r="E957">
        <v>50</v>
      </c>
      <c r="F957">
        <v>49.831550598</v>
      </c>
      <c r="G957">
        <v>1178.5693358999999</v>
      </c>
      <c r="H957">
        <v>1050.4447021000001</v>
      </c>
      <c r="I957">
        <v>1790.8549805</v>
      </c>
      <c r="J957">
        <v>1597.7177733999999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553.46615699999995</v>
      </c>
      <c r="B958" s="1">
        <f>DATE(2011,11,5) + TIME(11,11,15)</f>
        <v>40852.466145833336</v>
      </c>
      <c r="C958">
        <v>80</v>
      </c>
      <c r="D958">
        <v>78.184768676999994</v>
      </c>
      <c r="E958">
        <v>50</v>
      </c>
      <c r="F958">
        <v>49.876911163000003</v>
      </c>
      <c r="G958">
        <v>1172.1158447</v>
      </c>
      <c r="H958">
        <v>1043.9642334</v>
      </c>
      <c r="I958">
        <v>1800.5091553</v>
      </c>
      <c r="J958">
        <v>1607.5712891000001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553.84067900000002</v>
      </c>
      <c r="B959" s="1">
        <f>DATE(2011,11,5) + TIME(20,10,34)</f>
        <v>40852.840671296297</v>
      </c>
      <c r="C959">
        <v>80</v>
      </c>
      <c r="D959">
        <v>78.117172241000006</v>
      </c>
      <c r="E959">
        <v>50</v>
      </c>
      <c r="F959">
        <v>49.910923003999997</v>
      </c>
      <c r="G959">
        <v>1165.4899902</v>
      </c>
      <c r="H959">
        <v>1037.3095702999999</v>
      </c>
      <c r="I959">
        <v>1810.3023682</v>
      </c>
      <c r="J959">
        <v>1617.5286865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554.22660499999995</v>
      </c>
      <c r="B960" s="1">
        <f>DATE(2011,11,6) + TIME(5,26,18)</f>
        <v>40853.226597222223</v>
      </c>
      <c r="C960">
        <v>80</v>
      </c>
      <c r="D960">
        <v>78.047218322999996</v>
      </c>
      <c r="E960">
        <v>50</v>
      </c>
      <c r="F960">
        <v>49.934242249</v>
      </c>
      <c r="G960">
        <v>1159.1416016000001</v>
      </c>
      <c r="H960">
        <v>1030.9321289</v>
      </c>
      <c r="I960">
        <v>1819.5041504000001</v>
      </c>
      <c r="J960">
        <v>1626.8605957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554.62315699999999</v>
      </c>
      <c r="B961" s="1">
        <f>DATE(2011,11,6) + TIME(14,57,20)</f>
        <v>40853.623148148145</v>
      </c>
      <c r="C961">
        <v>80</v>
      </c>
      <c r="D961">
        <v>77.975364685000002</v>
      </c>
      <c r="E961">
        <v>50</v>
      </c>
      <c r="F961">
        <v>49.949939727999997</v>
      </c>
      <c r="G961">
        <v>1153.0656738</v>
      </c>
      <c r="H961">
        <v>1024.8265381000001</v>
      </c>
      <c r="I961">
        <v>1828.1685791</v>
      </c>
      <c r="J961">
        <v>1635.6279297000001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555.02737400000001</v>
      </c>
      <c r="B962" s="1">
        <f>DATE(2011,11,7) + TIME(0,39,25)</f>
        <v>40854.027372685188</v>
      </c>
      <c r="C962">
        <v>80</v>
      </c>
      <c r="D962">
        <v>77.902244568</v>
      </c>
      <c r="E962">
        <v>50</v>
      </c>
      <c r="F962">
        <v>49.960220337000003</v>
      </c>
      <c r="G962">
        <v>1147.2832031</v>
      </c>
      <c r="H962">
        <v>1019.0140991</v>
      </c>
      <c r="I962">
        <v>1836.2827147999999</v>
      </c>
      <c r="J962">
        <v>1643.8242187999999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555.44331999999997</v>
      </c>
      <c r="B963" s="1">
        <f>DATE(2011,11,7) + TIME(10,38,22)</f>
        <v>40854.443310185183</v>
      </c>
      <c r="C963">
        <v>80</v>
      </c>
      <c r="D963">
        <v>77.827636718999997</v>
      </c>
      <c r="E963">
        <v>50</v>
      </c>
      <c r="F963">
        <v>49.966831206999998</v>
      </c>
      <c r="G963">
        <v>1141.7202147999999</v>
      </c>
      <c r="H963">
        <v>1013.4206543</v>
      </c>
      <c r="I963">
        <v>1843.9742432</v>
      </c>
      <c r="J963">
        <v>1651.5826416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555.87503000000004</v>
      </c>
      <c r="B964" s="1">
        <f>DATE(2011,11,7) + TIME(21,0,2)</f>
        <v>40854.875023148146</v>
      </c>
      <c r="C964">
        <v>80</v>
      </c>
      <c r="D964">
        <v>77.751205443999993</v>
      </c>
      <c r="E964">
        <v>50</v>
      </c>
      <c r="F964">
        <v>49.970920563</v>
      </c>
      <c r="G964">
        <v>1136.3181152</v>
      </c>
      <c r="H964">
        <v>1007.9876099000001</v>
      </c>
      <c r="I964">
        <v>1851.3334961</v>
      </c>
      <c r="J964">
        <v>1658.9978027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556.32681000000002</v>
      </c>
      <c r="B965" s="1">
        <f>DATE(2011,11,8) + TIME(7,50,36)</f>
        <v>40855.326805555553</v>
      </c>
      <c r="C965">
        <v>80</v>
      </c>
      <c r="D965">
        <v>77.672462463000002</v>
      </c>
      <c r="E965">
        <v>50</v>
      </c>
      <c r="F965">
        <v>49.973270415999998</v>
      </c>
      <c r="G965">
        <v>1131.0280762</v>
      </c>
      <c r="H965">
        <v>1002.6658936</v>
      </c>
      <c r="I965">
        <v>1858.4313964999999</v>
      </c>
      <c r="J965">
        <v>1666.1436768000001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556.80354299999999</v>
      </c>
      <c r="B966" s="1">
        <f>DATE(2011,11,8) + TIME(19,17,6)</f>
        <v>40855.803541666668</v>
      </c>
      <c r="C966">
        <v>80</v>
      </c>
      <c r="D966">
        <v>77.590827942000004</v>
      </c>
      <c r="E966">
        <v>50</v>
      </c>
      <c r="F966">
        <v>49.974430083999998</v>
      </c>
      <c r="G966">
        <v>1125.8068848</v>
      </c>
      <c r="H966">
        <v>997.41217041000004</v>
      </c>
      <c r="I966">
        <v>1865.3275146000001</v>
      </c>
      <c r="J966">
        <v>1673.0820312000001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557.31098799999995</v>
      </c>
      <c r="B967" s="1">
        <f>DATE(2011,11,9) + TIME(7,27,49)</f>
        <v>40856.310983796298</v>
      </c>
      <c r="C967">
        <v>80</v>
      </c>
      <c r="D967">
        <v>77.505584717000005</v>
      </c>
      <c r="E967">
        <v>50</v>
      </c>
      <c r="F967">
        <v>49.974769592000001</v>
      </c>
      <c r="G967">
        <v>1120.6142577999999</v>
      </c>
      <c r="H967">
        <v>992.18585204999999</v>
      </c>
      <c r="I967">
        <v>1872.0745850000001</v>
      </c>
      <c r="J967">
        <v>1679.8670654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557.85613699999999</v>
      </c>
      <c r="B968" s="1">
        <f>DATE(2011,11,9) + TIME(20,32,50)</f>
        <v>40856.856134259258</v>
      </c>
      <c r="C968">
        <v>80</v>
      </c>
      <c r="D968">
        <v>77.415885924999998</v>
      </c>
      <c r="E968">
        <v>50</v>
      </c>
      <c r="F968">
        <v>49.974559784</v>
      </c>
      <c r="G968">
        <v>1115.4110106999999</v>
      </c>
      <c r="H968">
        <v>986.94732666000004</v>
      </c>
      <c r="I968">
        <v>1878.7204589999999</v>
      </c>
      <c r="J968">
        <v>1686.5480957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558.44810399999994</v>
      </c>
      <c r="B969" s="1">
        <f>DATE(2011,11,10) + TIME(10,45,16)</f>
        <v>40857.448101851849</v>
      </c>
      <c r="C969">
        <v>80</v>
      </c>
      <c r="D969">
        <v>77.320632935000006</v>
      </c>
      <c r="E969">
        <v>50</v>
      </c>
      <c r="F969">
        <v>49.973976135000001</v>
      </c>
      <c r="G969">
        <v>1110.1535644999999</v>
      </c>
      <c r="H969">
        <v>981.65270996000004</v>
      </c>
      <c r="I969">
        <v>1885.3153076000001</v>
      </c>
      <c r="J969">
        <v>1693.1759033000001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559.07273999999995</v>
      </c>
      <c r="B970" s="1">
        <f>DATE(2011,11,11) + TIME(1,44,44)</f>
        <v>40858.072731481479</v>
      </c>
      <c r="C970">
        <v>80</v>
      </c>
      <c r="D970">
        <v>77.220672606999997</v>
      </c>
      <c r="E970">
        <v>50</v>
      </c>
      <c r="F970">
        <v>49.973167418999999</v>
      </c>
      <c r="G970">
        <v>1104.9910889</v>
      </c>
      <c r="H970">
        <v>976.45184326000003</v>
      </c>
      <c r="I970">
        <v>1891.6442870999999</v>
      </c>
      <c r="J970">
        <v>1699.5363769999999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559.71571600000004</v>
      </c>
      <c r="B971" s="1">
        <f>DATE(2011,11,11) + TIME(17,10,37)</f>
        <v>40858.71570601852</v>
      </c>
      <c r="C971">
        <v>80</v>
      </c>
      <c r="D971">
        <v>77.117477417000003</v>
      </c>
      <c r="E971">
        <v>50</v>
      </c>
      <c r="F971">
        <v>49.972259520999998</v>
      </c>
      <c r="G971">
        <v>1100.0393065999999</v>
      </c>
      <c r="H971">
        <v>971.46075439000003</v>
      </c>
      <c r="I971">
        <v>1897.5705565999999</v>
      </c>
      <c r="J971">
        <v>1705.4921875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560.37990500000001</v>
      </c>
      <c r="B972" s="1">
        <f>DATE(2011,11,12) + TIME(9,7,3)</f>
        <v>40859.379895833335</v>
      </c>
      <c r="C972">
        <v>80</v>
      </c>
      <c r="D972">
        <v>77.011444092000005</v>
      </c>
      <c r="E972">
        <v>50</v>
      </c>
      <c r="F972">
        <v>49.971340179000002</v>
      </c>
      <c r="G972">
        <v>1095.2702637</v>
      </c>
      <c r="H972">
        <v>966.65136718999997</v>
      </c>
      <c r="I972">
        <v>1903.1571045000001</v>
      </c>
      <c r="J972">
        <v>1711.105957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561.05785800000001</v>
      </c>
      <c r="B973" s="1">
        <f>DATE(2011,11,13) + TIME(1,23,18)</f>
        <v>40860.057847222219</v>
      </c>
      <c r="C973">
        <v>80</v>
      </c>
      <c r="D973">
        <v>76.903511046999995</v>
      </c>
      <c r="E973">
        <v>50</v>
      </c>
      <c r="F973">
        <v>49.970447540000002</v>
      </c>
      <c r="G973">
        <v>1090.7237548999999</v>
      </c>
      <c r="H973">
        <v>962.06390381000006</v>
      </c>
      <c r="I973">
        <v>1908.3636475000001</v>
      </c>
      <c r="J973">
        <v>1716.3376464999999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561.75611500000002</v>
      </c>
      <c r="B974" s="1">
        <f>DATE(2011,11,13) + TIME(18,8,48)</f>
        <v>40860.756111111114</v>
      </c>
      <c r="C974">
        <v>80</v>
      </c>
      <c r="D974">
        <v>76.793571471999996</v>
      </c>
      <c r="E974">
        <v>50</v>
      </c>
      <c r="F974">
        <v>49.969604492000002</v>
      </c>
      <c r="G974">
        <v>1086.3477783000001</v>
      </c>
      <c r="H974">
        <v>957.64611816000001</v>
      </c>
      <c r="I974">
        <v>1913.2720947</v>
      </c>
      <c r="J974">
        <v>1721.269043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562.48097399999995</v>
      </c>
      <c r="B975" s="1">
        <f>DATE(2011,11,14) + TIME(11,32,36)</f>
        <v>40861.48097222222</v>
      </c>
      <c r="C975">
        <v>80</v>
      </c>
      <c r="D975">
        <v>76.681159973000007</v>
      </c>
      <c r="E975">
        <v>50</v>
      </c>
      <c r="F975">
        <v>49.968811035000002</v>
      </c>
      <c r="G975">
        <v>1082.1015625</v>
      </c>
      <c r="H975">
        <v>953.35717772999999</v>
      </c>
      <c r="I975">
        <v>1917.9367675999999</v>
      </c>
      <c r="J975">
        <v>1725.9550781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563.23427200000003</v>
      </c>
      <c r="B976" s="1">
        <f>DATE(2011,11,15) + TIME(5,37,21)</f>
        <v>40862.234270833331</v>
      </c>
      <c r="C976">
        <v>80</v>
      </c>
      <c r="D976">
        <v>76.565963745000005</v>
      </c>
      <c r="E976">
        <v>50</v>
      </c>
      <c r="F976">
        <v>49.968070984000001</v>
      </c>
      <c r="G976">
        <v>1077.9755858999999</v>
      </c>
      <c r="H976">
        <v>949.18743896000001</v>
      </c>
      <c r="I976">
        <v>1922.3695068</v>
      </c>
      <c r="J976">
        <v>1730.4078368999999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564.02509999999995</v>
      </c>
      <c r="B977" s="1">
        <f>DATE(2011,11,16) + TIME(0,36,8)</f>
        <v>40863.025092592594</v>
      </c>
      <c r="C977">
        <v>80</v>
      </c>
      <c r="D977">
        <v>76.447189331000004</v>
      </c>
      <c r="E977">
        <v>50</v>
      </c>
      <c r="F977">
        <v>49.967376709</v>
      </c>
      <c r="G977">
        <v>1073.9283447</v>
      </c>
      <c r="H977">
        <v>945.09503173999997</v>
      </c>
      <c r="I977">
        <v>1926.6219481999999</v>
      </c>
      <c r="J977">
        <v>1734.6790771000001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564.86377300000004</v>
      </c>
      <c r="B978" s="1">
        <f>DATE(2011,11,16) + TIME(20,43,50)</f>
        <v>40863.86377314815</v>
      </c>
      <c r="C978">
        <v>80</v>
      </c>
      <c r="D978">
        <v>76.323745728000006</v>
      </c>
      <c r="E978">
        <v>50</v>
      </c>
      <c r="F978">
        <v>49.966728209999999</v>
      </c>
      <c r="G978">
        <v>1069.9230957</v>
      </c>
      <c r="H978">
        <v>941.04272461000005</v>
      </c>
      <c r="I978">
        <v>1930.7333983999999</v>
      </c>
      <c r="J978">
        <v>1738.8082274999999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565.76338899999996</v>
      </c>
      <c r="B979" s="1">
        <f>DATE(2011,11,17) + TIME(18,19,16)</f>
        <v>40864.763379629629</v>
      </c>
      <c r="C979">
        <v>80</v>
      </c>
      <c r="D979">
        <v>76.194259643999999</v>
      </c>
      <c r="E979">
        <v>50</v>
      </c>
      <c r="F979">
        <v>49.966114044000001</v>
      </c>
      <c r="G979">
        <v>1065.9222411999999</v>
      </c>
      <c r="H979">
        <v>936.99237060999997</v>
      </c>
      <c r="I979">
        <v>1934.7397461</v>
      </c>
      <c r="J979">
        <v>1742.8316649999999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566.22780699999998</v>
      </c>
      <c r="B980" s="1">
        <f>DATE(2011,11,18) + TIME(5,28,2)</f>
        <v>40865.227800925924</v>
      </c>
      <c r="C980">
        <v>80</v>
      </c>
      <c r="D980">
        <v>76.101654053000004</v>
      </c>
      <c r="E980">
        <v>50</v>
      </c>
      <c r="F980">
        <v>49.965621947999999</v>
      </c>
      <c r="G980">
        <v>1063.8789062000001</v>
      </c>
      <c r="H980">
        <v>934.91888428000004</v>
      </c>
      <c r="I980">
        <v>1936.4997559000001</v>
      </c>
      <c r="J980">
        <v>1744.6074219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567.15664200000003</v>
      </c>
      <c r="B981" s="1">
        <f>DATE(2011,11,19) + TIME(3,45,33)</f>
        <v>40866.156631944446</v>
      </c>
      <c r="C981">
        <v>80</v>
      </c>
      <c r="D981">
        <v>75.980255127000007</v>
      </c>
      <c r="E981">
        <v>50</v>
      </c>
      <c r="F981">
        <v>49.965267181000002</v>
      </c>
      <c r="G981">
        <v>1060.1904297000001</v>
      </c>
      <c r="H981">
        <v>931.17657470999995</v>
      </c>
      <c r="I981">
        <v>1940.1722411999999</v>
      </c>
      <c r="J981">
        <v>1748.2886963000001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568.087717</v>
      </c>
      <c r="B982" s="1">
        <f>DATE(2011,11,20) + TIME(2,6,18)</f>
        <v>40867.087708333333</v>
      </c>
      <c r="C982">
        <v>80</v>
      </c>
      <c r="D982">
        <v>75.850326538000004</v>
      </c>
      <c r="E982">
        <v>50</v>
      </c>
      <c r="F982">
        <v>49.964817046999997</v>
      </c>
      <c r="G982">
        <v>1056.6990966999999</v>
      </c>
      <c r="H982">
        <v>927.63598633000004</v>
      </c>
      <c r="I982">
        <v>1943.4273682</v>
      </c>
      <c r="J982">
        <v>1751.5577393000001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569.03571599999998</v>
      </c>
      <c r="B983" s="1">
        <f>DATE(2011,11,21) + TIME(0,51,25)</f>
        <v>40868.03570601852</v>
      </c>
      <c r="C983">
        <v>80</v>
      </c>
      <c r="D983">
        <v>75.716270446999999</v>
      </c>
      <c r="E983">
        <v>50</v>
      </c>
      <c r="F983">
        <v>49.964385986000003</v>
      </c>
      <c r="G983">
        <v>1053.3664550999999</v>
      </c>
      <c r="H983">
        <v>924.25115966999999</v>
      </c>
      <c r="I983">
        <v>1946.4157714999999</v>
      </c>
      <c r="J983">
        <v>1754.559082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570.01176199999998</v>
      </c>
      <c r="B984" s="1">
        <f>DATE(2011,11,22) + TIME(0,16,56)</f>
        <v>40869.011759259258</v>
      </c>
      <c r="C984">
        <v>80</v>
      </c>
      <c r="D984">
        <v>75.579109192000004</v>
      </c>
      <c r="E984">
        <v>50</v>
      </c>
      <c r="F984">
        <v>49.964000702</v>
      </c>
      <c r="G984">
        <v>1050.1506348</v>
      </c>
      <c r="H984">
        <v>920.98095703000001</v>
      </c>
      <c r="I984">
        <v>1949.2064209</v>
      </c>
      <c r="J984">
        <v>1757.3615723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571.02758200000005</v>
      </c>
      <c r="B985" s="1">
        <f>DATE(2011,11,23) + TIME(0,39,43)</f>
        <v>40870.027581018519</v>
      </c>
      <c r="C985">
        <v>80</v>
      </c>
      <c r="D985">
        <v>75.438484192000004</v>
      </c>
      <c r="E985">
        <v>50</v>
      </c>
      <c r="F985">
        <v>49.963653563999998</v>
      </c>
      <c r="G985">
        <v>1047.0161132999999</v>
      </c>
      <c r="H985">
        <v>917.78985595999995</v>
      </c>
      <c r="I985">
        <v>1951.8397216999999</v>
      </c>
      <c r="J985">
        <v>1760.0059814000001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572.09637799999996</v>
      </c>
      <c r="B986" s="1">
        <f>DATE(2011,11,24) + TIME(2,18,47)</f>
        <v>40871.096377314818</v>
      </c>
      <c r="C986">
        <v>80</v>
      </c>
      <c r="D986">
        <v>75.293365479000002</v>
      </c>
      <c r="E986">
        <v>50</v>
      </c>
      <c r="F986">
        <v>49.963336945000002</v>
      </c>
      <c r="G986">
        <v>1043.9315185999999</v>
      </c>
      <c r="H986">
        <v>914.64587401999995</v>
      </c>
      <c r="I986">
        <v>1954.3441161999999</v>
      </c>
      <c r="J986">
        <v>1762.5207519999999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573.228925</v>
      </c>
      <c r="B987" s="1">
        <f>DATE(2011,11,25) + TIME(5,29,39)</f>
        <v>40872.22892361111</v>
      </c>
      <c r="C987">
        <v>80</v>
      </c>
      <c r="D987">
        <v>75.142486571999996</v>
      </c>
      <c r="E987">
        <v>50</v>
      </c>
      <c r="F987">
        <v>49.963047027999998</v>
      </c>
      <c r="G987">
        <v>1040.8790283000001</v>
      </c>
      <c r="H987">
        <v>911.53057861000002</v>
      </c>
      <c r="I987">
        <v>1956.7297363</v>
      </c>
      <c r="J987">
        <v>1764.9161377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574.42378299999996</v>
      </c>
      <c r="B988" s="1">
        <f>DATE(2011,11,26) + TIME(10,10,14)</f>
        <v>40873.423773148148</v>
      </c>
      <c r="C988">
        <v>80</v>
      </c>
      <c r="D988">
        <v>74.985198975000003</v>
      </c>
      <c r="E988">
        <v>50</v>
      </c>
      <c r="F988">
        <v>49.962779998999999</v>
      </c>
      <c r="G988">
        <v>1037.8735352000001</v>
      </c>
      <c r="H988">
        <v>908.45831298999997</v>
      </c>
      <c r="I988">
        <v>1958.9752197</v>
      </c>
      <c r="J988">
        <v>1767.1710204999999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575.62318600000003</v>
      </c>
      <c r="B989" s="1">
        <f>DATE(2011,11,27) + TIME(14,57,23)</f>
        <v>40874.623182870368</v>
      </c>
      <c r="C989">
        <v>80</v>
      </c>
      <c r="D989">
        <v>74.824150084999999</v>
      </c>
      <c r="E989">
        <v>50</v>
      </c>
      <c r="F989">
        <v>49.962532043000003</v>
      </c>
      <c r="G989">
        <v>1035.0427245999999</v>
      </c>
      <c r="H989">
        <v>905.55786133000004</v>
      </c>
      <c r="I989">
        <v>1960.9638672000001</v>
      </c>
      <c r="J989">
        <v>1769.168457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576.83381499999996</v>
      </c>
      <c r="B990" s="1">
        <f>DATE(2011,11,28) + TIME(20,0,41)</f>
        <v>40875.833807870367</v>
      </c>
      <c r="C990">
        <v>80</v>
      </c>
      <c r="D990">
        <v>74.661972046000002</v>
      </c>
      <c r="E990">
        <v>50</v>
      </c>
      <c r="F990">
        <v>49.962318420000003</v>
      </c>
      <c r="G990">
        <v>1032.3629149999999</v>
      </c>
      <c r="H990">
        <v>902.80572510000002</v>
      </c>
      <c r="I990">
        <v>1962.7464600000001</v>
      </c>
      <c r="J990">
        <v>1770.9588623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578.06252900000004</v>
      </c>
      <c r="B991" s="1">
        <f>DATE(2011,11,30) + TIME(1,30,2)</f>
        <v>40877.062523148146</v>
      </c>
      <c r="C991">
        <v>80</v>
      </c>
      <c r="D991">
        <v>74.499099731000001</v>
      </c>
      <c r="E991">
        <v>50</v>
      </c>
      <c r="F991">
        <v>49.962139129999997</v>
      </c>
      <c r="G991">
        <v>1029.8103027</v>
      </c>
      <c r="H991">
        <v>900.17816161999997</v>
      </c>
      <c r="I991">
        <v>1964.3537598</v>
      </c>
      <c r="J991">
        <v>1772.5733643000001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579</v>
      </c>
      <c r="B992" s="1">
        <f>DATE(2011,12,1) + TIME(0,0,0)</f>
        <v>40878</v>
      </c>
      <c r="C992">
        <v>80</v>
      </c>
      <c r="D992">
        <v>74.353912354000002</v>
      </c>
      <c r="E992">
        <v>50</v>
      </c>
      <c r="F992">
        <v>49.961956024000003</v>
      </c>
      <c r="G992">
        <v>1027.9041748</v>
      </c>
      <c r="H992">
        <v>898.20489501999998</v>
      </c>
      <c r="I992">
        <v>1965.3856201000001</v>
      </c>
      <c r="J992">
        <v>1773.6114502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580.25938599999995</v>
      </c>
      <c r="B993" s="1">
        <f>DATE(2011,12,2) + TIME(6,13,30)</f>
        <v>40879.259375000001</v>
      </c>
      <c r="C993">
        <v>80</v>
      </c>
      <c r="D993">
        <v>74.203224182</v>
      </c>
      <c r="E993">
        <v>50</v>
      </c>
      <c r="F993">
        <v>49.961887359999999</v>
      </c>
      <c r="G993">
        <v>1025.5878906</v>
      </c>
      <c r="H993">
        <v>895.81182861000002</v>
      </c>
      <c r="I993">
        <v>1966.7666016000001</v>
      </c>
      <c r="J993">
        <v>1774.9973144999999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581.60838000000001</v>
      </c>
      <c r="B994" s="1">
        <f>DATE(2011,12,3) + TIME(14,36,4)</f>
        <v>40880.60837962963</v>
      </c>
      <c r="C994">
        <v>80</v>
      </c>
      <c r="D994">
        <v>74.040245056000003</v>
      </c>
      <c r="E994">
        <v>50</v>
      </c>
      <c r="F994">
        <v>49.961784363</v>
      </c>
      <c r="G994">
        <v>1023.2449951</v>
      </c>
      <c r="H994">
        <v>893.38714600000003</v>
      </c>
      <c r="I994">
        <v>1968.0488281</v>
      </c>
      <c r="J994">
        <v>1776.2849120999999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583.02947300000005</v>
      </c>
      <c r="B995" s="1">
        <f>DATE(2011,12,5) + TIME(0,42,26)</f>
        <v>40882.029467592591</v>
      </c>
      <c r="C995">
        <v>80</v>
      </c>
      <c r="D995">
        <v>73.867134093999994</v>
      </c>
      <c r="E995">
        <v>50</v>
      </c>
      <c r="F995">
        <v>49.961673736999998</v>
      </c>
      <c r="G995">
        <v>1020.9260254</v>
      </c>
      <c r="H995">
        <v>890.97802734000004</v>
      </c>
      <c r="I995">
        <v>1969.2049560999999</v>
      </c>
      <c r="J995">
        <v>1777.4464111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584.47502799999995</v>
      </c>
      <c r="B996" s="1">
        <f>DATE(2011,12,6) + TIME(11,24,2)</f>
        <v>40883.475023148145</v>
      </c>
      <c r="C996">
        <v>80</v>
      </c>
      <c r="D996">
        <v>73.687538146999998</v>
      </c>
      <c r="E996">
        <v>50</v>
      </c>
      <c r="F996">
        <v>49.961574554000002</v>
      </c>
      <c r="G996">
        <v>1018.6989746</v>
      </c>
      <c r="H996">
        <v>888.65362548999997</v>
      </c>
      <c r="I996">
        <v>1970.1973877</v>
      </c>
      <c r="J996">
        <v>1778.4438477000001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585.924531</v>
      </c>
      <c r="B997" s="1">
        <f>DATE(2011,12,7) + TIME(22,11,19)</f>
        <v>40884.924525462964</v>
      </c>
      <c r="C997">
        <v>80</v>
      </c>
      <c r="D997">
        <v>73.505538939999994</v>
      </c>
      <c r="E997">
        <v>50</v>
      </c>
      <c r="F997">
        <v>49.961490630999997</v>
      </c>
      <c r="G997">
        <v>1016.5862427</v>
      </c>
      <c r="H997">
        <v>886.43768310999997</v>
      </c>
      <c r="I997">
        <v>1971.0338135</v>
      </c>
      <c r="J997">
        <v>1779.2847899999999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587.39496099999997</v>
      </c>
      <c r="B998" s="1">
        <f>DATE(2011,12,9) + TIME(9,28,44)</f>
        <v>40886.394953703704</v>
      </c>
      <c r="C998">
        <v>80</v>
      </c>
      <c r="D998">
        <v>73.322593689000001</v>
      </c>
      <c r="E998">
        <v>50</v>
      </c>
      <c r="F998">
        <v>49.961429596000002</v>
      </c>
      <c r="G998">
        <v>1014.5611572</v>
      </c>
      <c r="H998">
        <v>884.30395508000004</v>
      </c>
      <c r="I998">
        <v>1971.7485352000001</v>
      </c>
      <c r="J998">
        <v>1780.0035399999999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588.90328999999997</v>
      </c>
      <c r="B999" s="1">
        <f>DATE(2011,12,10) + TIME(21,40,44)</f>
        <v>40887.903287037036</v>
      </c>
      <c r="C999">
        <v>80</v>
      </c>
      <c r="D999">
        <v>73.137825011999993</v>
      </c>
      <c r="E999">
        <v>50</v>
      </c>
      <c r="F999">
        <v>49.961387633999998</v>
      </c>
      <c r="G999">
        <v>1012.5978394</v>
      </c>
      <c r="H999">
        <v>882.22564696999996</v>
      </c>
      <c r="I999">
        <v>1972.3601074000001</v>
      </c>
      <c r="J999">
        <v>1780.6187743999999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590.46740399999999</v>
      </c>
      <c r="B1000" s="1">
        <f>DATE(2011,12,12) + TIME(11,13,3)</f>
        <v>40889.467395833337</v>
      </c>
      <c r="C1000">
        <v>80</v>
      </c>
      <c r="D1000">
        <v>72.949539185000006</v>
      </c>
      <c r="E1000">
        <v>50</v>
      </c>
      <c r="F1000">
        <v>49.961360931000002</v>
      </c>
      <c r="G1000">
        <v>1010.6728515999999</v>
      </c>
      <c r="H1000">
        <v>880.17797852000001</v>
      </c>
      <c r="I1000">
        <v>1972.8796387</v>
      </c>
      <c r="J1000">
        <v>1781.1418457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592.10755099999994</v>
      </c>
      <c r="B1001" s="1">
        <f>DATE(2011,12,14) + TIME(2,34,52)</f>
        <v>40891.107546296298</v>
      </c>
      <c r="C1001">
        <v>80</v>
      </c>
      <c r="D1001">
        <v>72.755676269999995</v>
      </c>
      <c r="E1001">
        <v>50</v>
      </c>
      <c r="F1001">
        <v>49.961345672999997</v>
      </c>
      <c r="G1001">
        <v>1008.7642212</v>
      </c>
      <c r="H1001">
        <v>878.13671875</v>
      </c>
      <c r="I1001">
        <v>1973.3138428</v>
      </c>
      <c r="J1001">
        <v>1781.5792236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592.96732899999995</v>
      </c>
      <c r="B1002" s="1">
        <f>DATE(2011,12,14) + TIME(23,12,57)</f>
        <v>40891.967326388891</v>
      </c>
      <c r="C1002">
        <v>80</v>
      </c>
      <c r="D1002">
        <v>72.602836608999993</v>
      </c>
      <c r="E1002">
        <v>50</v>
      </c>
      <c r="F1002">
        <v>49.961242675999998</v>
      </c>
      <c r="G1002">
        <v>1007.6322021</v>
      </c>
      <c r="H1002">
        <v>876.89648437999995</v>
      </c>
      <c r="I1002">
        <v>1973.3826904</v>
      </c>
      <c r="J1002">
        <v>1781.6505127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593.82710699999996</v>
      </c>
      <c r="B1003" s="1">
        <f>DATE(2011,12,15) + TIME(19,51,2)</f>
        <v>40892.827106481483</v>
      </c>
      <c r="C1003">
        <v>80</v>
      </c>
      <c r="D1003">
        <v>72.474906920999999</v>
      </c>
      <c r="E1003">
        <v>50</v>
      </c>
      <c r="F1003">
        <v>49.961227417000003</v>
      </c>
      <c r="G1003">
        <v>1006.6151733</v>
      </c>
      <c r="H1003">
        <v>875.78161621000004</v>
      </c>
      <c r="I1003">
        <v>1973.4769286999999</v>
      </c>
      <c r="J1003">
        <v>1781.7463379000001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594.68688499999996</v>
      </c>
      <c r="B1004" s="1">
        <f>DATE(2011,12,16) + TIME(16,29,6)</f>
        <v>40893.686874999999</v>
      </c>
      <c r="C1004">
        <v>80</v>
      </c>
      <c r="D1004">
        <v>72.359085082999997</v>
      </c>
      <c r="E1004">
        <v>50</v>
      </c>
      <c r="F1004">
        <v>49.961250305</v>
      </c>
      <c r="G1004">
        <v>1005.6414185</v>
      </c>
      <c r="H1004">
        <v>874.71740723000005</v>
      </c>
      <c r="I1004">
        <v>1973.5819091999999</v>
      </c>
      <c r="J1004">
        <v>1781.8527832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596.40643999999998</v>
      </c>
      <c r="B1005" s="1">
        <f>DATE(2011,12,18) + TIME(9,45,16)</f>
        <v>40895.406435185185</v>
      </c>
      <c r="C1005">
        <v>80</v>
      </c>
      <c r="D1005">
        <v>72.214462280000006</v>
      </c>
      <c r="E1005">
        <v>50</v>
      </c>
      <c r="F1005">
        <v>49.961387633999998</v>
      </c>
      <c r="G1005">
        <v>1004.0272827</v>
      </c>
      <c r="H1005">
        <v>872.98748779000005</v>
      </c>
      <c r="I1005">
        <v>1973.9161377</v>
      </c>
      <c r="J1005">
        <v>1782.1885986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598.13514099999998</v>
      </c>
      <c r="B1006" s="1">
        <f>DATE(2011,12,20) + TIME(3,14,36)</f>
        <v>40897.135138888887</v>
      </c>
      <c r="C1006">
        <v>80</v>
      </c>
      <c r="D1006">
        <v>72.027099609000004</v>
      </c>
      <c r="E1006">
        <v>50</v>
      </c>
      <c r="F1006">
        <v>49.961399077999999</v>
      </c>
      <c r="G1006">
        <v>1002.3432617</v>
      </c>
      <c r="H1006">
        <v>871.15087890999996</v>
      </c>
      <c r="I1006">
        <v>1974.0733643000001</v>
      </c>
      <c r="J1006">
        <v>1782.3481445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599.91410199999996</v>
      </c>
      <c r="B1007" s="1">
        <f>DATE(2011,12,21) + TIME(21,56,18)</f>
        <v>40898.914097222223</v>
      </c>
      <c r="C1007">
        <v>80</v>
      </c>
      <c r="D1007">
        <v>71.824462890999996</v>
      </c>
      <c r="E1007">
        <v>50</v>
      </c>
      <c r="F1007">
        <v>49.961406707999998</v>
      </c>
      <c r="G1007">
        <v>1000.6609496999999</v>
      </c>
      <c r="H1007">
        <v>869.29302978999999</v>
      </c>
      <c r="I1007">
        <v>1974.1291504000001</v>
      </c>
      <c r="J1007">
        <v>1782.4060059000001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601.76474499999995</v>
      </c>
      <c r="B1008" s="1">
        <f>DATE(2011,12,23) + TIME(18,21,13)</f>
        <v>40900.764733796299</v>
      </c>
      <c r="C1008">
        <v>80</v>
      </c>
      <c r="D1008">
        <v>71.612579346000004</v>
      </c>
      <c r="E1008">
        <v>50</v>
      </c>
      <c r="F1008">
        <v>49.961433411000002</v>
      </c>
      <c r="G1008">
        <v>998.97180175999995</v>
      </c>
      <c r="H1008">
        <v>867.41021728999999</v>
      </c>
      <c r="I1008">
        <v>1974.1114502</v>
      </c>
      <c r="J1008">
        <v>1782.3902588000001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603.68893700000001</v>
      </c>
      <c r="B1009" s="1">
        <f>DATE(2011,12,25) + TIME(16,32,4)</f>
        <v>40902.688935185186</v>
      </c>
      <c r="C1009">
        <v>80</v>
      </c>
      <c r="D1009">
        <v>71.392288207999997</v>
      </c>
      <c r="E1009">
        <v>50</v>
      </c>
      <c r="F1009">
        <v>49.961475372000002</v>
      </c>
      <c r="G1009">
        <v>997.27197265999996</v>
      </c>
      <c r="H1009">
        <v>865.49810791000004</v>
      </c>
      <c r="I1009">
        <v>1974.0266113</v>
      </c>
      <c r="J1009">
        <v>1782.307251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605.69572100000005</v>
      </c>
      <c r="B1010" s="1">
        <f>DATE(2011,12,27) + TIME(16,41,50)</f>
        <v>40904.695717592593</v>
      </c>
      <c r="C1010">
        <v>80</v>
      </c>
      <c r="D1010">
        <v>71.163543700999995</v>
      </c>
      <c r="E1010">
        <v>50</v>
      </c>
      <c r="F1010">
        <v>49.961528778000002</v>
      </c>
      <c r="G1010">
        <v>995.55358887</v>
      </c>
      <c r="H1010">
        <v>863.546875</v>
      </c>
      <c r="I1010">
        <v>1973.8790283000001</v>
      </c>
      <c r="J1010">
        <v>1782.1612548999999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607.715059</v>
      </c>
      <c r="B1011" s="1">
        <f>DATE(2011,12,29) + TIME(17,9,41)</f>
        <v>40906.715057870373</v>
      </c>
      <c r="C1011">
        <v>80</v>
      </c>
      <c r="D1011">
        <v>70.928131104000002</v>
      </c>
      <c r="E1011">
        <v>50</v>
      </c>
      <c r="F1011">
        <v>49.961585999</v>
      </c>
      <c r="G1011">
        <v>993.84680175999995</v>
      </c>
      <c r="H1011">
        <v>861.58648682</v>
      </c>
      <c r="I1011">
        <v>1973.6683350000001</v>
      </c>
      <c r="J1011">
        <v>1781.9522704999999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609.76466400000004</v>
      </c>
      <c r="B1012" s="1">
        <f>DATE(2011,12,31) + TIME(18,21,6)</f>
        <v>40908.764652777776</v>
      </c>
      <c r="C1012">
        <v>80</v>
      </c>
      <c r="D1012">
        <v>70.689392089999998</v>
      </c>
      <c r="E1012">
        <v>50</v>
      </c>
      <c r="F1012">
        <v>49.961650847999998</v>
      </c>
      <c r="G1012">
        <v>992.15020751999998</v>
      </c>
      <c r="H1012">
        <v>859.61767578000001</v>
      </c>
      <c r="I1012">
        <v>1973.4102783000001</v>
      </c>
      <c r="J1012">
        <v>1781.6955565999999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610</v>
      </c>
      <c r="B1013" s="1">
        <f>DATE(2012,1,1) + TIME(0,0,0)</f>
        <v>40909</v>
      </c>
      <c r="C1013">
        <v>80</v>
      </c>
      <c r="D1013">
        <v>70.612892150999997</v>
      </c>
      <c r="E1013">
        <v>50</v>
      </c>
      <c r="F1013">
        <v>49.961601256999998</v>
      </c>
      <c r="G1013">
        <v>991.65118408000001</v>
      </c>
      <c r="H1013">
        <v>859.01336670000001</v>
      </c>
      <c r="I1013">
        <v>1973.333374</v>
      </c>
      <c r="J1013">
        <v>1781.6193848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612.08054000000004</v>
      </c>
      <c r="B1014" s="1">
        <f>DATE(2012,1,3) + TIME(1,55,58)</f>
        <v>40911.08053240741</v>
      </c>
      <c r="C1014">
        <v>80</v>
      </c>
      <c r="D1014">
        <v>70.405540466000005</v>
      </c>
      <c r="E1014">
        <v>50</v>
      </c>
      <c r="F1014">
        <v>49.961723327999998</v>
      </c>
      <c r="G1014">
        <v>990.21942138999998</v>
      </c>
      <c r="H1014">
        <v>857.34124756000006</v>
      </c>
      <c r="I1014">
        <v>1973.0474853999999</v>
      </c>
      <c r="J1014">
        <v>1781.3343506000001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614.22471900000005</v>
      </c>
      <c r="B1015" s="1">
        <f>DATE(2012,1,5) + TIME(5,23,35)</f>
        <v>40913.224710648145</v>
      </c>
      <c r="C1015">
        <v>80</v>
      </c>
      <c r="D1015">
        <v>70.168495178000001</v>
      </c>
      <c r="E1015">
        <v>50</v>
      </c>
      <c r="F1015">
        <v>49.961818694999998</v>
      </c>
      <c r="G1015">
        <v>988.53753661999997</v>
      </c>
      <c r="H1015">
        <v>855.35693359000004</v>
      </c>
      <c r="I1015">
        <v>1972.7287598</v>
      </c>
      <c r="J1015">
        <v>1781.0168457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616.45115899999996</v>
      </c>
      <c r="B1016" s="1">
        <f>DATE(2012,1,7) + TIME(10,49,40)</f>
        <v>40915.451157407406</v>
      </c>
      <c r="C1016">
        <v>80</v>
      </c>
      <c r="D1016">
        <v>69.916542053000001</v>
      </c>
      <c r="E1016">
        <v>50</v>
      </c>
      <c r="F1016">
        <v>49.961906433000003</v>
      </c>
      <c r="G1016">
        <v>986.79821776999995</v>
      </c>
      <c r="H1016">
        <v>853.27789307</v>
      </c>
      <c r="I1016">
        <v>1972.3612060999999</v>
      </c>
      <c r="J1016">
        <v>1780.6503906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618.71322299999997</v>
      </c>
      <c r="B1017" s="1">
        <f>DATE(2012,1,9) + TIME(17,7,2)</f>
        <v>40917.713217592594</v>
      </c>
      <c r="C1017">
        <v>80</v>
      </c>
      <c r="D1017">
        <v>69.653945922999995</v>
      </c>
      <c r="E1017">
        <v>50</v>
      </c>
      <c r="F1017">
        <v>49.961994171000001</v>
      </c>
      <c r="G1017">
        <v>985.02276611000002</v>
      </c>
      <c r="H1017">
        <v>851.12945557</v>
      </c>
      <c r="I1017">
        <v>1971.9558105000001</v>
      </c>
      <c r="J1017">
        <v>1780.2459716999999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621.00276599999995</v>
      </c>
      <c r="B1018" s="1">
        <f>DATE(2012,1,12) + TIME(0,3,58)</f>
        <v>40920.002754629626</v>
      </c>
      <c r="C1018">
        <v>80</v>
      </c>
      <c r="D1018">
        <v>69.384666443</v>
      </c>
      <c r="E1018">
        <v>50</v>
      </c>
      <c r="F1018">
        <v>49.962085723999998</v>
      </c>
      <c r="G1018">
        <v>983.22283935999997</v>
      </c>
      <c r="H1018">
        <v>848.92687988</v>
      </c>
      <c r="I1018">
        <v>1971.5236815999999</v>
      </c>
      <c r="J1018">
        <v>1779.8148193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623.34421799999996</v>
      </c>
      <c r="B1019" s="1">
        <f>DATE(2012,1,14) + TIME(8,15,40)</f>
        <v>40922.344212962962</v>
      </c>
      <c r="C1019">
        <v>80</v>
      </c>
      <c r="D1019">
        <v>69.109184264999996</v>
      </c>
      <c r="E1019">
        <v>50</v>
      </c>
      <c r="F1019">
        <v>49.962181090999998</v>
      </c>
      <c r="G1019">
        <v>981.38922118999994</v>
      </c>
      <c r="H1019">
        <v>846.66033935999997</v>
      </c>
      <c r="I1019">
        <v>1971.0701904</v>
      </c>
      <c r="J1019">
        <v>1779.3620605000001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625.72988599999996</v>
      </c>
      <c r="B1020" s="1">
        <f>DATE(2012,1,16) + TIME(17,31,2)</f>
        <v>40924.729884259257</v>
      </c>
      <c r="C1020">
        <v>80</v>
      </c>
      <c r="D1020">
        <v>68.826263428000004</v>
      </c>
      <c r="E1020">
        <v>50</v>
      </c>
      <c r="F1020">
        <v>49.962284087999997</v>
      </c>
      <c r="G1020">
        <v>979.51318359000004</v>
      </c>
      <c r="H1020">
        <v>844.31762694999998</v>
      </c>
      <c r="I1020">
        <v>1970.5979004000001</v>
      </c>
      <c r="J1020">
        <v>1778.890625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628.17901099999995</v>
      </c>
      <c r="B1021" s="1">
        <f>DATE(2012,1,19) + TIME(4,17,46)</f>
        <v>40927.17900462963</v>
      </c>
      <c r="C1021">
        <v>80</v>
      </c>
      <c r="D1021">
        <v>68.535034179999997</v>
      </c>
      <c r="E1021">
        <v>50</v>
      </c>
      <c r="F1021">
        <v>49.962390900000003</v>
      </c>
      <c r="G1021">
        <v>977.58459473000005</v>
      </c>
      <c r="H1021">
        <v>841.88562012</v>
      </c>
      <c r="I1021">
        <v>1970.1083983999999</v>
      </c>
      <c r="J1021">
        <v>1778.4018555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630.70856700000002</v>
      </c>
      <c r="B1022" s="1">
        <f>DATE(2012,1,21) + TIME(17,0,20)</f>
        <v>40929.708564814813</v>
      </c>
      <c r="C1022">
        <v>80</v>
      </c>
      <c r="D1022">
        <v>68.233192443999997</v>
      </c>
      <c r="E1022">
        <v>50</v>
      </c>
      <c r="F1022">
        <v>49.962501525999997</v>
      </c>
      <c r="G1022">
        <v>975.58636475000003</v>
      </c>
      <c r="H1022">
        <v>839.34149170000001</v>
      </c>
      <c r="I1022">
        <v>1969.6015625</v>
      </c>
      <c r="J1022">
        <v>1777.8957519999999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633.25058999999999</v>
      </c>
      <c r="B1023" s="1">
        <f>DATE(2012,1,24) + TIME(6,0,50)</f>
        <v>40932.250578703701</v>
      </c>
      <c r="C1023">
        <v>80</v>
      </c>
      <c r="D1023">
        <v>67.920684813999998</v>
      </c>
      <c r="E1023">
        <v>50</v>
      </c>
      <c r="F1023">
        <v>49.962612151999998</v>
      </c>
      <c r="G1023">
        <v>973.52673340000001</v>
      </c>
      <c r="H1023">
        <v>836.69042968999997</v>
      </c>
      <c r="I1023">
        <v>1969.0841064000001</v>
      </c>
      <c r="J1023">
        <v>1777.3789062000001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635.80910100000006</v>
      </c>
      <c r="B1024" s="1">
        <f>DATE(2012,1,26) + TIME(19,25,6)</f>
        <v>40934.80909722222</v>
      </c>
      <c r="C1024">
        <v>80</v>
      </c>
      <c r="D1024">
        <v>67.601242064999994</v>
      </c>
      <c r="E1024">
        <v>50</v>
      </c>
      <c r="F1024">
        <v>49.962722778</v>
      </c>
      <c r="G1024">
        <v>971.42333984000004</v>
      </c>
      <c r="H1024">
        <v>833.95581055000002</v>
      </c>
      <c r="I1024">
        <v>1968.5623779</v>
      </c>
      <c r="J1024">
        <v>1776.8576660000001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638.40804100000003</v>
      </c>
      <c r="B1025" s="1">
        <f>DATE(2012,1,29) + TIME(9,47,34)</f>
        <v>40937.408032407409</v>
      </c>
      <c r="C1025">
        <v>80</v>
      </c>
      <c r="D1025">
        <v>67.274543761999993</v>
      </c>
      <c r="E1025">
        <v>50</v>
      </c>
      <c r="F1025">
        <v>49.962837219000001</v>
      </c>
      <c r="G1025">
        <v>969.26702881000006</v>
      </c>
      <c r="H1025">
        <v>831.12738036999997</v>
      </c>
      <c r="I1025">
        <v>1968.0375977000001</v>
      </c>
      <c r="J1025">
        <v>1776.3334961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641</v>
      </c>
      <c r="B1026" s="1">
        <f>DATE(2012,2,1) + TIME(0,0,0)</f>
        <v>40940</v>
      </c>
      <c r="C1026">
        <v>80</v>
      </c>
      <c r="D1026">
        <v>66.939781189000001</v>
      </c>
      <c r="E1026">
        <v>50</v>
      </c>
      <c r="F1026">
        <v>49.962951660000002</v>
      </c>
      <c r="G1026">
        <v>967.05889893000005</v>
      </c>
      <c r="H1026">
        <v>828.203125</v>
      </c>
      <c r="I1026">
        <v>1967.5148925999999</v>
      </c>
      <c r="J1026">
        <v>1775.8112793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643.66391399999998</v>
      </c>
      <c r="B1027" s="1">
        <f>DATE(2012,2,3) + TIME(15,56,2)</f>
        <v>40942.663912037038</v>
      </c>
      <c r="C1027">
        <v>80</v>
      </c>
      <c r="D1027">
        <v>66.597244262999993</v>
      </c>
      <c r="E1027">
        <v>50</v>
      </c>
      <c r="F1027">
        <v>49.963069916000002</v>
      </c>
      <c r="G1027">
        <v>964.79180908000001</v>
      </c>
      <c r="H1027">
        <v>825.17694091999999</v>
      </c>
      <c r="I1027">
        <v>1966.9901123</v>
      </c>
      <c r="J1027">
        <v>1775.2869873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646.44837900000005</v>
      </c>
      <c r="B1028" s="1">
        <f>DATE(2012,2,6) + TIME(10,45,39)</f>
        <v>40945.448368055557</v>
      </c>
      <c r="C1028">
        <v>80</v>
      </c>
      <c r="D1028">
        <v>66.239860535000005</v>
      </c>
      <c r="E1028">
        <v>50</v>
      </c>
      <c r="F1028">
        <v>49.963195800999998</v>
      </c>
      <c r="G1028">
        <v>962.41607666000004</v>
      </c>
      <c r="H1028">
        <v>821.98181151999995</v>
      </c>
      <c r="I1028">
        <v>1966.4564209</v>
      </c>
      <c r="J1028">
        <v>1774.7536620999999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649.24523799999997</v>
      </c>
      <c r="B1029" s="1">
        <f>DATE(2012,2,9) + TIME(5,53,8)</f>
        <v>40948.24523148148</v>
      </c>
      <c r="C1029">
        <v>80</v>
      </c>
      <c r="D1029">
        <v>65.864456176999994</v>
      </c>
      <c r="E1029">
        <v>50</v>
      </c>
      <c r="F1029">
        <v>49.963314056000002</v>
      </c>
      <c r="G1029">
        <v>959.92712401999995</v>
      </c>
      <c r="H1029">
        <v>818.60235595999995</v>
      </c>
      <c r="I1029">
        <v>1965.9206543</v>
      </c>
      <c r="J1029">
        <v>1774.2183838000001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652.07935399999997</v>
      </c>
      <c r="B1030" s="1">
        <f>DATE(2012,2,12) + TIME(1,54,16)</f>
        <v>40951.079351851855</v>
      </c>
      <c r="C1030">
        <v>80</v>
      </c>
      <c r="D1030">
        <v>65.476821899000001</v>
      </c>
      <c r="E1030">
        <v>50</v>
      </c>
      <c r="F1030">
        <v>49.963436127000001</v>
      </c>
      <c r="G1030">
        <v>957.36175536999997</v>
      </c>
      <c r="H1030">
        <v>815.08898925999995</v>
      </c>
      <c r="I1030">
        <v>1965.3861084</v>
      </c>
      <c r="J1030">
        <v>1773.6842041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654.97711500000003</v>
      </c>
      <c r="B1031" s="1">
        <f>DATE(2012,2,14) + TIME(23,27,2)</f>
        <v>40953.977106481485</v>
      </c>
      <c r="C1031">
        <v>80</v>
      </c>
      <c r="D1031">
        <v>65.074943542</v>
      </c>
      <c r="E1031">
        <v>50</v>
      </c>
      <c r="F1031">
        <v>49.963562011999997</v>
      </c>
      <c r="G1031">
        <v>954.70330810999997</v>
      </c>
      <c r="H1031">
        <v>811.41973876999998</v>
      </c>
      <c r="I1031">
        <v>1964.8518065999999</v>
      </c>
      <c r="J1031">
        <v>1773.1501464999999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657.93272300000001</v>
      </c>
      <c r="B1032" s="1">
        <f>DATE(2012,2,17) + TIME(22,23,7)</f>
        <v>40956.932719907411</v>
      </c>
      <c r="C1032">
        <v>80</v>
      </c>
      <c r="D1032">
        <v>64.655715942</v>
      </c>
      <c r="E1032">
        <v>50</v>
      </c>
      <c r="F1032">
        <v>49.963687897</v>
      </c>
      <c r="G1032">
        <v>951.93469238</v>
      </c>
      <c r="H1032">
        <v>807.56866454999999</v>
      </c>
      <c r="I1032">
        <v>1964.3176269999999</v>
      </c>
      <c r="J1032">
        <v>1772.6163329999999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660.91268200000002</v>
      </c>
      <c r="B1033" s="1">
        <f>DATE(2012,2,20) + TIME(21,54,15)</f>
        <v>40959.912673611114</v>
      </c>
      <c r="C1033">
        <v>80</v>
      </c>
      <c r="D1033">
        <v>64.218917847</v>
      </c>
      <c r="E1033">
        <v>50</v>
      </c>
      <c r="F1033">
        <v>49.963813782000003</v>
      </c>
      <c r="G1033">
        <v>949.06140137</v>
      </c>
      <c r="H1033">
        <v>803.53979491999996</v>
      </c>
      <c r="I1033">
        <v>1963.7869873</v>
      </c>
      <c r="J1033">
        <v>1772.0859375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663.91850799999997</v>
      </c>
      <c r="B1034" s="1">
        <f>DATE(2012,2,23) + TIME(22,2,39)</f>
        <v>40962.918506944443</v>
      </c>
      <c r="C1034">
        <v>80</v>
      </c>
      <c r="D1034">
        <v>63.766483307000001</v>
      </c>
      <c r="E1034">
        <v>50</v>
      </c>
      <c r="F1034">
        <v>49.963939666999998</v>
      </c>
      <c r="G1034">
        <v>946.09936522999999</v>
      </c>
      <c r="H1034">
        <v>799.35430908000001</v>
      </c>
      <c r="I1034">
        <v>1963.2617187999999</v>
      </c>
      <c r="J1034">
        <v>1771.5609131000001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666.93603199999995</v>
      </c>
      <c r="B1035" s="1">
        <f>DATE(2012,2,26) + TIME(22,27,53)</f>
        <v>40965.936030092591</v>
      </c>
      <c r="C1035">
        <v>80</v>
      </c>
      <c r="D1035">
        <v>63.298633574999997</v>
      </c>
      <c r="E1035">
        <v>50</v>
      </c>
      <c r="F1035">
        <v>49.964065552000001</v>
      </c>
      <c r="G1035">
        <v>943.05206298999997</v>
      </c>
      <c r="H1035">
        <v>795.01617432</v>
      </c>
      <c r="I1035">
        <v>1962.7437743999999</v>
      </c>
      <c r="J1035">
        <v>1771.0433350000001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668.46801600000003</v>
      </c>
      <c r="B1036" s="1">
        <f>DATE(2012,2,28) + TIME(11,13,56)</f>
        <v>40967.468009259261</v>
      </c>
      <c r="C1036">
        <v>80</v>
      </c>
      <c r="D1036">
        <v>62.895126343000001</v>
      </c>
      <c r="E1036">
        <v>50</v>
      </c>
      <c r="F1036">
        <v>49.964084624999998</v>
      </c>
      <c r="G1036">
        <v>940.42962646000001</v>
      </c>
      <c r="H1036">
        <v>791.23809814000003</v>
      </c>
      <c r="I1036">
        <v>1962.4056396000001</v>
      </c>
      <c r="J1036">
        <v>1770.7052002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670</v>
      </c>
      <c r="B1037" s="1">
        <f>DATE(2012,3,1) + TIME(0,0,0)</f>
        <v>40969</v>
      </c>
      <c r="C1037">
        <v>80</v>
      </c>
      <c r="D1037">
        <v>62.590698242000002</v>
      </c>
      <c r="E1037">
        <v>50</v>
      </c>
      <c r="F1037">
        <v>49.96414566</v>
      </c>
      <c r="G1037">
        <v>938.60839843999997</v>
      </c>
      <c r="H1037">
        <v>788.55133057</v>
      </c>
      <c r="I1037">
        <v>1962.0948486</v>
      </c>
      <c r="J1037">
        <v>1770.3945312000001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672.19351600000005</v>
      </c>
      <c r="B1038" s="1">
        <f>DATE(2012,3,3) + TIME(4,38,39)</f>
        <v>40971.193506944444</v>
      </c>
      <c r="C1038">
        <v>80</v>
      </c>
      <c r="D1038">
        <v>62.287620543999999</v>
      </c>
      <c r="E1038">
        <v>50</v>
      </c>
      <c r="F1038">
        <v>49.964271545000003</v>
      </c>
      <c r="G1038">
        <v>936.68768310999997</v>
      </c>
      <c r="H1038">
        <v>785.77093506000006</v>
      </c>
      <c r="I1038">
        <v>1961.7404785000001</v>
      </c>
      <c r="J1038">
        <v>1770.0404053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675.21546899999998</v>
      </c>
      <c r="B1039" s="1">
        <f>DATE(2012,3,6) + TIME(5,10,16)</f>
        <v>40974.215462962966</v>
      </c>
      <c r="C1039">
        <v>80</v>
      </c>
      <c r="D1039">
        <v>61.907131194999998</v>
      </c>
      <c r="E1039">
        <v>50</v>
      </c>
      <c r="F1039">
        <v>49.964424133000001</v>
      </c>
      <c r="G1039">
        <v>934.16290283000001</v>
      </c>
      <c r="H1039">
        <v>782.15338135000002</v>
      </c>
      <c r="I1039">
        <v>1961.3199463000001</v>
      </c>
      <c r="J1039">
        <v>1769.6201172000001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678.27331400000003</v>
      </c>
      <c r="B1040" s="1">
        <f>DATE(2012,3,9) + TIME(6,33,34)</f>
        <v>40977.273310185185</v>
      </c>
      <c r="C1040">
        <v>80</v>
      </c>
      <c r="D1040">
        <v>61.413948058999999</v>
      </c>
      <c r="E1040">
        <v>50</v>
      </c>
      <c r="F1040">
        <v>49.964538574000002</v>
      </c>
      <c r="G1040">
        <v>930.9609375</v>
      </c>
      <c r="H1040">
        <v>777.51000977000001</v>
      </c>
      <c r="I1040">
        <v>1960.8648682</v>
      </c>
      <c r="J1040">
        <v>1769.1651611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681.38162499999999</v>
      </c>
      <c r="B1041" s="1">
        <f>DATE(2012,3,12) + TIME(9,9,32)</f>
        <v>40980.381620370368</v>
      </c>
      <c r="C1041">
        <v>80</v>
      </c>
      <c r="D1041">
        <v>60.880565642999997</v>
      </c>
      <c r="E1041">
        <v>50</v>
      </c>
      <c r="F1041">
        <v>49.964656830000003</v>
      </c>
      <c r="G1041">
        <v>927.58636475000003</v>
      </c>
      <c r="H1041">
        <v>772.55194091999999</v>
      </c>
      <c r="I1041">
        <v>1960.3934326000001</v>
      </c>
      <c r="J1041">
        <v>1768.6939697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684.51715300000001</v>
      </c>
      <c r="B1042" s="1">
        <f>DATE(2012,3,15) + TIME(12,24,42)</f>
        <v>40983.517152777778</v>
      </c>
      <c r="C1042">
        <v>80</v>
      </c>
      <c r="D1042">
        <v>60.322372436999999</v>
      </c>
      <c r="E1042">
        <v>50</v>
      </c>
      <c r="F1042">
        <v>49.964775084999999</v>
      </c>
      <c r="G1042">
        <v>924.08666991999996</v>
      </c>
      <c r="H1042">
        <v>767.37200928000004</v>
      </c>
      <c r="I1042">
        <v>1959.9189452999999</v>
      </c>
      <c r="J1042">
        <v>1768.2196045000001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687.67466300000001</v>
      </c>
      <c r="B1043" s="1">
        <f>DATE(2012,3,18) + TIME(16,11,30)</f>
        <v>40986.67465277778</v>
      </c>
      <c r="C1043">
        <v>80</v>
      </c>
      <c r="D1043">
        <v>59.744590758999998</v>
      </c>
      <c r="E1043">
        <v>50</v>
      </c>
      <c r="F1043">
        <v>49.964893341</v>
      </c>
      <c r="G1043">
        <v>920.49047852000001</v>
      </c>
      <c r="H1043">
        <v>762.01501465000001</v>
      </c>
      <c r="I1043">
        <v>1959.4466553</v>
      </c>
      <c r="J1043">
        <v>1767.7475586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690.84424899999999</v>
      </c>
      <c r="B1044" s="1">
        <f>DATE(2012,3,21) + TIME(20,15,43)</f>
        <v>40989.844247685185</v>
      </c>
      <c r="C1044">
        <v>80</v>
      </c>
      <c r="D1044">
        <v>59.149024963000002</v>
      </c>
      <c r="E1044">
        <v>50</v>
      </c>
      <c r="F1044">
        <v>49.965015411000003</v>
      </c>
      <c r="G1044">
        <v>916.81079102000001</v>
      </c>
      <c r="H1044">
        <v>756.49969481999995</v>
      </c>
      <c r="I1044">
        <v>1958.9788818</v>
      </c>
      <c r="J1044">
        <v>1767.2799072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694.02949100000001</v>
      </c>
      <c r="B1045" s="1">
        <f>DATE(2012,3,25) + TIME(0,42,28)</f>
        <v>40993.029490740744</v>
      </c>
      <c r="C1045">
        <v>80</v>
      </c>
      <c r="D1045">
        <v>58.538188933999997</v>
      </c>
      <c r="E1045">
        <v>50</v>
      </c>
      <c r="F1045">
        <v>49.965133667000003</v>
      </c>
      <c r="G1045">
        <v>913.05895996000004</v>
      </c>
      <c r="H1045">
        <v>750.84259033000001</v>
      </c>
      <c r="I1045">
        <v>1958.5161132999999</v>
      </c>
      <c r="J1045">
        <v>1766.8172606999999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697.235996</v>
      </c>
      <c r="B1046" s="1">
        <f>DATE(2012,3,28) + TIME(5,39,50)</f>
        <v>40996.235995370371</v>
      </c>
      <c r="C1046">
        <v>80</v>
      </c>
      <c r="D1046">
        <v>57.912193297999998</v>
      </c>
      <c r="E1046">
        <v>50</v>
      </c>
      <c r="F1046">
        <v>49.965255737</v>
      </c>
      <c r="G1046">
        <v>909.23535156000003</v>
      </c>
      <c r="H1046">
        <v>745.04382324000005</v>
      </c>
      <c r="I1046">
        <v>1958.0574951000001</v>
      </c>
      <c r="J1046">
        <v>1766.3587646000001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700.46996899999999</v>
      </c>
      <c r="B1047" s="1">
        <f>DATE(2012,3,31) + TIME(11,16,45)</f>
        <v>40999.469965277778</v>
      </c>
      <c r="C1047">
        <v>80</v>
      </c>
      <c r="D1047">
        <v>57.271125793000003</v>
      </c>
      <c r="E1047">
        <v>50</v>
      </c>
      <c r="F1047">
        <v>49.965373993</v>
      </c>
      <c r="G1047">
        <v>905.33728026999995</v>
      </c>
      <c r="H1047">
        <v>739.09887694999998</v>
      </c>
      <c r="I1047">
        <v>1957.6020507999999</v>
      </c>
      <c r="J1047">
        <v>1765.9035644999999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701</v>
      </c>
      <c r="B1048" s="1">
        <f>DATE(2012,4,1) + TIME(0,0,0)</f>
        <v>41000</v>
      </c>
      <c r="C1048">
        <v>80</v>
      </c>
      <c r="D1048">
        <v>56.933406830000003</v>
      </c>
      <c r="E1048">
        <v>50</v>
      </c>
      <c r="F1048">
        <v>49.965366363999998</v>
      </c>
      <c r="G1048">
        <v>902.71069336000005</v>
      </c>
      <c r="H1048">
        <v>735.32476807</v>
      </c>
      <c r="I1048">
        <v>1957.4985352000001</v>
      </c>
      <c r="J1048">
        <v>1765.7999268000001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704.25014899999996</v>
      </c>
      <c r="B1049" s="1">
        <f>DATE(2012,4,4) + TIME(6,0,12)</f>
        <v>41003.250138888892</v>
      </c>
      <c r="C1049">
        <v>80</v>
      </c>
      <c r="D1049">
        <v>56.461627960000001</v>
      </c>
      <c r="E1049">
        <v>50</v>
      </c>
      <c r="F1049">
        <v>49.965507506999998</v>
      </c>
      <c r="G1049">
        <v>900.55694579999999</v>
      </c>
      <c r="H1049">
        <v>731.68731689000003</v>
      </c>
      <c r="I1049">
        <v>1957.0516356999999</v>
      </c>
      <c r="J1049">
        <v>1765.3531493999999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707.52777400000002</v>
      </c>
      <c r="B1050" s="1">
        <f>DATE(2012,4,7) + TIME(12,39,59)</f>
        <v>41006.527766203704</v>
      </c>
      <c r="C1050">
        <v>80</v>
      </c>
      <c r="D1050">
        <v>55.828571320000002</v>
      </c>
      <c r="E1050">
        <v>50</v>
      </c>
      <c r="F1050">
        <v>49.965637207</v>
      </c>
      <c r="G1050">
        <v>896.63842772999999</v>
      </c>
      <c r="H1050">
        <v>725.70306396000001</v>
      </c>
      <c r="I1050">
        <v>1956.6168213000001</v>
      </c>
      <c r="J1050">
        <v>1764.918457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710.83371</v>
      </c>
      <c r="B1051" s="1">
        <f>DATE(2012,4,10) + TIME(20,0,32)</f>
        <v>41009.833703703705</v>
      </c>
      <c r="C1051">
        <v>80</v>
      </c>
      <c r="D1051">
        <v>55.151771545000003</v>
      </c>
      <c r="E1051">
        <v>50</v>
      </c>
      <c r="F1051">
        <v>49.965751648000001</v>
      </c>
      <c r="G1051">
        <v>892.55078125</v>
      </c>
      <c r="H1051">
        <v>719.37213135000002</v>
      </c>
      <c r="I1051">
        <v>1956.1755370999999</v>
      </c>
      <c r="J1051">
        <v>1764.4774170000001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714.16583700000001</v>
      </c>
      <c r="B1052" s="1">
        <f>DATE(2012,4,14) + TIME(3,58,48)</f>
        <v>41013.165833333333</v>
      </c>
      <c r="C1052">
        <v>80</v>
      </c>
      <c r="D1052">
        <v>54.458961487000003</v>
      </c>
      <c r="E1052">
        <v>50</v>
      </c>
      <c r="F1052">
        <v>49.965869904000002</v>
      </c>
      <c r="G1052">
        <v>888.38586425999995</v>
      </c>
      <c r="H1052">
        <v>712.87670897999999</v>
      </c>
      <c r="I1052">
        <v>1955.7315673999999</v>
      </c>
      <c r="J1052">
        <v>1764.0334473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717.52511000000004</v>
      </c>
      <c r="B1053" s="1">
        <f>DATE(2012,4,17) + TIME(12,36,9)</f>
        <v>41016.525104166663</v>
      </c>
      <c r="C1053">
        <v>80</v>
      </c>
      <c r="D1053">
        <v>53.755317687999998</v>
      </c>
      <c r="E1053">
        <v>50</v>
      </c>
      <c r="F1053">
        <v>49.965984343999999</v>
      </c>
      <c r="G1053">
        <v>884.15997314000003</v>
      </c>
      <c r="H1053">
        <v>706.25006103999999</v>
      </c>
      <c r="I1053">
        <v>1955.2866211</v>
      </c>
      <c r="J1053">
        <v>1763.5886230000001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720.92014800000004</v>
      </c>
      <c r="B1054" s="1">
        <f>DATE(2012,4,20) + TIME(22,5,0)</f>
        <v>41019.920138888891</v>
      </c>
      <c r="C1054">
        <v>80</v>
      </c>
      <c r="D1054">
        <v>53.043544769</v>
      </c>
      <c r="E1054">
        <v>50</v>
      </c>
      <c r="F1054">
        <v>49.966102599999999</v>
      </c>
      <c r="G1054">
        <v>879.88031006000006</v>
      </c>
      <c r="H1054">
        <v>699.50518798999997</v>
      </c>
      <c r="I1054">
        <v>1954.8404541</v>
      </c>
      <c r="J1054">
        <v>1763.1424560999999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724.34671200000003</v>
      </c>
      <c r="B1055" s="1">
        <f>DATE(2012,4,24) + TIME(8,19,15)</f>
        <v>41023.346701388888</v>
      </c>
      <c r="C1055">
        <v>80</v>
      </c>
      <c r="D1055">
        <v>52.324337006</v>
      </c>
      <c r="E1055">
        <v>50</v>
      </c>
      <c r="F1055">
        <v>49.966220856</v>
      </c>
      <c r="G1055">
        <v>875.54602050999995</v>
      </c>
      <c r="H1055">
        <v>692.64147949000005</v>
      </c>
      <c r="I1055">
        <v>1954.3929443</v>
      </c>
      <c r="J1055">
        <v>1762.6951904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727.80554400000005</v>
      </c>
      <c r="B1056" s="1">
        <f>DATE(2012,4,27) + TIME(19,19,59)</f>
        <v>41026.805543981478</v>
      </c>
      <c r="C1056">
        <v>80</v>
      </c>
      <c r="D1056">
        <v>51.600353241000001</v>
      </c>
      <c r="E1056">
        <v>50</v>
      </c>
      <c r="F1056">
        <v>49.966335297000001</v>
      </c>
      <c r="G1056">
        <v>871.16760253999996</v>
      </c>
      <c r="H1056">
        <v>685.67510986000002</v>
      </c>
      <c r="I1056">
        <v>1953.9438477000001</v>
      </c>
      <c r="J1056">
        <v>1762.2462158000001</v>
      </c>
      <c r="K1056">
        <v>0</v>
      </c>
      <c r="L1056">
        <v>2400</v>
      </c>
      <c r="M1056">
        <v>2400</v>
      </c>
      <c r="N1056">
        <v>0</v>
      </c>
    </row>
    <row r="1057" spans="1:14" x14ac:dyDescent="0.25">
      <c r="A1057">
        <v>731</v>
      </c>
      <c r="B1057" s="1">
        <f>DATE(2012,5,1) + TIME(0,0,0)</f>
        <v>41030</v>
      </c>
      <c r="C1057">
        <v>80</v>
      </c>
      <c r="D1057">
        <v>50.884658813000001</v>
      </c>
      <c r="E1057">
        <v>50</v>
      </c>
      <c r="F1057">
        <v>49.966438293000003</v>
      </c>
      <c r="G1057">
        <v>866.81341553000004</v>
      </c>
      <c r="H1057">
        <v>678.71923828000001</v>
      </c>
      <c r="I1057">
        <v>1953.5172118999999</v>
      </c>
      <c r="J1057">
        <v>1761.8195800999999</v>
      </c>
      <c r="K1057">
        <v>0</v>
      </c>
      <c r="L1057">
        <v>2400</v>
      </c>
      <c r="M1057">
        <v>2400</v>
      </c>
      <c r="N1057">
        <v>0</v>
      </c>
    </row>
    <row r="1058" spans="1:14" x14ac:dyDescent="0.25">
      <c r="A1058">
        <v>731.000001</v>
      </c>
      <c r="B1058" s="1">
        <f>DATE(2012,5,1) + TIME(0,0,0)</f>
        <v>41030</v>
      </c>
      <c r="C1058">
        <v>80</v>
      </c>
      <c r="D1058">
        <v>50.884712219000001</v>
      </c>
      <c r="E1058">
        <v>50</v>
      </c>
      <c r="F1058">
        <v>49.966423034999998</v>
      </c>
      <c r="G1058">
        <v>1054.8115233999999</v>
      </c>
      <c r="H1058">
        <v>866.82312012</v>
      </c>
      <c r="I1058">
        <v>1761.8098144999999</v>
      </c>
      <c r="J1058">
        <v>1570.1075439000001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731.00000399999999</v>
      </c>
      <c r="B1059" s="1">
        <f>DATE(2012,5,1) + TIME(0,0,0)</f>
        <v>41030</v>
      </c>
      <c r="C1059">
        <v>80</v>
      </c>
      <c r="D1059">
        <v>50.884880066000001</v>
      </c>
      <c r="E1059">
        <v>50</v>
      </c>
      <c r="F1059">
        <v>49.966381073000001</v>
      </c>
      <c r="G1059">
        <v>1054.8405762</v>
      </c>
      <c r="H1059">
        <v>866.85241699000005</v>
      </c>
      <c r="I1059">
        <v>1761.7803954999999</v>
      </c>
      <c r="J1059">
        <v>1570.0778809000001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731.00001299999997</v>
      </c>
      <c r="B1060" s="1">
        <f>DATE(2012,5,1) + TIME(0,0,1)</f>
        <v>41030.000011574077</v>
      </c>
      <c r="C1060">
        <v>80</v>
      </c>
      <c r="D1060">
        <v>50.885387420999997</v>
      </c>
      <c r="E1060">
        <v>50</v>
      </c>
      <c r="F1060">
        <v>49.966247559000003</v>
      </c>
      <c r="G1060">
        <v>1054.9277344</v>
      </c>
      <c r="H1060">
        <v>866.94018555000002</v>
      </c>
      <c r="I1060">
        <v>1761.6918945</v>
      </c>
      <c r="J1060">
        <v>1569.9890137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731.00004000000001</v>
      </c>
      <c r="B1061" s="1">
        <f>DATE(2012,5,1) + TIME(0,0,3)</f>
        <v>41030.000034722223</v>
      </c>
      <c r="C1061">
        <v>80</v>
      </c>
      <c r="D1061">
        <v>50.886898041000002</v>
      </c>
      <c r="E1061">
        <v>50</v>
      </c>
      <c r="F1061">
        <v>49.965847015000001</v>
      </c>
      <c r="G1061">
        <v>1055.1888428</v>
      </c>
      <c r="H1061">
        <v>867.20336913999995</v>
      </c>
      <c r="I1061">
        <v>1761.427124</v>
      </c>
      <c r="J1061">
        <v>1569.7229004000001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731.00012100000004</v>
      </c>
      <c r="B1062" s="1">
        <f>DATE(2012,5,1) + TIME(0,0,10)</f>
        <v>41030.000115740739</v>
      </c>
      <c r="C1062">
        <v>80</v>
      </c>
      <c r="D1062">
        <v>50.891437531000001</v>
      </c>
      <c r="E1062">
        <v>50</v>
      </c>
      <c r="F1062">
        <v>49.964649199999997</v>
      </c>
      <c r="G1062">
        <v>1055.9692382999999</v>
      </c>
      <c r="H1062">
        <v>867.99078368999994</v>
      </c>
      <c r="I1062">
        <v>1760.6357422000001</v>
      </c>
      <c r="J1062">
        <v>1568.9274902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731.00036399999999</v>
      </c>
      <c r="B1063" s="1">
        <f>DATE(2012,5,1) + TIME(0,0,31)</f>
        <v>41030.000358796293</v>
      </c>
      <c r="C1063">
        <v>80</v>
      </c>
      <c r="D1063">
        <v>50.905036926000001</v>
      </c>
      <c r="E1063">
        <v>50</v>
      </c>
      <c r="F1063">
        <v>49.961101532000001</v>
      </c>
      <c r="G1063">
        <v>1058.2830810999999</v>
      </c>
      <c r="H1063">
        <v>870.33398437999995</v>
      </c>
      <c r="I1063">
        <v>1758.2882079999999</v>
      </c>
      <c r="J1063">
        <v>1566.5681152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731.00109299999997</v>
      </c>
      <c r="B1064" s="1">
        <f>DATE(2012,5,1) + TIME(0,1,34)</f>
        <v>41030.001087962963</v>
      </c>
      <c r="C1064">
        <v>80</v>
      </c>
      <c r="D1064">
        <v>50.945583343999999</v>
      </c>
      <c r="E1064">
        <v>50</v>
      </c>
      <c r="F1064">
        <v>49.950817108000003</v>
      </c>
      <c r="G1064">
        <v>1064.9907227000001</v>
      </c>
      <c r="H1064">
        <v>877.18103026999995</v>
      </c>
      <c r="I1064">
        <v>1751.4765625</v>
      </c>
      <c r="J1064">
        <v>1559.7227783000001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731.00328000000002</v>
      </c>
      <c r="B1065" s="1">
        <f>DATE(2012,5,1) + TIME(0,4,43)</f>
        <v>41030.003275462965</v>
      </c>
      <c r="C1065">
        <v>80</v>
      </c>
      <c r="D1065">
        <v>51.06414032</v>
      </c>
      <c r="E1065">
        <v>50</v>
      </c>
      <c r="F1065">
        <v>49.922706603999998</v>
      </c>
      <c r="G1065">
        <v>1083.2663574000001</v>
      </c>
      <c r="H1065">
        <v>896.05920409999999</v>
      </c>
      <c r="I1065">
        <v>1732.8737793</v>
      </c>
      <c r="J1065">
        <v>1541.0297852000001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731.00984100000005</v>
      </c>
      <c r="B1066" s="1">
        <f>DATE(2012,5,1) + TIME(0,14,10)</f>
        <v>41030.009837962964</v>
      </c>
      <c r="C1066">
        <v>80</v>
      </c>
      <c r="D1066">
        <v>51.397087096999996</v>
      </c>
      <c r="E1066">
        <v>50</v>
      </c>
      <c r="F1066">
        <v>49.856353759999998</v>
      </c>
      <c r="G1066">
        <v>1126.1618652</v>
      </c>
      <c r="H1066">
        <v>940.71740723000005</v>
      </c>
      <c r="I1066">
        <v>1688.9725341999999</v>
      </c>
      <c r="J1066">
        <v>1496.9211425999999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731.02952400000004</v>
      </c>
      <c r="B1067" s="1">
        <f>DATE(2012,5,1) + TIME(0,42,30)</f>
        <v>41030.029513888891</v>
      </c>
      <c r="C1067">
        <v>80</v>
      </c>
      <c r="D1067">
        <v>52.277877808</v>
      </c>
      <c r="E1067">
        <v>50</v>
      </c>
      <c r="F1067">
        <v>49.736835480000003</v>
      </c>
      <c r="G1067">
        <v>1202.2205810999999</v>
      </c>
      <c r="H1067">
        <v>1019.9772948999999</v>
      </c>
      <c r="I1067">
        <v>1609.7983397999999</v>
      </c>
      <c r="J1067">
        <v>1417.3846435999999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731.05154600000003</v>
      </c>
      <c r="B1068" s="1">
        <f>DATE(2012,5,1) + TIME(1,14,13)</f>
        <v>41030.051539351851</v>
      </c>
      <c r="C1068">
        <v>80</v>
      </c>
      <c r="D1068">
        <v>53.162590027</v>
      </c>
      <c r="E1068">
        <v>50</v>
      </c>
      <c r="F1068">
        <v>49.653034210000001</v>
      </c>
      <c r="G1068">
        <v>1254.6213379000001</v>
      </c>
      <c r="H1068">
        <v>1074.7517089999999</v>
      </c>
      <c r="I1068">
        <v>1553.7790527</v>
      </c>
      <c r="J1068">
        <v>1361.1177978999999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731.07543999999996</v>
      </c>
      <c r="B1069" s="1">
        <f>DATE(2012,5,1) + TIME(1,48,38)</f>
        <v>41030.075439814813</v>
      </c>
      <c r="C1069">
        <v>80</v>
      </c>
      <c r="D1069">
        <v>54.050395966000004</v>
      </c>
      <c r="E1069">
        <v>50</v>
      </c>
      <c r="F1069">
        <v>49.592891692999999</v>
      </c>
      <c r="G1069">
        <v>1291.9072266000001</v>
      </c>
      <c r="H1069">
        <v>1114.128418</v>
      </c>
      <c r="I1069">
        <v>1512.7025146000001</v>
      </c>
      <c r="J1069">
        <v>1319.8665771000001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731.10091299999999</v>
      </c>
      <c r="B1070" s="1">
        <f>DATE(2012,5,1) + TIME(2,25,18)</f>
        <v>41030.100902777776</v>
      </c>
      <c r="C1070">
        <v>80</v>
      </c>
      <c r="D1070">
        <v>54.940349578999999</v>
      </c>
      <c r="E1070">
        <v>50</v>
      </c>
      <c r="F1070">
        <v>49.547969817999999</v>
      </c>
      <c r="G1070">
        <v>1319.7263184000001</v>
      </c>
      <c r="H1070">
        <v>1143.9609375</v>
      </c>
      <c r="I1070">
        <v>1481.1123047000001</v>
      </c>
      <c r="J1070">
        <v>1288.1483154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731.12772800000005</v>
      </c>
      <c r="B1071" s="1">
        <f>DATE(2012,5,1) + TIME(3,3,55)</f>
        <v>41030.12771990741</v>
      </c>
      <c r="C1071">
        <v>80</v>
      </c>
      <c r="D1071">
        <v>55.829132080000001</v>
      </c>
      <c r="E1071">
        <v>50</v>
      </c>
      <c r="F1071">
        <v>49.513080596999998</v>
      </c>
      <c r="G1071">
        <v>1341.4387207</v>
      </c>
      <c r="H1071">
        <v>1167.6593018000001</v>
      </c>
      <c r="I1071">
        <v>1455.7410889</v>
      </c>
      <c r="J1071">
        <v>1262.6796875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731.15574100000003</v>
      </c>
      <c r="B1072" s="1">
        <f>DATE(2012,5,1) + TIME(3,44,16)</f>
        <v>41030.155740740738</v>
      </c>
      <c r="C1072">
        <v>80</v>
      </c>
      <c r="D1072">
        <v>56.713947296000001</v>
      </c>
      <c r="E1072">
        <v>50</v>
      </c>
      <c r="F1072">
        <v>49.485031128000003</v>
      </c>
      <c r="G1072">
        <v>1359.0500488</v>
      </c>
      <c r="H1072">
        <v>1187.2325439000001</v>
      </c>
      <c r="I1072">
        <v>1434.6115723</v>
      </c>
      <c r="J1072">
        <v>1241.4737548999999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731.18487500000003</v>
      </c>
      <c r="B1073" s="1">
        <f>DATE(2012,5,1) + TIME(4,26,13)</f>
        <v>41030.184872685182</v>
      </c>
      <c r="C1073">
        <v>80</v>
      </c>
      <c r="D1073">
        <v>57.592876433999997</v>
      </c>
      <c r="E1073">
        <v>50</v>
      </c>
      <c r="F1073">
        <v>49.461826324</v>
      </c>
      <c r="G1073">
        <v>1373.7878418</v>
      </c>
      <c r="H1073">
        <v>1203.9030762</v>
      </c>
      <c r="I1073">
        <v>1416.4984131000001</v>
      </c>
      <c r="J1073">
        <v>1223.2990723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731.215103</v>
      </c>
      <c r="B1074" s="1">
        <f>DATE(2012,5,1) + TIME(5,9,44)</f>
        <v>41030.215092592596</v>
      </c>
      <c r="C1074">
        <v>80</v>
      </c>
      <c r="D1074">
        <v>58.464649199999997</v>
      </c>
      <c r="E1074">
        <v>50</v>
      </c>
      <c r="F1074">
        <v>49.442180634000003</v>
      </c>
      <c r="G1074">
        <v>1386.432251</v>
      </c>
      <c r="H1074">
        <v>1218.4449463000001</v>
      </c>
      <c r="I1074">
        <v>1400.6143798999999</v>
      </c>
      <c r="J1074">
        <v>1207.3645019999999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731.24642600000004</v>
      </c>
      <c r="B1075" s="1">
        <f>DATE(2012,5,1) + TIME(5,54,51)</f>
        <v>41030.246423611112</v>
      </c>
      <c r="C1075">
        <v>80</v>
      </c>
      <c r="D1075">
        <v>59.328384399000001</v>
      </c>
      <c r="E1075">
        <v>50</v>
      </c>
      <c r="F1075">
        <v>49.425231934000003</v>
      </c>
      <c r="G1075">
        <v>1397.5006103999999</v>
      </c>
      <c r="H1075">
        <v>1231.3712158000001</v>
      </c>
      <c r="I1075">
        <v>1386.4328613</v>
      </c>
      <c r="J1075">
        <v>1193.1411132999999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731.27888299999995</v>
      </c>
      <c r="B1076" s="1">
        <f>DATE(2012,5,1) + TIME(6,41,35)</f>
        <v>41030.278877314813</v>
      </c>
      <c r="C1076">
        <v>80</v>
      </c>
      <c r="D1076">
        <v>60.183731078999998</v>
      </c>
      <c r="E1076">
        <v>50</v>
      </c>
      <c r="F1076">
        <v>49.410373688</v>
      </c>
      <c r="G1076">
        <v>1407.3552245999999</v>
      </c>
      <c r="H1076">
        <v>1243.0422363</v>
      </c>
      <c r="I1076">
        <v>1373.5816649999999</v>
      </c>
      <c r="J1076">
        <v>1180.2545166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731.31250199999999</v>
      </c>
      <c r="B1077" s="1">
        <f>DATE(2012,5,1) + TIME(7,30,0)</f>
        <v>41030.3125</v>
      </c>
      <c r="C1077">
        <v>80</v>
      </c>
      <c r="D1077">
        <v>61.029457092000001</v>
      </c>
      <c r="E1077">
        <v>50</v>
      </c>
      <c r="F1077">
        <v>49.397171020999998</v>
      </c>
      <c r="G1077">
        <v>1416.2487793</v>
      </c>
      <c r="H1077">
        <v>1253.7078856999999</v>
      </c>
      <c r="I1077">
        <v>1361.8023682</v>
      </c>
      <c r="J1077">
        <v>1168.4451904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731.34733400000005</v>
      </c>
      <c r="B1078" s="1">
        <f>DATE(2012,5,1) + TIME(8,20,9)</f>
        <v>41030.347326388888</v>
      </c>
      <c r="C1078">
        <v>80</v>
      </c>
      <c r="D1078">
        <v>61.865573883000003</v>
      </c>
      <c r="E1078">
        <v>50</v>
      </c>
      <c r="F1078">
        <v>49.385295868</v>
      </c>
      <c r="G1078">
        <v>1424.3721923999999</v>
      </c>
      <c r="H1078">
        <v>1263.5583495999999</v>
      </c>
      <c r="I1078">
        <v>1350.8975829999999</v>
      </c>
      <c r="J1078">
        <v>1157.5146483999999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731.38344700000005</v>
      </c>
      <c r="B1079" s="1">
        <f>DATE(2012,5,1) + TIME(9,12,9)</f>
        <v>41030.383437500001</v>
      </c>
      <c r="C1079">
        <v>80</v>
      </c>
      <c r="D1079">
        <v>62.691715240000001</v>
      </c>
      <c r="E1079">
        <v>50</v>
      </c>
      <c r="F1079">
        <v>49.374496460000003</v>
      </c>
      <c r="G1079">
        <v>1431.8713379000001</v>
      </c>
      <c r="H1079">
        <v>1272.7392577999999</v>
      </c>
      <c r="I1079">
        <v>1340.7160644999999</v>
      </c>
      <c r="J1079">
        <v>1147.3110352000001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731.42091200000004</v>
      </c>
      <c r="B1080" s="1">
        <f>DATE(2012,5,1) + TIME(10,6,6)</f>
        <v>41030.420902777776</v>
      </c>
      <c r="C1080">
        <v>80</v>
      </c>
      <c r="D1080">
        <v>63.507446289000001</v>
      </c>
      <c r="E1080">
        <v>50</v>
      </c>
      <c r="F1080">
        <v>49.364570618000002</v>
      </c>
      <c r="G1080">
        <v>1438.8592529</v>
      </c>
      <c r="H1080">
        <v>1281.3632812000001</v>
      </c>
      <c r="I1080">
        <v>1331.140625</v>
      </c>
      <c r="J1080">
        <v>1137.7165527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731.45982000000004</v>
      </c>
      <c r="B1081" s="1">
        <f>DATE(2012,5,1) + TIME(11,2,8)</f>
        <v>41030.459814814814</v>
      </c>
      <c r="C1081">
        <v>80</v>
      </c>
      <c r="D1081">
        <v>64.312477111999996</v>
      </c>
      <c r="E1081">
        <v>50</v>
      </c>
      <c r="F1081">
        <v>49.355358123999999</v>
      </c>
      <c r="G1081">
        <v>1445.4270019999999</v>
      </c>
      <c r="H1081">
        <v>1289.5219727000001</v>
      </c>
      <c r="I1081">
        <v>1322.0759277</v>
      </c>
      <c r="J1081">
        <v>1128.6352539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731.50027499999999</v>
      </c>
      <c r="B1082" s="1">
        <f>DATE(2012,5,1) + TIME(12,0,23)</f>
        <v>41030.5002662037</v>
      </c>
      <c r="C1082">
        <v>80</v>
      </c>
      <c r="D1082">
        <v>65.106567382999998</v>
      </c>
      <c r="E1082">
        <v>50</v>
      </c>
      <c r="F1082">
        <v>49.346721649000003</v>
      </c>
      <c r="G1082">
        <v>1451.6488036999999</v>
      </c>
      <c r="H1082">
        <v>1297.2901611</v>
      </c>
      <c r="I1082">
        <v>1313.4438477000001</v>
      </c>
      <c r="J1082">
        <v>1119.9886475000001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731.54239700000005</v>
      </c>
      <c r="B1083" s="1">
        <f>DATE(2012,5,1) + TIME(13,1,3)</f>
        <v>41030.542395833334</v>
      </c>
      <c r="C1083">
        <v>80</v>
      </c>
      <c r="D1083">
        <v>65.889579772999994</v>
      </c>
      <c r="E1083">
        <v>50</v>
      </c>
      <c r="F1083">
        <v>49.338546753000003</v>
      </c>
      <c r="G1083">
        <v>1457.5863036999999</v>
      </c>
      <c r="H1083">
        <v>1304.7303466999999</v>
      </c>
      <c r="I1083">
        <v>1305.1793213000001</v>
      </c>
      <c r="J1083">
        <v>1111.7115478999999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731.58632499999999</v>
      </c>
      <c r="B1084" s="1">
        <f>DATE(2012,5,1) + TIME(14,4,18)</f>
        <v>41030.586319444446</v>
      </c>
      <c r="C1084">
        <v>80</v>
      </c>
      <c r="D1084">
        <v>66.661117554</v>
      </c>
      <c r="E1084">
        <v>50</v>
      </c>
      <c r="F1084">
        <v>49.330738068000002</v>
      </c>
      <c r="G1084">
        <v>1463.291626</v>
      </c>
      <c r="H1084">
        <v>1311.8953856999999</v>
      </c>
      <c r="I1084">
        <v>1297.2275391000001</v>
      </c>
      <c r="J1084">
        <v>1103.7486572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731.63221399999998</v>
      </c>
      <c r="B1085" s="1">
        <f>DATE(2012,5,1) + TIME(15,10,23)</f>
        <v>41030.632210648146</v>
      </c>
      <c r="C1085">
        <v>80</v>
      </c>
      <c r="D1085">
        <v>67.420890807999996</v>
      </c>
      <c r="E1085">
        <v>50</v>
      </c>
      <c r="F1085">
        <v>49.323200225999997</v>
      </c>
      <c r="G1085">
        <v>1468.8095702999999</v>
      </c>
      <c r="H1085">
        <v>1318.8311768000001</v>
      </c>
      <c r="I1085">
        <v>1289.5408935999999</v>
      </c>
      <c r="J1085">
        <v>1096.0522461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731.68026999999995</v>
      </c>
      <c r="B1086" s="1">
        <f>DATE(2012,5,1) + TIME(16,19,35)</f>
        <v>41030.680266203701</v>
      </c>
      <c r="C1086">
        <v>80</v>
      </c>
      <c r="D1086">
        <v>68.168960571</v>
      </c>
      <c r="E1086">
        <v>50</v>
      </c>
      <c r="F1086">
        <v>49.315860747999999</v>
      </c>
      <c r="G1086">
        <v>1474.1820068</v>
      </c>
      <c r="H1086">
        <v>1325.5810547000001</v>
      </c>
      <c r="I1086">
        <v>1282.0743408000001</v>
      </c>
      <c r="J1086">
        <v>1088.5769043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731.73069799999996</v>
      </c>
      <c r="B1087" s="1">
        <f>DATE(2012,5,1) + TIME(17,32,12)</f>
        <v>41030.730694444443</v>
      </c>
      <c r="C1087">
        <v>80</v>
      </c>
      <c r="D1087">
        <v>68.904914856000005</v>
      </c>
      <c r="E1087">
        <v>50</v>
      </c>
      <c r="F1087">
        <v>49.308639526</v>
      </c>
      <c r="G1087">
        <v>1479.4433594</v>
      </c>
      <c r="H1087">
        <v>1332.1801757999999</v>
      </c>
      <c r="I1087">
        <v>1274.7917480000001</v>
      </c>
      <c r="J1087">
        <v>1081.286499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731.78372899999999</v>
      </c>
      <c r="B1088" s="1">
        <f>DATE(2012,5,1) + TIME(18,48,34)</f>
        <v>41030.783726851849</v>
      </c>
      <c r="C1088">
        <v>80</v>
      </c>
      <c r="D1088">
        <v>69.628211974999999</v>
      </c>
      <c r="E1088">
        <v>50</v>
      </c>
      <c r="F1088">
        <v>49.301471710000001</v>
      </c>
      <c r="G1088">
        <v>1484.6245117000001</v>
      </c>
      <c r="H1088">
        <v>1338.6601562000001</v>
      </c>
      <c r="I1088">
        <v>1267.6607666</v>
      </c>
      <c r="J1088">
        <v>1074.1484375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731.83964600000002</v>
      </c>
      <c r="B1089" s="1">
        <f>DATE(2012,5,1) + TIME(20,9,5)</f>
        <v>41030.839641203704</v>
      </c>
      <c r="C1089">
        <v>80</v>
      </c>
      <c r="D1089">
        <v>70.338256835999999</v>
      </c>
      <c r="E1089">
        <v>50</v>
      </c>
      <c r="F1089">
        <v>49.294288635000001</v>
      </c>
      <c r="G1089">
        <v>1489.7558594</v>
      </c>
      <c r="H1089">
        <v>1345.052124</v>
      </c>
      <c r="I1089">
        <v>1260.6495361</v>
      </c>
      <c r="J1089">
        <v>1067.1307373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731.89878699999997</v>
      </c>
      <c r="B1090" s="1">
        <f>DATE(2012,5,1) + TIME(21,34,15)</f>
        <v>41030.898784722223</v>
      </c>
      <c r="C1090">
        <v>80</v>
      </c>
      <c r="D1090">
        <v>71.034629821999999</v>
      </c>
      <c r="E1090">
        <v>50</v>
      </c>
      <c r="F1090">
        <v>49.287017822000003</v>
      </c>
      <c r="G1090">
        <v>1494.8666992000001</v>
      </c>
      <c r="H1090">
        <v>1351.3863524999999</v>
      </c>
      <c r="I1090">
        <v>1253.7274170000001</v>
      </c>
      <c r="J1090">
        <v>1060.2026367000001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731.96154100000001</v>
      </c>
      <c r="B1091" s="1">
        <f>DATE(2012,5,1) + TIME(23,4,37)</f>
        <v>41030.961539351854</v>
      </c>
      <c r="C1091">
        <v>80</v>
      </c>
      <c r="D1091">
        <v>71.717094420999999</v>
      </c>
      <c r="E1091">
        <v>50</v>
      </c>
      <c r="F1091">
        <v>49.279594420999999</v>
      </c>
      <c r="G1091">
        <v>1499.9857178</v>
      </c>
      <c r="H1091">
        <v>1357.6921387</v>
      </c>
      <c r="I1091">
        <v>1246.8647461</v>
      </c>
      <c r="J1091">
        <v>1053.3343506000001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732.02837799999998</v>
      </c>
      <c r="B1092" s="1">
        <f>DATE(2012,5,2) + TIME(0,40,51)</f>
        <v>41031.028368055559</v>
      </c>
      <c r="C1092">
        <v>80</v>
      </c>
      <c r="D1092">
        <v>72.385093689000001</v>
      </c>
      <c r="E1092">
        <v>50</v>
      </c>
      <c r="F1092">
        <v>49.271942138999997</v>
      </c>
      <c r="G1092">
        <v>1505.1419678</v>
      </c>
      <c r="H1092">
        <v>1363.9992675999999</v>
      </c>
      <c r="I1092">
        <v>1240.0318603999999</v>
      </c>
      <c r="J1092">
        <v>1046.4959716999999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732.09988099999998</v>
      </c>
      <c r="B1093" s="1">
        <f>DATE(2012,5,2) + TIME(2,23,49)</f>
        <v>41031.099872685183</v>
      </c>
      <c r="C1093">
        <v>80</v>
      </c>
      <c r="D1093">
        <v>73.038208007999998</v>
      </c>
      <c r="E1093">
        <v>50</v>
      </c>
      <c r="F1093">
        <v>49.263980865000001</v>
      </c>
      <c r="G1093">
        <v>1510.3671875</v>
      </c>
      <c r="H1093">
        <v>1370.3405762</v>
      </c>
      <c r="I1093">
        <v>1233.1961670000001</v>
      </c>
      <c r="J1093">
        <v>1039.6547852000001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732.17675199999996</v>
      </c>
      <c r="B1094" s="1">
        <f>DATE(2012,5,2) + TIME(4,14,31)</f>
        <v>41031.176747685182</v>
      </c>
      <c r="C1094">
        <v>80</v>
      </c>
      <c r="D1094">
        <v>73.675796508999994</v>
      </c>
      <c r="E1094">
        <v>50</v>
      </c>
      <c r="F1094">
        <v>49.255615233999997</v>
      </c>
      <c r="G1094">
        <v>1515.6953125</v>
      </c>
      <c r="H1094">
        <v>1376.7501221</v>
      </c>
      <c r="I1094">
        <v>1226.3239745999999</v>
      </c>
      <c r="J1094">
        <v>1032.7772216999999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732.259861</v>
      </c>
      <c r="B1095" s="1">
        <f>DATE(2012,5,2) + TIME(6,14,12)</f>
        <v>41031.25986111111</v>
      </c>
      <c r="C1095">
        <v>80</v>
      </c>
      <c r="D1095">
        <v>74.297142029</v>
      </c>
      <c r="E1095">
        <v>50</v>
      </c>
      <c r="F1095">
        <v>49.246742249</v>
      </c>
      <c r="G1095">
        <v>1521.1639404</v>
      </c>
      <c r="H1095">
        <v>1383.2661132999999</v>
      </c>
      <c r="I1095">
        <v>1219.3781738</v>
      </c>
      <c r="J1095">
        <v>1025.8256836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732.35030200000006</v>
      </c>
      <c r="B1096" s="1">
        <f>DATE(2012,5,2) + TIME(8,24,26)</f>
        <v>41031.350300925929</v>
      </c>
      <c r="C1096">
        <v>80</v>
      </c>
      <c r="D1096">
        <v>74.901390075999998</v>
      </c>
      <c r="E1096">
        <v>50</v>
      </c>
      <c r="F1096">
        <v>49.237239838000001</v>
      </c>
      <c r="G1096">
        <v>1526.8161620999999</v>
      </c>
      <c r="H1096">
        <v>1389.9320068</v>
      </c>
      <c r="I1096">
        <v>1212.3165283000001</v>
      </c>
      <c r="J1096">
        <v>1018.7579956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732.44955400000003</v>
      </c>
      <c r="B1097" s="1">
        <f>DATE(2012,5,2) + TIME(10,47,21)</f>
        <v>41031.449548611112</v>
      </c>
      <c r="C1097">
        <v>80</v>
      </c>
      <c r="D1097">
        <v>75.487564086999996</v>
      </c>
      <c r="E1097">
        <v>50</v>
      </c>
      <c r="F1097">
        <v>49.226955414000003</v>
      </c>
      <c r="G1097">
        <v>1532.7076416</v>
      </c>
      <c r="H1097">
        <v>1396.8041992000001</v>
      </c>
      <c r="I1097">
        <v>1205.0843506000001</v>
      </c>
      <c r="J1097">
        <v>1011.5192261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732.55939699999999</v>
      </c>
      <c r="B1098" s="1">
        <f>DATE(2012,5,2) + TIME(13,25,31)</f>
        <v>41031.559386574074</v>
      </c>
      <c r="C1098">
        <v>80</v>
      </c>
      <c r="D1098">
        <v>76.054313660000005</v>
      </c>
      <c r="E1098">
        <v>50</v>
      </c>
      <c r="F1098">
        <v>49.215702057000001</v>
      </c>
      <c r="G1098">
        <v>1538.8969727000001</v>
      </c>
      <c r="H1098">
        <v>1403.9404297000001</v>
      </c>
      <c r="I1098">
        <v>1197.6263428</v>
      </c>
      <c r="J1098">
        <v>1004.053772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732.67098099999998</v>
      </c>
      <c r="B1099" s="1">
        <f>DATE(2012,5,2) + TIME(16,6,12)</f>
        <v>41031.670972222222</v>
      </c>
      <c r="C1099">
        <v>80</v>
      </c>
      <c r="D1099">
        <v>76.556297302000004</v>
      </c>
      <c r="E1099">
        <v>50</v>
      </c>
      <c r="F1099">
        <v>49.204193115000002</v>
      </c>
      <c r="G1099">
        <v>1544.8647461</v>
      </c>
      <c r="H1099">
        <v>1410.7453613</v>
      </c>
      <c r="I1099">
        <v>1190.5369873</v>
      </c>
      <c r="J1099">
        <v>996.95678711000005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732.78306799999996</v>
      </c>
      <c r="B1100" s="1">
        <f>DATE(2012,5,2) + TIME(18,47,37)</f>
        <v>41031.783067129632</v>
      </c>
      <c r="C1100">
        <v>80</v>
      </c>
      <c r="D1100">
        <v>76.995750427000004</v>
      </c>
      <c r="E1100">
        <v>50</v>
      </c>
      <c r="F1100">
        <v>49.192535399999997</v>
      </c>
      <c r="G1100">
        <v>1550.5756836</v>
      </c>
      <c r="H1100">
        <v>1417.1917725000001</v>
      </c>
      <c r="I1100">
        <v>1183.8463135</v>
      </c>
      <c r="J1100">
        <v>990.25799560999997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732.89618199999995</v>
      </c>
      <c r="B1101" s="1">
        <f>DATE(2012,5,2) + TIME(21,30,30)</f>
        <v>41031.896180555559</v>
      </c>
      <c r="C1101">
        <v>80</v>
      </c>
      <c r="D1101">
        <v>77.381835937999995</v>
      </c>
      <c r="E1101">
        <v>50</v>
      </c>
      <c r="F1101">
        <v>49.180698395</v>
      </c>
      <c r="G1101">
        <v>1556.0863036999999</v>
      </c>
      <c r="H1101">
        <v>1423.3521728999999</v>
      </c>
      <c r="I1101">
        <v>1177.4812012</v>
      </c>
      <c r="J1101">
        <v>983.88421631000006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733.01074200000005</v>
      </c>
      <c r="B1102" s="1">
        <f>DATE(2012,5,3) + TIME(0,15,28)</f>
        <v>41032.010740740741</v>
      </c>
      <c r="C1102">
        <v>80</v>
      </c>
      <c r="D1102">
        <v>77.721740722999996</v>
      </c>
      <c r="E1102">
        <v>50</v>
      </c>
      <c r="F1102">
        <v>49.168647765999999</v>
      </c>
      <c r="G1102">
        <v>1561.4354248</v>
      </c>
      <c r="H1102">
        <v>1429.277832</v>
      </c>
      <c r="I1102">
        <v>1171.3863524999999</v>
      </c>
      <c r="J1102">
        <v>977.78039550999995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733.12715600000001</v>
      </c>
      <c r="B1103" s="1">
        <f>DATE(2012,5,3) + TIME(3,3,6)</f>
        <v>41032.127152777779</v>
      </c>
      <c r="C1103">
        <v>80</v>
      </c>
      <c r="D1103">
        <v>78.021392821999996</v>
      </c>
      <c r="E1103">
        <v>50</v>
      </c>
      <c r="F1103">
        <v>49.156364441000001</v>
      </c>
      <c r="G1103">
        <v>1566.6538086</v>
      </c>
      <c r="H1103">
        <v>1435.0092772999999</v>
      </c>
      <c r="I1103">
        <v>1165.5166016000001</v>
      </c>
      <c r="J1103">
        <v>971.90106201000003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733.24583099999995</v>
      </c>
      <c r="B1104" s="1">
        <f>DATE(2012,5,3) + TIME(5,53,59)</f>
        <v>41032.245821759258</v>
      </c>
      <c r="C1104">
        <v>80</v>
      </c>
      <c r="D1104">
        <v>78.285751343000001</v>
      </c>
      <c r="E1104">
        <v>50</v>
      </c>
      <c r="F1104">
        <v>49.143821715999998</v>
      </c>
      <c r="G1104">
        <v>1571.7668457</v>
      </c>
      <c r="H1104">
        <v>1440.5800781</v>
      </c>
      <c r="I1104">
        <v>1159.8337402</v>
      </c>
      <c r="J1104">
        <v>966.20819091999999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733.36718399999995</v>
      </c>
      <c r="B1105" s="1">
        <f>DATE(2012,5,3) + TIME(8,48,44)</f>
        <v>41032.367175925923</v>
      </c>
      <c r="C1105">
        <v>80</v>
      </c>
      <c r="D1105">
        <v>78.518997192</v>
      </c>
      <c r="E1105">
        <v>50</v>
      </c>
      <c r="F1105">
        <v>49.130989075000002</v>
      </c>
      <c r="G1105">
        <v>1576.7963867000001</v>
      </c>
      <c r="H1105">
        <v>1446.019043</v>
      </c>
      <c r="I1105">
        <v>1154.3055420000001</v>
      </c>
      <c r="J1105">
        <v>960.66949463000003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733.49164900000005</v>
      </c>
      <c r="B1106" s="1">
        <f>DATE(2012,5,3) + TIME(11,47,58)</f>
        <v>41032.491643518515</v>
      </c>
      <c r="C1106">
        <v>80</v>
      </c>
      <c r="D1106">
        <v>78.724716186999999</v>
      </c>
      <c r="E1106">
        <v>50</v>
      </c>
      <c r="F1106">
        <v>49.117843628000003</v>
      </c>
      <c r="G1106">
        <v>1581.7612305</v>
      </c>
      <c r="H1106">
        <v>1451.3505858999999</v>
      </c>
      <c r="I1106">
        <v>1148.9036865</v>
      </c>
      <c r="J1106">
        <v>955.25683593999997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733.61968899999999</v>
      </c>
      <c r="B1107" s="1">
        <f>DATE(2012,5,3) + TIME(14,52,21)</f>
        <v>41032.619687500002</v>
      </c>
      <c r="C1107">
        <v>80</v>
      </c>
      <c r="D1107">
        <v>78.905982971</v>
      </c>
      <c r="E1107">
        <v>50</v>
      </c>
      <c r="F1107">
        <v>49.104347228999998</v>
      </c>
      <c r="G1107">
        <v>1586.6782227000001</v>
      </c>
      <c r="H1107">
        <v>1456.5965576000001</v>
      </c>
      <c r="I1107">
        <v>1143.6035156</v>
      </c>
      <c r="J1107">
        <v>949.9453125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733.75180399999999</v>
      </c>
      <c r="B1108" s="1">
        <f>DATE(2012,5,3) + TIME(18,2,35)</f>
        <v>41032.751793981479</v>
      </c>
      <c r="C1108">
        <v>80</v>
      </c>
      <c r="D1108">
        <v>79.065467834000003</v>
      </c>
      <c r="E1108">
        <v>50</v>
      </c>
      <c r="F1108">
        <v>49.09046936</v>
      </c>
      <c r="G1108">
        <v>1591.5628661999999</v>
      </c>
      <c r="H1108">
        <v>1461.7768555</v>
      </c>
      <c r="I1108">
        <v>1138.3825684000001</v>
      </c>
      <c r="J1108">
        <v>944.71258545000001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733.88862900000004</v>
      </c>
      <c r="B1109" s="1">
        <f>DATE(2012,5,3) + TIME(21,19,37)</f>
        <v>41032.888622685183</v>
      </c>
      <c r="C1109">
        <v>80</v>
      </c>
      <c r="D1109">
        <v>79.205574036000002</v>
      </c>
      <c r="E1109">
        <v>50</v>
      </c>
      <c r="F1109">
        <v>49.076160430999998</v>
      </c>
      <c r="G1109">
        <v>1596.4328613</v>
      </c>
      <c r="H1109">
        <v>1466.9125977000001</v>
      </c>
      <c r="I1109">
        <v>1133.2170410000001</v>
      </c>
      <c r="J1109">
        <v>939.53491211000005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734.03071499999999</v>
      </c>
      <c r="B1110" s="1">
        <f>DATE(2012,5,4) + TIME(0,44,13)</f>
        <v>41033.030706018515</v>
      </c>
      <c r="C1110">
        <v>80</v>
      </c>
      <c r="D1110">
        <v>79.328277588000006</v>
      </c>
      <c r="E1110">
        <v>50</v>
      </c>
      <c r="F1110">
        <v>49.061382293999998</v>
      </c>
      <c r="G1110">
        <v>1601.2993164</v>
      </c>
      <c r="H1110">
        <v>1472.0181885</v>
      </c>
      <c r="I1110">
        <v>1128.0904541</v>
      </c>
      <c r="J1110">
        <v>934.39550781000003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734.17847800000004</v>
      </c>
      <c r="B1111" s="1">
        <f>DATE(2012,5,4) + TIME(4,17,0)</f>
        <v>41033.178472222222</v>
      </c>
      <c r="C1111">
        <v>80</v>
      </c>
      <c r="D1111">
        <v>79.435211182000003</v>
      </c>
      <c r="E1111">
        <v>50</v>
      </c>
      <c r="F1111">
        <v>49.046104431000003</v>
      </c>
      <c r="G1111">
        <v>1606.1668701000001</v>
      </c>
      <c r="H1111">
        <v>1477.1005858999999</v>
      </c>
      <c r="I1111">
        <v>1122.9929199000001</v>
      </c>
      <c r="J1111">
        <v>929.28485106999995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734.33214199999998</v>
      </c>
      <c r="B1112" s="1">
        <f>DATE(2012,5,4) + TIME(7,58,17)</f>
        <v>41033.332141203704</v>
      </c>
      <c r="C1112">
        <v>80</v>
      </c>
      <c r="D1112">
        <v>79.527801514000004</v>
      </c>
      <c r="E1112">
        <v>50</v>
      </c>
      <c r="F1112">
        <v>49.030323029000002</v>
      </c>
      <c r="G1112">
        <v>1611.0322266000001</v>
      </c>
      <c r="H1112">
        <v>1482.1586914</v>
      </c>
      <c r="I1112">
        <v>1117.9232178</v>
      </c>
      <c r="J1112">
        <v>924.20147704999999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734.49242200000003</v>
      </c>
      <c r="B1113" s="1">
        <f>DATE(2012,5,4) + TIME(11,49,5)</f>
        <v>41033.492418981485</v>
      </c>
      <c r="C1113">
        <v>80</v>
      </c>
      <c r="D1113">
        <v>79.607620238999999</v>
      </c>
      <c r="E1113">
        <v>50</v>
      </c>
      <c r="F1113">
        <v>49.013977050999998</v>
      </c>
      <c r="G1113">
        <v>1615.9072266000001</v>
      </c>
      <c r="H1113">
        <v>1487.2066649999999</v>
      </c>
      <c r="I1113">
        <v>1112.8654785000001</v>
      </c>
      <c r="J1113">
        <v>919.12957763999998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734.66016000000002</v>
      </c>
      <c r="B1114" s="1">
        <f>DATE(2012,5,4) + TIME(15,50,37)</f>
        <v>41033.660150462965</v>
      </c>
      <c r="C1114">
        <v>80</v>
      </c>
      <c r="D1114">
        <v>79.676078795999999</v>
      </c>
      <c r="E1114">
        <v>50</v>
      </c>
      <c r="F1114">
        <v>48.997013092000003</v>
      </c>
      <c r="G1114">
        <v>1620.8045654</v>
      </c>
      <c r="H1114">
        <v>1492.2593993999999</v>
      </c>
      <c r="I1114">
        <v>1107.8032227000001</v>
      </c>
      <c r="J1114">
        <v>914.05279541000004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734.83632899999998</v>
      </c>
      <c r="B1115" s="1">
        <f>DATE(2012,5,4) + TIME(20,4,18)</f>
        <v>41033.836319444446</v>
      </c>
      <c r="C1115">
        <v>80</v>
      </c>
      <c r="D1115">
        <v>79.734458923000005</v>
      </c>
      <c r="E1115">
        <v>50</v>
      </c>
      <c r="F1115">
        <v>48.979358673</v>
      </c>
      <c r="G1115">
        <v>1625.7370605000001</v>
      </c>
      <c r="H1115">
        <v>1497.331543</v>
      </c>
      <c r="I1115">
        <v>1102.7199707</v>
      </c>
      <c r="J1115">
        <v>908.95434569999998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735.02205000000004</v>
      </c>
      <c r="B1116" s="1">
        <f>DATE(2012,5,5) + TIME(0,31,45)</f>
        <v>41034.022048611114</v>
      </c>
      <c r="C1116">
        <v>80</v>
      </c>
      <c r="D1116">
        <v>79.783889771000005</v>
      </c>
      <c r="E1116">
        <v>50</v>
      </c>
      <c r="F1116">
        <v>48.960926055999998</v>
      </c>
      <c r="G1116">
        <v>1630.7177733999999</v>
      </c>
      <c r="H1116">
        <v>1502.4381103999999</v>
      </c>
      <c r="I1116">
        <v>1097.598999</v>
      </c>
      <c r="J1116">
        <v>903.81756591999999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735.21864500000004</v>
      </c>
      <c r="B1117" s="1">
        <f>DATE(2012,5,5) + TIME(5,14,50)</f>
        <v>41034.218634259261</v>
      </c>
      <c r="C1117">
        <v>80</v>
      </c>
      <c r="D1117">
        <v>79.825393676999994</v>
      </c>
      <c r="E1117">
        <v>50</v>
      </c>
      <c r="F1117">
        <v>48.941623688</v>
      </c>
      <c r="G1117">
        <v>1635.7609863</v>
      </c>
      <c r="H1117">
        <v>1507.5948486</v>
      </c>
      <c r="I1117">
        <v>1092.4222411999999</v>
      </c>
      <c r="J1117">
        <v>898.62438965000001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735.42774199999997</v>
      </c>
      <c r="B1118" s="1">
        <f>DATE(2012,5,5) + TIME(10,15,56)</f>
        <v>41034.427731481483</v>
      </c>
      <c r="C1118">
        <v>80</v>
      </c>
      <c r="D1118">
        <v>79.859909058</v>
      </c>
      <c r="E1118">
        <v>50</v>
      </c>
      <c r="F1118">
        <v>48.921329497999999</v>
      </c>
      <c r="G1118">
        <v>1640.8835449000001</v>
      </c>
      <c r="H1118">
        <v>1512.8200684000001</v>
      </c>
      <c r="I1118">
        <v>1087.1691894999999</v>
      </c>
      <c r="J1118">
        <v>893.35418701000003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735.65127399999994</v>
      </c>
      <c r="B1119" s="1">
        <f>DATE(2012,5,5) + TIME(15,37,50)</f>
        <v>41034.651273148149</v>
      </c>
      <c r="C1119">
        <v>80</v>
      </c>
      <c r="D1119">
        <v>79.888267517000003</v>
      </c>
      <c r="E1119">
        <v>50</v>
      </c>
      <c r="F1119">
        <v>48.899906158</v>
      </c>
      <c r="G1119">
        <v>1646.1037598</v>
      </c>
      <c r="H1119">
        <v>1518.1334228999999</v>
      </c>
      <c r="I1119">
        <v>1081.8178711</v>
      </c>
      <c r="J1119">
        <v>887.98498534999999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735.88100299999996</v>
      </c>
      <c r="B1120" s="1">
        <f>DATE(2012,5,5) + TIME(21,8,38)</f>
        <v>41034.880995370368</v>
      </c>
      <c r="C1120">
        <v>80</v>
      </c>
      <c r="D1120">
        <v>79.910430907999995</v>
      </c>
      <c r="E1120">
        <v>50</v>
      </c>
      <c r="F1120">
        <v>48.877937316999997</v>
      </c>
      <c r="G1120">
        <v>1651.2001952999999</v>
      </c>
      <c r="H1120">
        <v>1523.3132324000001</v>
      </c>
      <c r="I1120">
        <v>1076.5732422000001</v>
      </c>
      <c r="J1120">
        <v>882.72229003999996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736.11146799999995</v>
      </c>
      <c r="B1121" s="1">
        <f>DATE(2012,5,6) + TIME(2,40,30)</f>
        <v>41035.111458333333</v>
      </c>
      <c r="C1121">
        <v>80</v>
      </c>
      <c r="D1121">
        <v>79.927253723000007</v>
      </c>
      <c r="E1121">
        <v>50</v>
      </c>
      <c r="F1121">
        <v>48.855842590000002</v>
      </c>
      <c r="G1121">
        <v>1656.0626221</v>
      </c>
      <c r="H1121">
        <v>1528.2487793</v>
      </c>
      <c r="I1121">
        <v>1071.5480957</v>
      </c>
      <c r="J1121">
        <v>877.67913818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736.34357999999997</v>
      </c>
      <c r="B1122" s="1">
        <f>DATE(2012,5,6) + TIME(8,14,45)</f>
        <v>41035.343576388892</v>
      </c>
      <c r="C1122">
        <v>80</v>
      </c>
      <c r="D1122">
        <v>79.940002441000004</v>
      </c>
      <c r="E1122">
        <v>50</v>
      </c>
      <c r="F1122">
        <v>48.833610534999998</v>
      </c>
      <c r="G1122">
        <v>1660.7341309000001</v>
      </c>
      <c r="H1122">
        <v>1532.9846190999999</v>
      </c>
      <c r="I1122">
        <v>1066.7087402</v>
      </c>
      <c r="J1122">
        <v>872.82177734000004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736.57821200000001</v>
      </c>
      <c r="B1123" s="1">
        <f>DATE(2012,5,6) + TIME(13,52,37)</f>
        <v>41035.578206018516</v>
      </c>
      <c r="C1123">
        <v>80</v>
      </c>
      <c r="D1123">
        <v>79.949607849000003</v>
      </c>
      <c r="E1123">
        <v>50</v>
      </c>
      <c r="F1123">
        <v>48.811206818000002</v>
      </c>
      <c r="G1123">
        <v>1665.2442627</v>
      </c>
      <c r="H1123">
        <v>1537.5520019999999</v>
      </c>
      <c r="I1123">
        <v>1062.0264893000001</v>
      </c>
      <c r="J1123">
        <v>868.12164307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736.81619899999998</v>
      </c>
      <c r="B1124" s="1">
        <f>DATE(2012,5,6) + TIME(19,35,19)</f>
        <v>41035.816192129627</v>
      </c>
      <c r="C1124">
        <v>80</v>
      </c>
      <c r="D1124">
        <v>79.956787109000004</v>
      </c>
      <c r="E1124">
        <v>50</v>
      </c>
      <c r="F1124">
        <v>48.788593292000002</v>
      </c>
      <c r="G1124">
        <v>1669.6164550999999</v>
      </c>
      <c r="H1124">
        <v>1541.9755858999999</v>
      </c>
      <c r="I1124">
        <v>1057.4775391000001</v>
      </c>
      <c r="J1124">
        <v>863.55450439000003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737.05836599999998</v>
      </c>
      <c r="B1125" s="1">
        <f>DATE(2012,5,7) + TIME(1,24,2)</f>
        <v>41036.058356481481</v>
      </c>
      <c r="C1125">
        <v>80</v>
      </c>
      <c r="D1125">
        <v>79.962066649999997</v>
      </c>
      <c r="E1125">
        <v>50</v>
      </c>
      <c r="F1125">
        <v>48.765720367</v>
      </c>
      <c r="G1125">
        <v>1673.8701172000001</v>
      </c>
      <c r="H1125">
        <v>1546.2757568</v>
      </c>
      <c r="I1125">
        <v>1053.0410156</v>
      </c>
      <c r="J1125">
        <v>859.09985352000001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737.30555100000004</v>
      </c>
      <c r="B1126" s="1">
        <f>DATE(2012,5,7) + TIME(7,19,59)</f>
        <v>41036.305543981478</v>
      </c>
      <c r="C1126">
        <v>80</v>
      </c>
      <c r="D1126">
        <v>79.965873717999997</v>
      </c>
      <c r="E1126">
        <v>50</v>
      </c>
      <c r="F1126">
        <v>48.742538451999998</v>
      </c>
      <c r="G1126">
        <v>1678.0218506000001</v>
      </c>
      <c r="H1126">
        <v>1550.4703368999999</v>
      </c>
      <c r="I1126">
        <v>1048.6989745999999</v>
      </c>
      <c r="J1126">
        <v>854.73950194999998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737.558629</v>
      </c>
      <c r="B1127" s="1">
        <f>DATE(2012,5,7) + TIME(13,24,25)</f>
        <v>41036.558622685188</v>
      </c>
      <c r="C1127">
        <v>80</v>
      </c>
      <c r="D1127">
        <v>79.968521117999998</v>
      </c>
      <c r="E1127">
        <v>50</v>
      </c>
      <c r="F1127">
        <v>48.718982697000001</v>
      </c>
      <c r="G1127">
        <v>1682.0865478999999</v>
      </c>
      <c r="H1127">
        <v>1554.5748291</v>
      </c>
      <c r="I1127">
        <v>1044.4351807</v>
      </c>
      <c r="J1127">
        <v>850.45721435999997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737.81852800000001</v>
      </c>
      <c r="B1128" s="1">
        <f>DATE(2012,5,7) + TIME(19,38,40)</f>
        <v>41036.818518518521</v>
      </c>
      <c r="C1128">
        <v>80</v>
      </c>
      <c r="D1128">
        <v>79.970260620000005</v>
      </c>
      <c r="E1128">
        <v>50</v>
      </c>
      <c r="F1128">
        <v>48.69499588</v>
      </c>
      <c r="G1128">
        <v>1686.0777588000001</v>
      </c>
      <c r="H1128">
        <v>1558.6031493999999</v>
      </c>
      <c r="I1128">
        <v>1040.2349853999999</v>
      </c>
      <c r="J1128">
        <v>846.23834228999999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738.08636300000001</v>
      </c>
      <c r="B1129" s="1">
        <f>DATE(2012,5,8) + TIME(2,4,21)</f>
        <v>41037.086354166669</v>
      </c>
      <c r="C1129">
        <v>80</v>
      </c>
      <c r="D1129">
        <v>79.971298218000001</v>
      </c>
      <c r="E1129">
        <v>50</v>
      </c>
      <c r="F1129">
        <v>48.670490264999998</v>
      </c>
      <c r="G1129">
        <v>1690.0093993999999</v>
      </c>
      <c r="H1129">
        <v>1562.5697021000001</v>
      </c>
      <c r="I1129">
        <v>1036.0832519999999</v>
      </c>
      <c r="J1129">
        <v>842.06768798999997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738.363248</v>
      </c>
      <c r="B1130" s="1">
        <f>DATE(2012,5,8) + TIME(8,43,4)</f>
        <v>41037.363240740742</v>
      </c>
      <c r="C1130">
        <v>80</v>
      </c>
      <c r="D1130">
        <v>79.971786499000004</v>
      </c>
      <c r="E1130">
        <v>50</v>
      </c>
      <c r="F1130">
        <v>48.645389557000001</v>
      </c>
      <c r="G1130">
        <v>1693.8929443</v>
      </c>
      <c r="H1130">
        <v>1566.4865723</v>
      </c>
      <c r="I1130">
        <v>1031.9671631000001</v>
      </c>
      <c r="J1130">
        <v>837.93237305000002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738.65033600000004</v>
      </c>
      <c r="B1131" s="1">
        <f>DATE(2012,5,8) + TIME(15,36,29)</f>
        <v>41037.650335648148</v>
      </c>
      <c r="C1131">
        <v>80</v>
      </c>
      <c r="D1131">
        <v>79.971847534000005</v>
      </c>
      <c r="E1131">
        <v>50</v>
      </c>
      <c r="F1131">
        <v>48.619609832999998</v>
      </c>
      <c r="G1131">
        <v>1697.7380370999999</v>
      </c>
      <c r="H1131">
        <v>1570.3635254000001</v>
      </c>
      <c r="I1131">
        <v>1027.8758545000001</v>
      </c>
      <c r="J1131">
        <v>833.82135010000002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738.94904399999996</v>
      </c>
      <c r="B1132" s="1">
        <f>DATE(2012,5,8) + TIME(22,46,37)</f>
        <v>41037.94903935185</v>
      </c>
      <c r="C1132">
        <v>80</v>
      </c>
      <c r="D1132">
        <v>79.971572875999996</v>
      </c>
      <c r="E1132">
        <v>50</v>
      </c>
      <c r="F1132">
        <v>48.593040465999998</v>
      </c>
      <c r="G1132">
        <v>1701.5556641000001</v>
      </c>
      <c r="H1132">
        <v>1574.2117920000001</v>
      </c>
      <c r="I1132">
        <v>1023.7966919</v>
      </c>
      <c r="J1132">
        <v>829.72210693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739.26099299999998</v>
      </c>
      <c r="B1133" s="1">
        <f>DATE(2012,5,9) + TIME(6,15,49)</f>
        <v>41038.260983796295</v>
      </c>
      <c r="C1133">
        <v>80</v>
      </c>
      <c r="D1133">
        <v>79.971046447999996</v>
      </c>
      <c r="E1133">
        <v>50</v>
      </c>
      <c r="F1133">
        <v>48.565574646000002</v>
      </c>
      <c r="G1133">
        <v>1705.3568115</v>
      </c>
      <c r="H1133">
        <v>1578.0427245999999</v>
      </c>
      <c r="I1133">
        <v>1019.7175293</v>
      </c>
      <c r="J1133">
        <v>825.62225341999999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739.58804499999997</v>
      </c>
      <c r="B1134" s="1">
        <f>DATE(2012,5,9) + TIME(14,6,47)</f>
        <v>41038.588043981479</v>
      </c>
      <c r="C1134">
        <v>80</v>
      </c>
      <c r="D1134">
        <v>79.970314025999997</v>
      </c>
      <c r="E1134">
        <v>50</v>
      </c>
      <c r="F1134">
        <v>48.537078856999997</v>
      </c>
      <c r="G1134">
        <v>1709.1522216999999</v>
      </c>
      <c r="H1134">
        <v>1581.8671875</v>
      </c>
      <c r="I1134">
        <v>1015.6256714</v>
      </c>
      <c r="J1134">
        <v>821.50909423999997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739.93107099999997</v>
      </c>
      <c r="B1135" s="1">
        <f>DATE(2012,5,9) + TIME(22,20,44)</f>
        <v>41038.931064814817</v>
      </c>
      <c r="C1135">
        <v>80</v>
      </c>
      <c r="D1135">
        <v>79.969436646000005</v>
      </c>
      <c r="E1135">
        <v>50</v>
      </c>
      <c r="F1135">
        <v>48.507476807000003</v>
      </c>
      <c r="G1135">
        <v>1712.9381103999999</v>
      </c>
      <c r="H1135">
        <v>1585.6813964999999</v>
      </c>
      <c r="I1135">
        <v>1011.5229492</v>
      </c>
      <c r="J1135">
        <v>817.38446045000001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740.29012299999999</v>
      </c>
      <c r="B1136" s="1">
        <f>DATE(2012,5,10) + TIME(6,57,46)</f>
        <v>41039.29011574074</v>
      </c>
      <c r="C1136">
        <v>80</v>
      </c>
      <c r="D1136">
        <v>79.968444824000002</v>
      </c>
      <c r="E1136">
        <v>50</v>
      </c>
      <c r="F1136">
        <v>48.476745604999998</v>
      </c>
      <c r="G1136">
        <v>1716.7014160000001</v>
      </c>
      <c r="H1136">
        <v>1589.4726562000001</v>
      </c>
      <c r="I1136">
        <v>1007.4208374</v>
      </c>
      <c r="J1136">
        <v>813.25970458999996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740.66752099999997</v>
      </c>
      <c r="B1137" s="1">
        <f>DATE(2012,5,10) + TIME(16,1,13)</f>
        <v>41039.667511574073</v>
      </c>
      <c r="C1137">
        <v>80</v>
      </c>
      <c r="D1137">
        <v>79.967384338000002</v>
      </c>
      <c r="E1137">
        <v>50</v>
      </c>
      <c r="F1137">
        <v>48.444747925000001</v>
      </c>
      <c r="G1137">
        <v>1720.4550781</v>
      </c>
      <c r="H1137">
        <v>1593.2536620999999</v>
      </c>
      <c r="I1137">
        <v>1003.3065186</v>
      </c>
      <c r="J1137">
        <v>809.12194824000005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741.05059800000004</v>
      </c>
      <c r="B1138" s="1">
        <f>DATE(2012,5,11) + TIME(1,12,51)</f>
        <v>41040.05059027778</v>
      </c>
      <c r="C1138">
        <v>80</v>
      </c>
      <c r="D1138">
        <v>79.966270446999999</v>
      </c>
      <c r="E1138">
        <v>50</v>
      </c>
      <c r="F1138">
        <v>48.412155151</v>
      </c>
      <c r="G1138">
        <v>1724.0592041</v>
      </c>
      <c r="H1138">
        <v>1596.8846435999999</v>
      </c>
      <c r="I1138">
        <v>999.31787109000004</v>
      </c>
      <c r="J1138">
        <v>805.10986328000001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741.435385</v>
      </c>
      <c r="B1139" s="1">
        <f>DATE(2012,5,11) + TIME(10,26,57)</f>
        <v>41040.435381944444</v>
      </c>
      <c r="C1139">
        <v>80</v>
      </c>
      <c r="D1139">
        <v>79.965179442999997</v>
      </c>
      <c r="E1139">
        <v>50</v>
      </c>
      <c r="F1139">
        <v>48.379295349000003</v>
      </c>
      <c r="G1139">
        <v>1727.4908447</v>
      </c>
      <c r="H1139">
        <v>1600.3417969</v>
      </c>
      <c r="I1139">
        <v>995.48828125</v>
      </c>
      <c r="J1139">
        <v>801.25665283000001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741.82325100000003</v>
      </c>
      <c r="B1140" s="1">
        <f>DATE(2012,5,11) + TIME(19,45,28)</f>
        <v>41040.823240740741</v>
      </c>
      <c r="C1140">
        <v>80</v>
      </c>
      <c r="D1140">
        <v>79.964111328000001</v>
      </c>
      <c r="E1140">
        <v>50</v>
      </c>
      <c r="F1140">
        <v>48.346202849999997</v>
      </c>
      <c r="G1140">
        <v>1730.777832</v>
      </c>
      <c r="H1140">
        <v>1603.652832</v>
      </c>
      <c r="I1140">
        <v>991.79608154000005</v>
      </c>
      <c r="J1140">
        <v>797.54071045000001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742.21552099999997</v>
      </c>
      <c r="B1141" s="1">
        <f>DATE(2012,5,12) + TIME(5,10,21)</f>
        <v>41041.215520833335</v>
      </c>
      <c r="C1141">
        <v>80</v>
      </c>
      <c r="D1141">
        <v>79.963081360000004</v>
      </c>
      <c r="E1141">
        <v>50</v>
      </c>
      <c r="F1141">
        <v>48.312862396</v>
      </c>
      <c r="G1141">
        <v>1733.9400635</v>
      </c>
      <c r="H1141">
        <v>1606.8378906</v>
      </c>
      <c r="I1141">
        <v>988.22259521000001</v>
      </c>
      <c r="J1141">
        <v>793.94335937999995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742.61350700000003</v>
      </c>
      <c r="B1142" s="1">
        <f>DATE(2012,5,12) + TIME(14,43,26)</f>
        <v>41041.613495370373</v>
      </c>
      <c r="C1142">
        <v>80</v>
      </c>
      <c r="D1142">
        <v>79.962097168</v>
      </c>
      <c r="E1142">
        <v>50</v>
      </c>
      <c r="F1142">
        <v>48.279232024999999</v>
      </c>
      <c r="G1142">
        <v>1736.9935303</v>
      </c>
      <c r="H1142">
        <v>1609.9130858999999</v>
      </c>
      <c r="I1142">
        <v>984.75183104999996</v>
      </c>
      <c r="J1142">
        <v>790.44854736000002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743.01853300000005</v>
      </c>
      <c r="B1143" s="1">
        <f>DATE(2012,5,13) + TIME(0,26,41)</f>
        <v>41042.018530092595</v>
      </c>
      <c r="C1143">
        <v>80</v>
      </c>
      <c r="D1143">
        <v>79.961143493999998</v>
      </c>
      <c r="E1143">
        <v>50</v>
      </c>
      <c r="F1143">
        <v>48.245239257999998</v>
      </c>
      <c r="G1143">
        <v>1739.9517822</v>
      </c>
      <c r="H1143">
        <v>1612.8920897999999</v>
      </c>
      <c r="I1143">
        <v>981.36968993999994</v>
      </c>
      <c r="J1143">
        <v>787.04211425999995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743.43197299999997</v>
      </c>
      <c r="B1144" s="1">
        <f>DATE(2012,5,13) + TIME(10,22,2)</f>
        <v>41042.431967592594</v>
      </c>
      <c r="C1144">
        <v>80</v>
      </c>
      <c r="D1144">
        <v>79.960227966000005</v>
      </c>
      <c r="E1144">
        <v>50</v>
      </c>
      <c r="F1144">
        <v>48.210807799999998</v>
      </c>
      <c r="G1144">
        <v>1742.8266602000001</v>
      </c>
      <c r="H1144">
        <v>1615.7867432</v>
      </c>
      <c r="I1144">
        <v>978.06372069999998</v>
      </c>
      <c r="J1144">
        <v>783.71166991999996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743.85527500000001</v>
      </c>
      <c r="B1145" s="1">
        <f>DATE(2012,5,13) + TIME(20,31,35)</f>
        <v>41042.855266203704</v>
      </c>
      <c r="C1145">
        <v>80</v>
      </c>
      <c r="D1145">
        <v>79.959342957000004</v>
      </c>
      <c r="E1145">
        <v>50</v>
      </c>
      <c r="F1145">
        <v>48.175846100000001</v>
      </c>
      <c r="G1145">
        <v>1745.6281738</v>
      </c>
      <c r="H1145">
        <v>1618.6074219</v>
      </c>
      <c r="I1145">
        <v>974.82275390999996</v>
      </c>
      <c r="J1145">
        <v>780.44592284999999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744.29000199999996</v>
      </c>
      <c r="B1146" s="1">
        <f>DATE(2012,5,14) + TIME(6,57,36)</f>
        <v>41043.29</v>
      </c>
      <c r="C1146">
        <v>80</v>
      </c>
      <c r="D1146">
        <v>79.958496093999997</v>
      </c>
      <c r="E1146">
        <v>50</v>
      </c>
      <c r="F1146">
        <v>48.140251159999998</v>
      </c>
      <c r="G1146">
        <v>1748.3659668</v>
      </c>
      <c r="H1146">
        <v>1621.3635254000001</v>
      </c>
      <c r="I1146">
        <v>971.63653564000003</v>
      </c>
      <c r="J1146">
        <v>777.23455810999997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744.73812099999998</v>
      </c>
      <c r="B1147" s="1">
        <f>DATE(2012,5,14) + TIME(17,42,53)</f>
        <v>41043.738113425927</v>
      </c>
      <c r="C1147">
        <v>80</v>
      </c>
      <c r="D1147">
        <v>79.957672118999994</v>
      </c>
      <c r="E1147">
        <v>50</v>
      </c>
      <c r="F1147">
        <v>48.103897095000001</v>
      </c>
      <c r="G1147">
        <v>1751.0499268000001</v>
      </c>
      <c r="H1147">
        <v>1624.0654297000001</v>
      </c>
      <c r="I1147">
        <v>968.49389647999999</v>
      </c>
      <c r="J1147">
        <v>774.06616211000005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745.20139700000004</v>
      </c>
      <c r="B1148" s="1">
        <f>DATE(2012,5,15) + TIME(4,50,0)</f>
        <v>41044.201388888891</v>
      </c>
      <c r="C1148">
        <v>80</v>
      </c>
      <c r="D1148">
        <v>79.956871032999999</v>
      </c>
      <c r="E1148">
        <v>50</v>
      </c>
      <c r="F1148">
        <v>48.066658019999998</v>
      </c>
      <c r="G1148">
        <v>1753.6868896000001</v>
      </c>
      <c r="H1148">
        <v>1626.7196045000001</v>
      </c>
      <c r="I1148">
        <v>965.38677978999999</v>
      </c>
      <c r="J1148">
        <v>770.93286133000004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745.68168400000002</v>
      </c>
      <c r="B1149" s="1">
        <f>DATE(2012,5,15) + TIME(16,21,37)</f>
        <v>41044.68167824074</v>
      </c>
      <c r="C1149">
        <v>80</v>
      </c>
      <c r="D1149">
        <v>79.956100464000002</v>
      </c>
      <c r="E1149">
        <v>50</v>
      </c>
      <c r="F1149">
        <v>48.028411865000002</v>
      </c>
      <c r="G1149">
        <v>1756.2825928</v>
      </c>
      <c r="H1149">
        <v>1629.3321533000001</v>
      </c>
      <c r="I1149">
        <v>962.30841064000003</v>
      </c>
      <c r="J1149">
        <v>767.82757568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746.17851800000005</v>
      </c>
      <c r="B1150" s="1">
        <f>DATE(2012,5,16) + TIME(4,17,3)</f>
        <v>41045.178506944445</v>
      </c>
      <c r="C1150">
        <v>80</v>
      </c>
      <c r="D1150">
        <v>79.955345154</v>
      </c>
      <c r="E1150">
        <v>50</v>
      </c>
      <c r="F1150">
        <v>47.989131927000003</v>
      </c>
      <c r="G1150">
        <v>1758.8284911999999</v>
      </c>
      <c r="H1150">
        <v>1631.8944091999999</v>
      </c>
      <c r="I1150">
        <v>959.26684569999998</v>
      </c>
      <c r="J1150">
        <v>764.75848388999998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746.69469300000003</v>
      </c>
      <c r="B1151" s="1">
        <f>DATE(2012,5,16) + TIME(16,40,21)</f>
        <v>41045.694687499999</v>
      </c>
      <c r="C1151">
        <v>80</v>
      </c>
      <c r="D1151">
        <v>79.954620360999996</v>
      </c>
      <c r="E1151">
        <v>50</v>
      </c>
      <c r="F1151">
        <v>47.948684692</v>
      </c>
      <c r="G1151">
        <v>1761.3349608999999</v>
      </c>
      <c r="H1151">
        <v>1634.4168701000001</v>
      </c>
      <c r="I1151">
        <v>956.25152588000003</v>
      </c>
      <c r="J1151">
        <v>761.71484375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747.23323900000003</v>
      </c>
      <c r="B1152" s="1">
        <f>DATE(2012,5,17) + TIME(5,35,51)</f>
        <v>41046.233229166668</v>
      </c>
      <c r="C1152">
        <v>80</v>
      </c>
      <c r="D1152">
        <v>79.953918457</v>
      </c>
      <c r="E1152">
        <v>50</v>
      </c>
      <c r="F1152">
        <v>47.906883239999999</v>
      </c>
      <c r="G1152">
        <v>1763.8104248</v>
      </c>
      <c r="H1152">
        <v>1636.9079589999999</v>
      </c>
      <c r="I1152">
        <v>953.25274658000001</v>
      </c>
      <c r="J1152">
        <v>758.68676758000004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747.79787399999998</v>
      </c>
      <c r="B1153" s="1">
        <f>DATE(2012,5,17) + TIME(19,8,56)</f>
        <v>41046.79787037037</v>
      </c>
      <c r="C1153">
        <v>80</v>
      </c>
      <c r="D1153">
        <v>79.953231811999999</v>
      </c>
      <c r="E1153">
        <v>50</v>
      </c>
      <c r="F1153">
        <v>47.863517760999997</v>
      </c>
      <c r="G1153">
        <v>1766.2635498</v>
      </c>
      <c r="H1153">
        <v>1639.3763428</v>
      </c>
      <c r="I1153">
        <v>950.26000977000001</v>
      </c>
      <c r="J1153">
        <v>755.66369628999996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748.080243</v>
      </c>
      <c r="B1154" s="1">
        <f>DATE(2012,5,18) + TIME(1,55,32)</f>
        <v>41047.080231481479</v>
      </c>
      <c r="C1154">
        <v>80</v>
      </c>
      <c r="D1154">
        <v>79.952644348000007</v>
      </c>
      <c r="E1154">
        <v>50</v>
      </c>
      <c r="F1154">
        <v>47.835567474000001</v>
      </c>
      <c r="G1154">
        <v>1767.3353271000001</v>
      </c>
      <c r="H1154">
        <v>1640.4620361</v>
      </c>
      <c r="I1154">
        <v>948.77661133000004</v>
      </c>
      <c r="J1154">
        <v>754.16558838000003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748.36261100000002</v>
      </c>
      <c r="B1155" s="1">
        <f>DATE(2012,5,18) + TIME(8,42,9)</f>
        <v>41047.362604166665</v>
      </c>
      <c r="C1155">
        <v>80</v>
      </c>
      <c r="D1155">
        <v>79.952224731000001</v>
      </c>
      <c r="E1155">
        <v>50</v>
      </c>
      <c r="F1155">
        <v>47.809185028000002</v>
      </c>
      <c r="G1155">
        <v>1768.4229736</v>
      </c>
      <c r="H1155">
        <v>1641.5576172000001</v>
      </c>
      <c r="I1155">
        <v>947.34362793000003</v>
      </c>
      <c r="J1155">
        <v>752.71301270000004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748.64498000000003</v>
      </c>
      <c r="B1156" s="1">
        <f>DATE(2012,5,18) + TIME(15,28,46)</f>
        <v>41047.644976851851</v>
      </c>
      <c r="C1156">
        <v>80</v>
      </c>
      <c r="D1156">
        <v>79.951919556000007</v>
      </c>
      <c r="E1156">
        <v>50</v>
      </c>
      <c r="F1156">
        <v>47.783946991000001</v>
      </c>
      <c r="G1156">
        <v>1769.5079346</v>
      </c>
      <c r="H1156">
        <v>1642.6496582</v>
      </c>
      <c r="I1156">
        <v>945.94647216999999</v>
      </c>
      <c r="J1156">
        <v>751.29718018000005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749.20971799999995</v>
      </c>
      <c r="B1157" s="1">
        <f>DATE(2012,5,19) + TIME(5,1,59)</f>
        <v>41048.209710648145</v>
      </c>
      <c r="C1157">
        <v>80</v>
      </c>
      <c r="D1157">
        <v>79.951667786000002</v>
      </c>
      <c r="E1157">
        <v>50</v>
      </c>
      <c r="F1157">
        <v>47.745655059999997</v>
      </c>
      <c r="G1157">
        <v>1771.7443848</v>
      </c>
      <c r="H1157">
        <v>1644.8933105000001</v>
      </c>
      <c r="I1157">
        <v>943.31030272999999</v>
      </c>
      <c r="J1157">
        <v>748.62933350000003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749.77448100000004</v>
      </c>
      <c r="B1158" s="1">
        <f>DATE(2012,5,19) + TIME(18,35,15)</f>
        <v>41048.77447916667</v>
      </c>
      <c r="C1158">
        <v>80</v>
      </c>
      <c r="D1158">
        <v>79.951194763000004</v>
      </c>
      <c r="E1158">
        <v>50</v>
      </c>
      <c r="F1158">
        <v>47.704963683999999</v>
      </c>
      <c r="G1158">
        <v>1773.7905272999999</v>
      </c>
      <c r="H1158">
        <v>1646.9516602000001</v>
      </c>
      <c r="I1158">
        <v>940.77752685999997</v>
      </c>
      <c r="J1158">
        <v>746.06890868999994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750.34375</v>
      </c>
      <c r="B1159" s="1">
        <f>DATE(2012,5,20) + TIME(8,15,0)</f>
        <v>41049.34375</v>
      </c>
      <c r="C1159">
        <v>80</v>
      </c>
      <c r="D1159">
        <v>79.950683593999997</v>
      </c>
      <c r="E1159">
        <v>50</v>
      </c>
      <c r="F1159">
        <v>47.662818909000002</v>
      </c>
      <c r="G1159">
        <v>1775.7189940999999</v>
      </c>
      <c r="H1159">
        <v>1648.8920897999999</v>
      </c>
      <c r="I1159">
        <v>938.33825683999999</v>
      </c>
      <c r="J1159">
        <v>743.60052489999998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750.91982499999995</v>
      </c>
      <c r="B1160" s="1">
        <f>DATE(2012,5,20) + TIME(22,4,32)</f>
        <v>41049.919814814813</v>
      </c>
      <c r="C1160">
        <v>80</v>
      </c>
      <c r="D1160">
        <v>79.950187682999996</v>
      </c>
      <c r="E1160">
        <v>50</v>
      </c>
      <c r="F1160">
        <v>47.619701384999999</v>
      </c>
      <c r="G1160">
        <v>1777.5598144999999</v>
      </c>
      <c r="H1160">
        <v>1650.7441406</v>
      </c>
      <c r="I1160">
        <v>935.98022461000005</v>
      </c>
      <c r="J1160">
        <v>741.21234131000006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751.50500799999998</v>
      </c>
      <c r="B1161" s="1">
        <f>DATE(2012,5,21) + TIME(12,7,12)</f>
        <v>41050.504999999997</v>
      </c>
      <c r="C1161">
        <v>80</v>
      </c>
      <c r="D1161">
        <v>79.949722289999997</v>
      </c>
      <c r="E1161">
        <v>50</v>
      </c>
      <c r="F1161">
        <v>47.575801849000001</v>
      </c>
      <c r="G1161">
        <v>1779.3283690999999</v>
      </c>
      <c r="H1161">
        <v>1652.5234375</v>
      </c>
      <c r="I1161">
        <v>933.69256591999999</v>
      </c>
      <c r="J1161">
        <v>738.89373779000005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752.10208999999998</v>
      </c>
      <c r="B1162" s="1">
        <f>DATE(2012,5,22) + TIME(2,27,0)</f>
        <v>41051.102083333331</v>
      </c>
      <c r="C1162">
        <v>80</v>
      </c>
      <c r="D1162">
        <v>79.949287415000001</v>
      </c>
      <c r="E1162">
        <v>50</v>
      </c>
      <c r="F1162">
        <v>47.531150818</v>
      </c>
      <c r="G1162">
        <v>1781.0361327999999</v>
      </c>
      <c r="H1162">
        <v>1654.2415771000001</v>
      </c>
      <c r="I1162">
        <v>931.46429443</v>
      </c>
      <c r="J1162">
        <v>736.63372803000004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752.71333300000003</v>
      </c>
      <c r="B1163" s="1">
        <f>DATE(2012,5,22) + TIME(17,7,11)</f>
        <v>41051.713321759256</v>
      </c>
      <c r="C1163">
        <v>80</v>
      </c>
      <c r="D1163">
        <v>79.948883057000003</v>
      </c>
      <c r="E1163">
        <v>50</v>
      </c>
      <c r="F1163">
        <v>47.485694885000001</v>
      </c>
      <c r="G1163">
        <v>1782.6901855000001</v>
      </c>
      <c r="H1163">
        <v>1655.9055175999999</v>
      </c>
      <c r="I1163">
        <v>929.28796387</v>
      </c>
      <c r="J1163">
        <v>734.42486571999996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753.34149100000002</v>
      </c>
      <c r="B1164" s="1">
        <f>DATE(2012,5,23) + TIME(8,11,44)</f>
        <v>41052.341481481482</v>
      </c>
      <c r="C1164">
        <v>80</v>
      </c>
      <c r="D1164">
        <v>79.948493958</v>
      </c>
      <c r="E1164">
        <v>50</v>
      </c>
      <c r="F1164">
        <v>47.439319611000002</v>
      </c>
      <c r="G1164">
        <v>1784.2971190999999</v>
      </c>
      <c r="H1164">
        <v>1657.5219727000001</v>
      </c>
      <c r="I1164">
        <v>927.15576171999999</v>
      </c>
      <c r="J1164">
        <v>732.25921631000006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753.98970199999997</v>
      </c>
      <c r="B1165" s="1">
        <f>DATE(2012,5,23) + TIME(23,45,10)</f>
        <v>41052.989699074074</v>
      </c>
      <c r="C1165">
        <v>80</v>
      </c>
      <c r="D1165">
        <v>79.948120117000002</v>
      </c>
      <c r="E1165">
        <v>50</v>
      </c>
      <c r="F1165">
        <v>47.391864777000002</v>
      </c>
      <c r="G1165">
        <v>1785.8631591999999</v>
      </c>
      <c r="H1165">
        <v>1659.0972899999999</v>
      </c>
      <c r="I1165">
        <v>925.06024170000001</v>
      </c>
      <c r="J1165">
        <v>730.12927246000004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754.66154100000006</v>
      </c>
      <c r="B1166" s="1">
        <f>DATE(2012,5,24) + TIME(15,52,37)</f>
        <v>41053.661539351851</v>
      </c>
      <c r="C1166">
        <v>80</v>
      </c>
      <c r="D1166">
        <v>79.947769164999997</v>
      </c>
      <c r="E1166">
        <v>50</v>
      </c>
      <c r="F1166">
        <v>47.343132019000002</v>
      </c>
      <c r="G1166">
        <v>1787.3936768000001</v>
      </c>
      <c r="H1166">
        <v>1660.6367187999999</v>
      </c>
      <c r="I1166">
        <v>922.99438477000001</v>
      </c>
      <c r="J1166">
        <v>728.02777100000003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755.36101799999994</v>
      </c>
      <c r="B1167" s="1">
        <f>DATE(2012,5,25) + TIME(8,39,51)</f>
        <v>41054.361006944448</v>
      </c>
      <c r="C1167">
        <v>80</v>
      </c>
      <c r="D1167">
        <v>79.947425842000001</v>
      </c>
      <c r="E1167">
        <v>50</v>
      </c>
      <c r="F1167">
        <v>47.292884827000002</v>
      </c>
      <c r="G1167">
        <v>1788.8935547000001</v>
      </c>
      <c r="H1167">
        <v>1662.1452637</v>
      </c>
      <c r="I1167">
        <v>920.95153808999999</v>
      </c>
      <c r="J1167">
        <v>725.94793701000003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755.72346600000003</v>
      </c>
      <c r="B1168" s="1">
        <f>DATE(2012,5,25) + TIME(17,21,47)</f>
        <v>41054.723460648151</v>
      </c>
      <c r="C1168">
        <v>80</v>
      </c>
      <c r="D1168">
        <v>79.947052002000007</v>
      </c>
      <c r="E1168">
        <v>50</v>
      </c>
      <c r="F1168">
        <v>47.258598327999998</v>
      </c>
      <c r="G1168">
        <v>1789.5472411999999</v>
      </c>
      <c r="H1168">
        <v>1662.8067627</v>
      </c>
      <c r="I1168">
        <v>919.89093018000005</v>
      </c>
      <c r="J1168">
        <v>724.86682128999996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756.08591300000001</v>
      </c>
      <c r="B1169" s="1">
        <f>DATE(2012,5,26) + TIME(2,3,42)</f>
        <v>41055.085902777777</v>
      </c>
      <c r="C1169">
        <v>80</v>
      </c>
      <c r="D1169">
        <v>79.946815490999995</v>
      </c>
      <c r="E1169">
        <v>50</v>
      </c>
      <c r="F1169">
        <v>47.226795197000001</v>
      </c>
      <c r="G1169">
        <v>1790.2125243999999</v>
      </c>
      <c r="H1169">
        <v>1663.4766846</v>
      </c>
      <c r="I1169">
        <v>918.87579345999995</v>
      </c>
      <c r="J1169">
        <v>723.82635498000002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756.44836099999998</v>
      </c>
      <c r="B1170" s="1">
        <f>DATE(2012,5,26) + TIME(10,45,38)</f>
        <v>41055.44835648148</v>
      </c>
      <c r="C1170">
        <v>80</v>
      </c>
      <c r="D1170">
        <v>79.946662903000004</v>
      </c>
      <c r="E1170">
        <v>50</v>
      </c>
      <c r="F1170">
        <v>47.196678161999998</v>
      </c>
      <c r="G1170">
        <v>1790.8797606999999</v>
      </c>
      <c r="H1170">
        <v>1664.1479492000001</v>
      </c>
      <c r="I1170">
        <v>917.88916015999996</v>
      </c>
      <c r="J1170">
        <v>722.81597899999997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756.81080899999995</v>
      </c>
      <c r="B1171" s="1">
        <f>DATE(2012,5,26) + TIME(19,27,33)</f>
        <v>41055.810798611114</v>
      </c>
      <c r="C1171">
        <v>80</v>
      </c>
      <c r="D1171">
        <v>79.946540833</v>
      </c>
      <c r="E1171">
        <v>50</v>
      </c>
      <c r="F1171">
        <v>47.167724608999997</v>
      </c>
      <c r="G1171">
        <v>1791.5372314000001</v>
      </c>
      <c r="H1171">
        <v>1664.8093262</v>
      </c>
      <c r="I1171">
        <v>916.92919921999999</v>
      </c>
      <c r="J1171">
        <v>721.83331298999997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757.17325700000004</v>
      </c>
      <c r="B1172" s="1">
        <f>DATE(2012,5,27) + TIME(4,9,29)</f>
        <v>41056.173252314817</v>
      </c>
      <c r="C1172">
        <v>80</v>
      </c>
      <c r="D1172">
        <v>79.946426392000006</v>
      </c>
      <c r="E1172">
        <v>50</v>
      </c>
      <c r="F1172">
        <v>47.139583588000001</v>
      </c>
      <c r="G1172">
        <v>1792.1798096</v>
      </c>
      <c r="H1172">
        <v>1665.4556885</v>
      </c>
      <c r="I1172">
        <v>915.99487305000002</v>
      </c>
      <c r="J1172">
        <v>720.87689208999996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757.53570500000001</v>
      </c>
      <c r="B1173" s="1">
        <f>DATE(2012,5,27) + TIME(12,51,24)</f>
        <v>41056.535694444443</v>
      </c>
      <c r="C1173">
        <v>80</v>
      </c>
      <c r="D1173">
        <v>79.946319579999994</v>
      </c>
      <c r="E1173">
        <v>50</v>
      </c>
      <c r="F1173">
        <v>47.112014770999998</v>
      </c>
      <c r="G1173">
        <v>1792.8052978999999</v>
      </c>
      <c r="H1173">
        <v>1666.0848389</v>
      </c>
      <c r="I1173">
        <v>915.08508300999995</v>
      </c>
      <c r="J1173">
        <v>719.94555663999995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757.89815299999998</v>
      </c>
      <c r="B1174" s="1">
        <f>DATE(2012,5,27) + TIME(21,33,20)</f>
        <v>41056.898148148146</v>
      </c>
      <c r="C1174">
        <v>80</v>
      </c>
      <c r="D1174">
        <v>79.946212768999999</v>
      </c>
      <c r="E1174">
        <v>50</v>
      </c>
      <c r="F1174">
        <v>47.084854126000003</v>
      </c>
      <c r="G1174">
        <v>1793.4129639</v>
      </c>
      <c r="H1174">
        <v>1666.6960449000001</v>
      </c>
      <c r="I1174">
        <v>914.19903564000003</v>
      </c>
      <c r="J1174">
        <v>719.03814696999996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758.62304900000004</v>
      </c>
      <c r="B1175" s="1">
        <f>DATE(2012,5,28) + TIME(14,57,11)</f>
        <v>41057.623043981483</v>
      </c>
      <c r="C1175">
        <v>80</v>
      </c>
      <c r="D1175">
        <v>79.946205139</v>
      </c>
      <c r="E1175">
        <v>50</v>
      </c>
      <c r="F1175">
        <v>47.044258118000002</v>
      </c>
      <c r="G1175">
        <v>1794.6855469</v>
      </c>
      <c r="H1175">
        <v>1667.9724120999999</v>
      </c>
      <c r="I1175">
        <v>912.55651854999996</v>
      </c>
      <c r="J1175">
        <v>717.35992432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759.34992</v>
      </c>
      <c r="B1176" s="1">
        <f>DATE(2012,5,29) + TIME(8,23,53)</f>
        <v>41058.349918981483</v>
      </c>
      <c r="C1176">
        <v>80</v>
      </c>
      <c r="D1176">
        <v>79.945991516000007</v>
      </c>
      <c r="E1176">
        <v>50</v>
      </c>
      <c r="F1176">
        <v>46.997955322000003</v>
      </c>
      <c r="G1176">
        <v>1795.8204346</v>
      </c>
      <c r="H1176">
        <v>1669.1137695</v>
      </c>
      <c r="I1176">
        <v>910.96734618999994</v>
      </c>
      <c r="J1176">
        <v>715.73608397999999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760.08688700000005</v>
      </c>
      <c r="B1177" s="1">
        <f>DATE(2012,5,30) + TIME(2,5,7)</f>
        <v>41059.086886574078</v>
      </c>
      <c r="C1177">
        <v>80</v>
      </c>
      <c r="D1177">
        <v>79.945739746000001</v>
      </c>
      <c r="E1177">
        <v>50</v>
      </c>
      <c r="F1177">
        <v>46.948490143000001</v>
      </c>
      <c r="G1177">
        <v>1796.8732910000001</v>
      </c>
      <c r="H1177">
        <v>1670.1727295000001</v>
      </c>
      <c r="I1177">
        <v>909.43243408000001</v>
      </c>
      <c r="J1177">
        <v>714.16253661999997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760.83733800000005</v>
      </c>
      <c r="B1178" s="1">
        <f>DATE(2012,5,30) + TIME(20,5,45)</f>
        <v>41059.837326388886</v>
      </c>
      <c r="C1178">
        <v>80</v>
      </c>
      <c r="D1178">
        <v>79.945495605000005</v>
      </c>
      <c r="E1178">
        <v>50</v>
      </c>
      <c r="F1178">
        <v>46.897029877000001</v>
      </c>
      <c r="G1178">
        <v>1797.8674315999999</v>
      </c>
      <c r="H1178">
        <v>1671.1726074000001</v>
      </c>
      <c r="I1178">
        <v>907.94543456999997</v>
      </c>
      <c r="J1178">
        <v>712.63433838000003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761.60457799999995</v>
      </c>
      <c r="B1179" s="1">
        <f>DATE(2012,5,31) + TIME(14,30,35)</f>
        <v>41060.604571759257</v>
      </c>
      <c r="C1179">
        <v>80</v>
      </c>
      <c r="D1179">
        <v>79.945274353000002</v>
      </c>
      <c r="E1179">
        <v>50</v>
      </c>
      <c r="F1179">
        <v>46.844062805</v>
      </c>
      <c r="G1179">
        <v>1798.8134766000001</v>
      </c>
      <c r="H1179">
        <v>1672.1242675999999</v>
      </c>
      <c r="I1179">
        <v>906.50097656000003</v>
      </c>
      <c r="J1179">
        <v>711.14642333999996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762</v>
      </c>
      <c r="B1180" s="1">
        <f>DATE(2012,6,1) + TIME(0,0,0)</f>
        <v>41061</v>
      </c>
      <c r="C1180">
        <v>80</v>
      </c>
      <c r="D1180">
        <v>79.944999695000007</v>
      </c>
      <c r="E1180">
        <v>50</v>
      </c>
      <c r="F1180">
        <v>46.807540893999999</v>
      </c>
      <c r="G1180">
        <v>1799.2017822</v>
      </c>
      <c r="H1180">
        <v>1672.5174560999999</v>
      </c>
      <c r="I1180">
        <v>905.74005126999998</v>
      </c>
      <c r="J1180">
        <v>710.35974121000004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762.787372</v>
      </c>
      <c r="B1181" s="1">
        <f>DATE(2012,6,1) + TIME(18,53,48)</f>
        <v>41061.787361111114</v>
      </c>
      <c r="C1181">
        <v>80</v>
      </c>
      <c r="D1181">
        <v>79.944953917999996</v>
      </c>
      <c r="E1181">
        <v>50</v>
      </c>
      <c r="F1181">
        <v>46.757553100999999</v>
      </c>
      <c r="G1181">
        <v>1800.1118164</v>
      </c>
      <c r="H1181">
        <v>1673.4307861</v>
      </c>
      <c r="I1181">
        <v>904.39428711000005</v>
      </c>
      <c r="J1181">
        <v>708.96569824000005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763.61075500000004</v>
      </c>
      <c r="B1182" s="1">
        <f>DATE(2012,6,2) + TIME(14,39,29)</f>
        <v>41062.610752314817</v>
      </c>
      <c r="C1182">
        <v>80</v>
      </c>
      <c r="D1182">
        <v>79.944824218999997</v>
      </c>
      <c r="E1182">
        <v>50</v>
      </c>
      <c r="F1182">
        <v>46.703647613999998</v>
      </c>
      <c r="G1182">
        <v>1800.9820557</v>
      </c>
      <c r="H1182">
        <v>1674.3060303</v>
      </c>
      <c r="I1182">
        <v>903.04254149999997</v>
      </c>
      <c r="J1182">
        <v>707.56793213000003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764.45943199999999</v>
      </c>
      <c r="B1183" s="1">
        <f>DATE(2012,6,3) + TIME(11,1,34)</f>
        <v>41063.459421296298</v>
      </c>
      <c r="C1183">
        <v>80</v>
      </c>
      <c r="D1183">
        <v>79.944664001000007</v>
      </c>
      <c r="E1183">
        <v>50</v>
      </c>
      <c r="F1183">
        <v>46.646949767999999</v>
      </c>
      <c r="G1183">
        <v>1801.7989502</v>
      </c>
      <c r="H1183">
        <v>1675.1279297000001</v>
      </c>
      <c r="I1183">
        <v>901.72155762</v>
      </c>
      <c r="J1183">
        <v>706.19744873000002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765.33842600000003</v>
      </c>
      <c r="B1184" s="1">
        <f>DATE(2012,6,4) + TIME(8,7,20)</f>
        <v>41064.338425925926</v>
      </c>
      <c r="C1184">
        <v>80</v>
      </c>
      <c r="D1184">
        <v>79.944503784000005</v>
      </c>
      <c r="E1184">
        <v>50</v>
      </c>
      <c r="F1184">
        <v>46.587932586999997</v>
      </c>
      <c r="G1184">
        <v>1802.5748291</v>
      </c>
      <c r="H1184">
        <v>1675.9085693</v>
      </c>
      <c r="I1184">
        <v>900.42816161999997</v>
      </c>
      <c r="J1184">
        <v>704.85119628999996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765.77832999999998</v>
      </c>
      <c r="B1185" s="1">
        <f>DATE(2012,6,4) + TIME(18,40,47)</f>
        <v>41064.778321759259</v>
      </c>
      <c r="C1185">
        <v>80</v>
      </c>
      <c r="D1185">
        <v>79.944252014</v>
      </c>
      <c r="E1185">
        <v>50</v>
      </c>
      <c r="F1185">
        <v>46.546840668000002</v>
      </c>
      <c r="G1185">
        <v>1802.8575439000001</v>
      </c>
      <c r="H1185">
        <v>1676.1954346</v>
      </c>
      <c r="I1185">
        <v>899.75177001999998</v>
      </c>
      <c r="J1185">
        <v>704.14208984000004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766.21823300000005</v>
      </c>
      <c r="B1186" s="1">
        <f>DATE(2012,6,5) + TIME(5,14,15)</f>
        <v>41065.218229166669</v>
      </c>
      <c r="C1186">
        <v>80</v>
      </c>
      <c r="D1186">
        <v>79.944114685000002</v>
      </c>
      <c r="E1186">
        <v>50</v>
      </c>
      <c r="F1186">
        <v>46.509567261000001</v>
      </c>
      <c r="G1186">
        <v>1803.1512451000001</v>
      </c>
      <c r="H1186">
        <v>1676.4914550999999</v>
      </c>
      <c r="I1186">
        <v>899.12048340000001</v>
      </c>
      <c r="J1186">
        <v>703.47424316000001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766.65813700000001</v>
      </c>
      <c r="B1187" s="1">
        <f>DATE(2012,6,5) + TIME(15,47,43)</f>
        <v>41065.658136574071</v>
      </c>
      <c r="C1187">
        <v>80</v>
      </c>
      <c r="D1187">
        <v>79.944046021000005</v>
      </c>
      <c r="E1187">
        <v>50</v>
      </c>
      <c r="F1187">
        <v>46.474723816000001</v>
      </c>
      <c r="G1187">
        <v>1803.4528809000001</v>
      </c>
      <c r="H1187">
        <v>1676.7951660000001</v>
      </c>
      <c r="I1187">
        <v>898.51080321999996</v>
      </c>
      <c r="J1187">
        <v>702.83038329999999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767.09803999999997</v>
      </c>
      <c r="B1188" s="1">
        <f>DATE(2012,6,6) + TIME(2,21,10)</f>
        <v>41066.098032407404</v>
      </c>
      <c r="C1188">
        <v>80</v>
      </c>
      <c r="D1188">
        <v>79.944007873999993</v>
      </c>
      <c r="E1188">
        <v>50</v>
      </c>
      <c r="F1188">
        <v>46.441440581999998</v>
      </c>
      <c r="G1188">
        <v>1803.7525635</v>
      </c>
      <c r="H1188">
        <v>1677.0970459</v>
      </c>
      <c r="I1188">
        <v>897.92010498000002</v>
      </c>
      <c r="J1188">
        <v>702.20690918000003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767.977847</v>
      </c>
      <c r="B1189" s="1">
        <f>DATE(2012,6,6) + TIME(23,28,5)</f>
        <v>41066.977835648147</v>
      </c>
      <c r="C1189">
        <v>80</v>
      </c>
      <c r="D1189">
        <v>79.944122313999998</v>
      </c>
      <c r="E1189">
        <v>50</v>
      </c>
      <c r="F1189">
        <v>46.394130707000002</v>
      </c>
      <c r="G1189">
        <v>1804.4375</v>
      </c>
      <c r="H1189">
        <v>1677.7843018000001</v>
      </c>
      <c r="I1189">
        <v>896.8671875</v>
      </c>
      <c r="J1189">
        <v>701.10369873000002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768.85889999999995</v>
      </c>
      <c r="B1190" s="1">
        <f>DATE(2012,6,7) + TIME(20,36,48)</f>
        <v>41067.858888888892</v>
      </c>
      <c r="C1190">
        <v>80</v>
      </c>
      <c r="D1190">
        <v>79.944046021000005</v>
      </c>
      <c r="E1190">
        <v>50</v>
      </c>
      <c r="F1190">
        <v>46.339622497999997</v>
      </c>
      <c r="G1190">
        <v>1805.0189209</v>
      </c>
      <c r="H1190">
        <v>1678.3693848</v>
      </c>
      <c r="I1190">
        <v>895.83489989999998</v>
      </c>
      <c r="J1190">
        <v>700.01892090000001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769.74885800000004</v>
      </c>
      <c r="B1191" s="1">
        <f>DATE(2012,6,8) + TIME(17,58,21)</f>
        <v>41068.748854166668</v>
      </c>
      <c r="C1191">
        <v>80</v>
      </c>
      <c r="D1191">
        <v>79.943931579999997</v>
      </c>
      <c r="E1191">
        <v>50</v>
      </c>
      <c r="F1191">
        <v>46.281558990000001</v>
      </c>
      <c r="G1191">
        <v>1805.5328368999999</v>
      </c>
      <c r="H1191">
        <v>1678.8868408000001</v>
      </c>
      <c r="I1191">
        <v>894.84112548999997</v>
      </c>
      <c r="J1191">
        <v>698.96673583999996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770.65126399999997</v>
      </c>
      <c r="B1192" s="1">
        <f>DATE(2012,6,9) + TIME(15,37,49)</f>
        <v>41069.651261574072</v>
      </c>
      <c r="C1192">
        <v>80</v>
      </c>
      <c r="D1192">
        <v>79.943817139000004</v>
      </c>
      <c r="E1192">
        <v>50</v>
      </c>
      <c r="F1192">
        <v>46.221454620000003</v>
      </c>
      <c r="G1192">
        <v>1805.9978027</v>
      </c>
      <c r="H1192">
        <v>1679.3552245999999</v>
      </c>
      <c r="I1192">
        <v>893.88323975000003</v>
      </c>
      <c r="J1192">
        <v>697.94635010000002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771.56978400000003</v>
      </c>
      <c r="B1193" s="1">
        <f>DATE(2012,6,10) + TIME(13,40,29)</f>
        <v>41070.569780092592</v>
      </c>
      <c r="C1193">
        <v>80</v>
      </c>
      <c r="D1193">
        <v>79.943717957000004</v>
      </c>
      <c r="E1193">
        <v>50</v>
      </c>
      <c r="F1193">
        <v>46.159881591999998</v>
      </c>
      <c r="G1193">
        <v>1806.4223632999999</v>
      </c>
      <c r="H1193">
        <v>1679.7829589999999</v>
      </c>
      <c r="I1193">
        <v>892.95776366999996</v>
      </c>
      <c r="J1193">
        <v>696.95489501999998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772.50891999999999</v>
      </c>
      <c r="B1194" s="1">
        <f>DATE(2012,6,11) + TIME(12,12,50)</f>
        <v>41071.508912037039</v>
      </c>
      <c r="C1194">
        <v>80</v>
      </c>
      <c r="D1194">
        <v>79.943634032999995</v>
      </c>
      <c r="E1194">
        <v>50</v>
      </c>
      <c r="F1194">
        <v>46.096950530999997</v>
      </c>
      <c r="G1194">
        <v>1806.8112793</v>
      </c>
      <c r="H1194">
        <v>1680.1749268000001</v>
      </c>
      <c r="I1194">
        <v>892.06054687999995</v>
      </c>
      <c r="J1194">
        <v>695.98834228999999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773.47254099999998</v>
      </c>
      <c r="B1195" s="1">
        <f>DATE(2012,6,12) + TIME(11,20,27)</f>
        <v>41072.472534722219</v>
      </c>
      <c r="C1195">
        <v>80</v>
      </c>
      <c r="D1195">
        <v>79.943565368999998</v>
      </c>
      <c r="E1195">
        <v>50</v>
      </c>
      <c r="F1195">
        <v>46.032569885000001</v>
      </c>
      <c r="G1195">
        <v>1807.1667480000001</v>
      </c>
      <c r="H1195">
        <v>1680.5333252</v>
      </c>
      <c r="I1195">
        <v>891.18841553000004</v>
      </c>
      <c r="J1195">
        <v>695.04309081999997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774.46531700000003</v>
      </c>
      <c r="B1196" s="1">
        <f>DATE(2012,6,13) + TIME(11,10,3)</f>
        <v>41073.465312499997</v>
      </c>
      <c r="C1196">
        <v>80</v>
      </c>
      <c r="D1196">
        <v>79.943496703999998</v>
      </c>
      <c r="E1196">
        <v>50</v>
      </c>
      <c r="F1196">
        <v>45.966522216999998</v>
      </c>
      <c r="G1196">
        <v>1807.4903564000001</v>
      </c>
      <c r="H1196">
        <v>1680.8597411999999</v>
      </c>
      <c r="I1196">
        <v>890.33770751999998</v>
      </c>
      <c r="J1196">
        <v>694.11523437999995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775.49270899999999</v>
      </c>
      <c r="B1197" s="1">
        <f>DATE(2012,6,14) + TIME(11,49,30)</f>
        <v>41074.492708333331</v>
      </c>
      <c r="C1197">
        <v>80</v>
      </c>
      <c r="D1197">
        <v>79.943443298000005</v>
      </c>
      <c r="E1197">
        <v>50</v>
      </c>
      <c r="F1197">
        <v>45.898513794000003</v>
      </c>
      <c r="G1197">
        <v>1807.7832031</v>
      </c>
      <c r="H1197">
        <v>1681.1553954999999</v>
      </c>
      <c r="I1197">
        <v>889.50500488</v>
      </c>
      <c r="J1197">
        <v>693.20062256000006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776.01084400000002</v>
      </c>
      <c r="B1198" s="1">
        <f>DATE(2012,6,15) + TIME(0,15,36)</f>
        <v>41075.010833333334</v>
      </c>
      <c r="C1198">
        <v>80</v>
      </c>
      <c r="D1198">
        <v>79.943267821999996</v>
      </c>
      <c r="E1198">
        <v>50</v>
      </c>
      <c r="F1198">
        <v>45.849853516000003</v>
      </c>
      <c r="G1198">
        <v>1807.8410644999999</v>
      </c>
      <c r="H1198">
        <v>1681.2155762</v>
      </c>
      <c r="I1198">
        <v>889.02563477000001</v>
      </c>
      <c r="J1198">
        <v>692.66503906000003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776.52897900000005</v>
      </c>
      <c r="B1199" s="1">
        <f>DATE(2012,6,15) + TIME(12,41,43)</f>
        <v>41075.528969907406</v>
      </c>
      <c r="C1199">
        <v>80</v>
      </c>
      <c r="D1199">
        <v>79.943191528</v>
      </c>
      <c r="E1199">
        <v>50</v>
      </c>
      <c r="F1199">
        <v>45.806507111000002</v>
      </c>
      <c r="G1199">
        <v>1807.9088135</v>
      </c>
      <c r="H1199">
        <v>1681.284668</v>
      </c>
      <c r="I1199">
        <v>888.59906006000006</v>
      </c>
      <c r="J1199">
        <v>692.18170166000004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777.04711399999997</v>
      </c>
      <c r="B1200" s="1">
        <f>DATE(2012,6,16) + TIME(1,7,50)</f>
        <v>41076.047106481485</v>
      </c>
      <c r="C1200">
        <v>80</v>
      </c>
      <c r="D1200">
        <v>79.943176269999995</v>
      </c>
      <c r="E1200">
        <v>50</v>
      </c>
      <c r="F1200">
        <v>45.766319275000001</v>
      </c>
      <c r="G1200">
        <v>1807.9871826000001</v>
      </c>
      <c r="H1200">
        <v>1681.3642577999999</v>
      </c>
      <c r="I1200">
        <v>888.19122314000003</v>
      </c>
      <c r="J1200">
        <v>691.72082520000004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777.56524899999999</v>
      </c>
      <c r="B1201" s="1">
        <f>DATE(2012,6,16) + TIME(13,33,57)</f>
        <v>41076.565243055556</v>
      </c>
      <c r="C1201">
        <v>80</v>
      </c>
      <c r="D1201">
        <v>79.943183899000005</v>
      </c>
      <c r="E1201">
        <v>50</v>
      </c>
      <c r="F1201">
        <v>45.728027343999997</v>
      </c>
      <c r="G1201">
        <v>1808.0681152</v>
      </c>
      <c r="H1201">
        <v>1681.4464111</v>
      </c>
      <c r="I1201">
        <v>887.79779053000004</v>
      </c>
      <c r="J1201">
        <v>691.27636718999997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778.60151900000005</v>
      </c>
      <c r="B1202" s="1">
        <f>DATE(2012,6,17) + TIME(14,26,11)</f>
        <v>41077.6015162037</v>
      </c>
      <c r="C1202">
        <v>80</v>
      </c>
      <c r="D1202">
        <v>79.943344116000006</v>
      </c>
      <c r="E1202">
        <v>50</v>
      </c>
      <c r="F1202">
        <v>45.674987793</v>
      </c>
      <c r="G1202">
        <v>1808.3259277</v>
      </c>
      <c r="H1202">
        <v>1681.7056885</v>
      </c>
      <c r="I1202">
        <v>887.14947510000002</v>
      </c>
      <c r="J1202">
        <v>690.55389404000005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779.63897599999996</v>
      </c>
      <c r="B1203" s="1">
        <f>DATE(2012,6,18) + TIME(15,20,7)</f>
        <v>41078.638969907406</v>
      </c>
      <c r="C1203">
        <v>80</v>
      </c>
      <c r="D1203">
        <v>79.943351746000005</v>
      </c>
      <c r="E1203">
        <v>50</v>
      </c>
      <c r="F1203">
        <v>45.611835480000003</v>
      </c>
      <c r="G1203">
        <v>1808.5047606999999</v>
      </c>
      <c r="H1203">
        <v>1681.8867187999999</v>
      </c>
      <c r="I1203">
        <v>886.47686768000005</v>
      </c>
      <c r="J1203">
        <v>689.79626465000001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780.68731100000002</v>
      </c>
      <c r="B1204" s="1">
        <f>DATE(2012,6,19) + TIME(16,29,43)</f>
        <v>41079.687303240738</v>
      </c>
      <c r="C1204">
        <v>80</v>
      </c>
      <c r="D1204">
        <v>79.943305968999994</v>
      </c>
      <c r="E1204">
        <v>50</v>
      </c>
      <c r="F1204">
        <v>45.544025421000001</v>
      </c>
      <c r="G1204">
        <v>1808.630249</v>
      </c>
      <c r="H1204">
        <v>1682.0142822</v>
      </c>
      <c r="I1204">
        <v>885.81866454999999</v>
      </c>
      <c r="J1204">
        <v>689.04284668000003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781.75077099999999</v>
      </c>
      <c r="B1205" s="1">
        <f>DATE(2012,6,20) + TIME(18,1,6)</f>
        <v>41080.750763888886</v>
      </c>
      <c r="C1205">
        <v>80</v>
      </c>
      <c r="D1205">
        <v>79.943267821999996</v>
      </c>
      <c r="E1205">
        <v>50</v>
      </c>
      <c r="F1205">
        <v>45.473621368000003</v>
      </c>
      <c r="G1205">
        <v>1808.7178954999999</v>
      </c>
      <c r="H1205">
        <v>1682.1038818</v>
      </c>
      <c r="I1205">
        <v>885.17645263999998</v>
      </c>
      <c r="J1205">
        <v>688.29821776999995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782.83380999999997</v>
      </c>
      <c r="B1206" s="1">
        <f>DATE(2012,6,21) + TIME(20,0,41)</f>
        <v>41081.833807870367</v>
      </c>
      <c r="C1206">
        <v>80</v>
      </c>
      <c r="D1206">
        <v>79.943244934000006</v>
      </c>
      <c r="E1206">
        <v>50</v>
      </c>
      <c r="F1206">
        <v>45.401336669999999</v>
      </c>
      <c r="G1206">
        <v>1808.7745361</v>
      </c>
      <c r="H1206">
        <v>1682.1623535000001</v>
      </c>
      <c r="I1206">
        <v>884.54870604999996</v>
      </c>
      <c r="J1206">
        <v>687.56201171999999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783.94174199999998</v>
      </c>
      <c r="B1207" s="1">
        <f>DATE(2012,6,22) + TIME(22,36,6)</f>
        <v>41082.941736111112</v>
      </c>
      <c r="C1207">
        <v>80</v>
      </c>
      <c r="D1207">
        <v>79.943229674999998</v>
      </c>
      <c r="E1207">
        <v>50</v>
      </c>
      <c r="F1207">
        <v>45.327274322999997</v>
      </c>
      <c r="G1207">
        <v>1808.8032227000001</v>
      </c>
      <c r="H1207">
        <v>1682.192749</v>
      </c>
      <c r="I1207">
        <v>883.93292236000002</v>
      </c>
      <c r="J1207">
        <v>686.83135986000002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785.07957899999997</v>
      </c>
      <c r="B1208" s="1">
        <f>DATE(2012,6,24) + TIME(1,54,35)</f>
        <v>41084.079571759263</v>
      </c>
      <c r="C1208">
        <v>80</v>
      </c>
      <c r="D1208">
        <v>79.943222046000002</v>
      </c>
      <c r="E1208">
        <v>50</v>
      </c>
      <c r="F1208">
        <v>45.251266479000002</v>
      </c>
      <c r="G1208">
        <v>1808.8050536999999</v>
      </c>
      <c r="H1208">
        <v>1682.1962891000001</v>
      </c>
      <c r="I1208">
        <v>883.32623291000004</v>
      </c>
      <c r="J1208">
        <v>686.10302734000004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786.24839199999997</v>
      </c>
      <c r="B1209" s="1">
        <f>DATE(2012,6,25) + TIME(5,57,41)</f>
        <v>41085.248391203706</v>
      </c>
      <c r="C1209">
        <v>80</v>
      </c>
      <c r="D1209">
        <v>79.943229674999998</v>
      </c>
      <c r="E1209">
        <v>50</v>
      </c>
      <c r="F1209">
        <v>45.173130035</v>
      </c>
      <c r="G1209">
        <v>1808.7796631000001</v>
      </c>
      <c r="H1209">
        <v>1682.1726074000001</v>
      </c>
      <c r="I1209">
        <v>882.72680663999995</v>
      </c>
      <c r="J1209">
        <v>685.37457274999997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787.44778499999995</v>
      </c>
      <c r="B1210" s="1">
        <f>DATE(2012,6,26) + TIME(10,44,48)</f>
        <v>41086.447777777779</v>
      </c>
      <c r="C1210">
        <v>80</v>
      </c>
      <c r="D1210">
        <v>79.943237304999997</v>
      </c>
      <c r="E1210">
        <v>50</v>
      </c>
      <c r="F1210">
        <v>45.092765808000003</v>
      </c>
      <c r="G1210">
        <v>1808.7269286999999</v>
      </c>
      <c r="H1210">
        <v>1682.1213379000001</v>
      </c>
      <c r="I1210">
        <v>882.13360595999995</v>
      </c>
      <c r="J1210">
        <v>684.64428711000005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788.65459699999997</v>
      </c>
      <c r="B1211" s="1">
        <f>DATE(2012,6,27) + TIME(15,42,37)</f>
        <v>41087.654594907406</v>
      </c>
      <c r="C1211">
        <v>80</v>
      </c>
      <c r="D1211">
        <v>79.943237304999997</v>
      </c>
      <c r="E1211">
        <v>50</v>
      </c>
      <c r="F1211">
        <v>45.010730743000003</v>
      </c>
      <c r="G1211">
        <v>1808.6444091999999</v>
      </c>
      <c r="H1211">
        <v>1682.0404053</v>
      </c>
      <c r="I1211">
        <v>881.55126953000001</v>
      </c>
      <c r="J1211">
        <v>683.91741943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789.86180000000002</v>
      </c>
      <c r="B1212" s="1">
        <f>DATE(2012,6,28) + TIME(20,40,59)</f>
        <v>41088.861793981479</v>
      </c>
      <c r="C1212">
        <v>80</v>
      </c>
      <c r="D1212">
        <v>79.943252563000001</v>
      </c>
      <c r="E1212">
        <v>50</v>
      </c>
      <c r="F1212">
        <v>44.927757262999997</v>
      </c>
      <c r="G1212">
        <v>1808.5354004000001</v>
      </c>
      <c r="H1212">
        <v>1681.9328613</v>
      </c>
      <c r="I1212">
        <v>880.98272704999999</v>
      </c>
      <c r="J1212">
        <v>683.19793701000003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791.07433300000002</v>
      </c>
      <c r="B1213" s="1">
        <f>DATE(2012,6,30) + TIME(1,47,2)</f>
        <v>41090.074328703704</v>
      </c>
      <c r="C1213">
        <v>80</v>
      </c>
      <c r="D1213">
        <v>79.943267821999996</v>
      </c>
      <c r="E1213">
        <v>50</v>
      </c>
      <c r="F1213">
        <v>44.844097136999999</v>
      </c>
      <c r="G1213">
        <v>1808.4038086</v>
      </c>
      <c r="H1213">
        <v>1681.8024902</v>
      </c>
      <c r="I1213">
        <v>880.42663574000005</v>
      </c>
      <c r="J1213">
        <v>682.48461913999995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792</v>
      </c>
      <c r="B1214" s="1">
        <f>DATE(2012,7,1) + TIME(0,0,0)</f>
        <v>41091</v>
      </c>
      <c r="C1214">
        <v>80</v>
      </c>
      <c r="D1214">
        <v>79.943222046000002</v>
      </c>
      <c r="E1214">
        <v>50</v>
      </c>
      <c r="F1214">
        <v>44.769008636000002</v>
      </c>
      <c r="G1214">
        <v>1808.2489014</v>
      </c>
      <c r="H1214">
        <v>1681.6488036999999</v>
      </c>
      <c r="I1214">
        <v>879.94433593999997</v>
      </c>
      <c r="J1214">
        <v>681.85729979999996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793.22281199999998</v>
      </c>
      <c r="B1215" s="1">
        <f>DATE(2012,7,2) + TIME(5,20,50)</f>
        <v>41092.222800925927</v>
      </c>
      <c r="C1215">
        <v>80</v>
      </c>
      <c r="D1215">
        <v>79.943305968999994</v>
      </c>
      <c r="E1215">
        <v>50</v>
      </c>
      <c r="F1215">
        <v>44.690773010000001</v>
      </c>
      <c r="G1215">
        <v>1808.0998535000001</v>
      </c>
      <c r="H1215">
        <v>1681.5008545000001</v>
      </c>
      <c r="I1215">
        <v>879.45361328000001</v>
      </c>
      <c r="J1215">
        <v>681.20959473000005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794.47625300000004</v>
      </c>
      <c r="B1216" s="1">
        <f>DATE(2012,7,3) + TIME(11,25,48)</f>
        <v>41093.47625</v>
      </c>
      <c r="C1216">
        <v>80</v>
      </c>
      <c r="D1216">
        <v>79.943359375</v>
      </c>
      <c r="E1216">
        <v>50</v>
      </c>
      <c r="F1216">
        <v>44.607112884999999</v>
      </c>
      <c r="G1216">
        <v>1807.9261475000001</v>
      </c>
      <c r="H1216">
        <v>1681.3282471</v>
      </c>
      <c r="I1216">
        <v>878.92663574000005</v>
      </c>
      <c r="J1216">
        <v>680.51165771000001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795.746038</v>
      </c>
      <c r="B1217" s="1">
        <f>DATE(2012,7,4) + TIME(17,54,17)</f>
        <v>41094.746030092596</v>
      </c>
      <c r="C1217">
        <v>80</v>
      </c>
      <c r="D1217">
        <v>79.943389893000003</v>
      </c>
      <c r="E1217">
        <v>50</v>
      </c>
      <c r="F1217">
        <v>44.52015686</v>
      </c>
      <c r="G1217">
        <v>1807.7263184000001</v>
      </c>
      <c r="H1217">
        <v>1681.1295166</v>
      </c>
      <c r="I1217">
        <v>878.39367675999995</v>
      </c>
      <c r="J1217">
        <v>679.79541015999996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797.03734099999997</v>
      </c>
      <c r="B1218" s="1">
        <f>DATE(2012,7,6) + TIME(0,53,46)</f>
        <v>41096.03733796296</v>
      </c>
      <c r="C1218">
        <v>80</v>
      </c>
      <c r="D1218">
        <v>79.943428040000001</v>
      </c>
      <c r="E1218">
        <v>50</v>
      </c>
      <c r="F1218">
        <v>44.430839538999997</v>
      </c>
      <c r="G1218">
        <v>1807.5045166</v>
      </c>
      <c r="H1218">
        <v>1680.9088135</v>
      </c>
      <c r="I1218">
        <v>877.85809326000003</v>
      </c>
      <c r="J1218">
        <v>679.06573486000002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798.35561600000005</v>
      </c>
      <c r="B1219" s="1">
        <f>DATE(2012,7,7) + TIME(8,32,5)</f>
        <v>41097.355613425927</v>
      </c>
      <c r="C1219">
        <v>80</v>
      </c>
      <c r="D1219">
        <v>79.943466186999999</v>
      </c>
      <c r="E1219">
        <v>50</v>
      </c>
      <c r="F1219">
        <v>44.339271545000003</v>
      </c>
      <c r="G1219">
        <v>1807.2626952999999</v>
      </c>
      <c r="H1219">
        <v>1680.6679687999999</v>
      </c>
      <c r="I1219">
        <v>877.31805420000001</v>
      </c>
      <c r="J1219">
        <v>678.32080078000001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799.70719799999995</v>
      </c>
      <c r="B1220" s="1">
        <f>DATE(2012,7,8) + TIME(16,58,21)</f>
        <v>41098.707187499997</v>
      </c>
      <c r="C1220">
        <v>80</v>
      </c>
      <c r="D1220">
        <v>79.943511963000006</v>
      </c>
      <c r="E1220">
        <v>50</v>
      </c>
      <c r="F1220">
        <v>44.245212555000002</v>
      </c>
      <c r="G1220">
        <v>1807.0007324000001</v>
      </c>
      <c r="H1220">
        <v>1680.4069824000001</v>
      </c>
      <c r="I1220">
        <v>876.77075194999998</v>
      </c>
      <c r="J1220">
        <v>677.55688477000001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801.06708800000001</v>
      </c>
      <c r="B1221" s="1">
        <f>DATE(2012,7,10) + TIME(1,36,36)</f>
        <v>41100.067083333335</v>
      </c>
      <c r="C1221">
        <v>80</v>
      </c>
      <c r="D1221">
        <v>79.943550110000004</v>
      </c>
      <c r="E1221">
        <v>50</v>
      </c>
      <c r="F1221">
        <v>44.149059295999997</v>
      </c>
      <c r="G1221">
        <v>1806.7202147999999</v>
      </c>
      <c r="H1221">
        <v>1680.1274414</v>
      </c>
      <c r="I1221">
        <v>876.21667479999996</v>
      </c>
      <c r="J1221">
        <v>676.77484131000006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802.43764999999996</v>
      </c>
      <c r="B1222" s="1">
        <f>DATE(2012,7,11) + TIME(10,30,12)</f>
        <v>41101.437638888892</v>
      </c>
      <c r="C1222">
        <v>80</v>
      </c>
      <c r="D1222">
        <v>79.943603515999996</v>
      </c>
      <c r="E1222">
        <v>50</v>
      </c>
      <c r="F1222">
        <v>44.051361084</v>
      </c>
      <c r="G1222">
        <v>1806.4233397999999</v>
      </c>
      <c r="H1222">
        <v>1679.8314209</v>
      </c>
      <c r="I1222">
        <v>875.65899658000001</v>
      </c>
      <c r="J1222">
        <v>675.97875977000001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803.82366999999999</v>
      </c>
      <c r="B1223" s="1">
        <f>DATE(2012,7,12) + TIME(19,46,5)</f>
        <v>41102.82366898148</v>
      </c>
      <c r="C1223">
        <v>80</v>
      </c>
      <c r="D1223">
        <v>79.943649292000003</v>
      </c>
      <c r="E1223">
        <v>50</v>
      </c>
      <c r="F1223">
        <v>43.952140808000003</v>
      </c>
      <c r="G1223">
        <v>1806.1115723</v>
      </c>
      <c r="H1223">
        <v>1679.5203856999999</v>
      </c>
      <c r="I1223">
        <v>875.09631348000005</v>
      </c>
      <c r="J1223">
        <v>675.16711425999995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805.22136499999999</v>
      </c>
      <c r="B1224" s="1">
        <f>DATE(2012,7,14) + TIME(5,18,45)</f>
        <v>41104.221354166664</v>
      </c>
      <c r="C1224">
        <v>80</v>
      </c>
      <c r="D1224">
        <v>79.943702697999996</v>
      </c>
      <c r="E1224">
        <v>50</v>
      </c>
      <c r="F1224">
        <v>43.851390838999997</v>
      </c>
      <c r="G1224">
        <v>1805.7857666</v>
      </c>
      <c r="H1224">
        <v>1679.1954346</v>
      </c>
      <c r="I1224">
        <v>874.52709961000005</v>
      </c>
      <c r="J1224">
        <v>674.33801270000004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806.62811899999997</v>
      </c>
      <c r="B1225" s="1">
        <f>DATE(2012,7,15) + TIME(15,4,29)</f>
        <v>41105.628113425926</v>
      </c>
      <c r="C1225">
        <v>80</v>
      </c>
      <c r="D1225">
        <v>79.943763732999997</v>
      </c>
      <c r="E1225">
        <v>50</v>
      </c>
      <c r="F1225">
        <v>43.749237061000002</v>
      </c>
      <c r="G1225">
        <v>1805.4472656</v>
      </c>
      <c r="H1225">
        <v>1678.8576660000001</v>
      </c>
      <c r="I1225">
        <v>873.95123291000004</v>
      </c>
      <c r="J1225">
        <v>673.49145508000004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808.04922499999998</v>
      </c>
      <c r="B1226" s="1">
        <f>DATE(2012,7,17) + TIME(1,10,53)</f>
        <v>41107.049224537041</v>
      </c>
      <c r="C1226">
        <v>80</v>
      </c>
      <c r="D1226">
        <v>79.943817139000004</v>
      </c>
      <c r="E1226">
        <v>50</v>
      </c>
      <c r="F1226">
        <v>43.645660399999997</v>
      </c>
      <c r="G1226">
        <v>1805.0968018000001</v>
      </c>
      <c r="H1226">
        <v>1678.5078125</v>
      </c>
      <c r="I1226">
        <v>873.36791991999996</v>
      </c>
      <c r="J1226">
        <v>672.62622069999998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809.49020800000005</v>
      </c>
      <c r="B1227" s="1">
        <f>DATE(2012,7,18) + TIME(11,45,53)</f>
        <v>41108.49019675926</v>
      </c>
      <c r="C1227">
        <v>80</v>
      </c>
      <c r="D1227">
        <v>79.943878174000005</v>
      </c>
      <c r="E1227">
        <v>50</v>
      </c>
      <c r="F1227">
        <v>43.5403862</v>
      </c>
      <c r="G1227">
        <v>1804.7338867000001</v>
      </c>
      <c r="H1227">
        <v>1678.1456298999999</v>
      </c>
      <c r="I1227">
        <v>872.77459716999999</v>
      </c>
      <c r="J1227">
        <v>671.73889159999999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810.95691899999997</v>
      </c>
      <c r="B1228" s="1">
        <f>DATE(2012,7,19) + TIME(22,57,57)</f>
        <v>41109.956909722219</v>
      </c>
      <c r="C1228">
        <v>80</v>
      </c>
      <c r="D1228">
        <v>79.943946838000002</v>
      </c>
      <c r="E1228">
        <v>50</v>
      </c>
      <c r="F1228">
        <v>43.433029175000001</v>
      </c>
      <c r="G1228">
        <v>1804.3580322</v>
      </c>
      <c r="H1228">
        <v>1677.7705077999999</v>
      </c>
      <c r="I1228">
        <v>872.16827393000005</v>
      </c>
      <c r="J1228">
        <v>670.82501220999995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812.45570399999997</v>
      </c>
      <c r="B1229" s="1">
        <f>DATE(2012,7,21) + TIME(10,56,12)</f>
        <v>41111.455694444441</v>
      </c>
      <c r="C1229">
        <v>80</v>
      </c>
      <c r="D1229">
        <v>79.944015503000003</v>
      </c>
      <c r="E1229">
        <v>50</v>
      </c>
      <c r="F1229">
        <v>43.323143004999999</v>
      </c>
      <c r="G1229">
        <v>1803.9682617000001</v>
      </c>
      <c r="H1229">
        <v>1677.3812256000001</v>
      </c>
      <c r="I1229">
        <v>871.54577637</v>
      </c>
      <c r="J1229">
        <v>669.87957763999998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813.97000800000001</v>
      </c>
      <c r="B1230" s="1">
        <f>DATE(2012,7,22) + TIME(23,16,48)</f>
        <v>41112.97</v>
      </c>
      <c r="C1230">
        <v>80</v>
      </c>
      <c r="D1230">
        <v>79.944084167</v>
      </c>
      <c r="E1230">
        <v>50</v>
      </c>
      <c r="F1230">
        <v>43.210811614999997</v>
      </c>
      <c r="G1230">
        <v>1803.5664062000001</v>
      </c>
      <c r="H1230">
        <v>1676.9799805</v>
      </c>
      <c r="I1230">
        <v>870.90515137</v>
      </c>
      <c r="J1230">
        <v>668.90051270000004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815.49494100000004</v>
      </c>
      <c r="B1231" s="1">
        <f>DATE(2012,7,24) + TIME(11,52,42)</f>
        <v>41114.494930555556</v>
      </c>
      <c r="C1231">
        <v>80</v>
      </c>
      <c r="D1231">
        <v>79.944152832</v>
      </c>
      <c r="E1231">
        <v>50</v>
      </c>
      <c r="F1231">
        <v>43.096572876000003</v>
      </c>
      <c r="G1231">
        <v>1803.1542969</v>
      </c>
      <c r="H1231">
        <v>1676.5684814000001</v>
      </c>
      <c r="I1231">
        <v>870.25006103999999</v>
      </c>
      <c r="J1231">
        <v>667.89270020000004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817.03564700000004</v>
      </c>
      <c r="B1232" s="1">
        <f>DATE(2012,7,26) + TIME(0,51,19)</f>
        <v>41116.035636574074</v>
      </c>
      <c r="C1232">
        <v>80</v>
      </c>
      <c r="D1232">
        <v>79.944221497000001</v>
      </c>
      <c r="E1232">
        <v>50</v>
      </c>
      <c r="F1232">
        <v>42.980602263999998</v>
      </c>
      <c r="G1232">
        <v>1802.7325439000001</v>
      </c>
      <c r="H1232">
        <v>1676.1472168</v>
      </c>
      <c r="I1232">
        <v>869.58142090000001</v>
      </c>
      <c r="J1232">
        <v>666.85736083999996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818.59744899999998</v>
      </c>
      <c r="B1233" s="1">
        <f>DATE(2012,7,27) + TIME(14,20,19)</f>
        <v>41117.597442129627</v>
      </c>
      <c r="C1233">
        <v>80</v>
      </c>
      <c r="D1233">
        <v>79.944297790999997</v>
      </c>
      <c r="E1233">
        <v>50</v>
      </c>
      <c r="F1233">
        <v>42.862701416</v>
      </c>
      <c r="G1233">
        <v>1802.3007812000001</v>
      </c>
      <c r="H1233">
        <v>1675.7160644999999</v>
      </c>
      <c r="I1233">
        <v>868.89733887</v>
      </c>
      <c r="J1233">
        <v>665.79156493999994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820.17624000000001</v>
      </c>
      <c r="B1234" s="1">
        <f>DATE(2012,7,29) + TIME(4,13,47)</f>
        <v>41119.176238425927</v>
      </c>
      <c r="C1234">
        <v>80</v>
      </c>
      <c r="D1234">
        <v>79.944374084000003</v>
      </c>
      <c r="E1234">
        <v>50</v>
      </c>
      <c r="F1234">
        <v>42.742778778000002</v>
      </c>
      <c r="G1234">
        <v>1801.8599853999999</v>
      </c>
      <c r="H1234">
        <v>1675.2757568</v>
      </c>
      <c r="I1234">
        <v>868.19567871000004</v>
      </c>
      <c r="J1234">
        <v>664.69256591999999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821.767067</v>
      </c>
      <c r="B1235" s="1">
        <f>DATE(2012,7,30) + TIME(18,24,34)</f>
        <v>41120.767060185186</v>
      </c>
      <c r="C1235">
        <v>80</v>
      </c>
      <c r="D1235">
        <v>79.944442749000004</v>
      </c>
      <c r="E1235">
        <v>50</v>
      </c>
      <c r="F1235">
        <v>42.621040344000001</v>
      </c>
      <c r="G1235">
        <v>1801.4113769999999</v>
      </c>
      <c r="H1235">
        <v>1674.8275146000001</v>
      </c>
      <c r="I1235">
        <v>867.47723388999998</v>
      </c>
      <c r="J1235">
        <v>663.56146239999998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823</v>
      </c>
      <c r="B1236" s="1">
        <f>DATE(2012,8,1) + TIME(0,0,0)</f>
        <v>41122</v>
      </c>
      <c r="C1236">
        <v>80</v>
      </c>
      <c r="D1236">
        <v>79.944458007999998</v>
      </c>
      <c r="E1236">
        <v>50</v>
      </c>
      <c r="F1236">
        <v>42.508693694999998</v>
      </c>
      <c r="G1236">
        <v>1801.0250243999999</v>
      </c>
      <c r="H1236">
        <v>1674.4415283000001</v>
      </c>
      <c r="I1236">
        <v>866.77374268000005</v>
      </c>
      <c r="J1236">
        <v>662.46649170000001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824.608969</v>
      </c>
      <c r="B1237" s="1">
        <f>DATE(2012,8,2) + TIME(14,36,54)</f>
        <v>41123.608958333331</v>
      </c>
      <c r="C1237">
        <v>80</v>
      </c>
      <c r="D1237">
        <v>79.944580078000001</v>
      </c>
      <c r="E1237">
        <v>50</v>
      </c>
      <c r="F1237">
        <v>42.395969391000001</v>
      </c>
      <c r="G1237">
        <v>1800.5783690999999</v>
      </c>
      <c r="H1237">
        <v>1673.9953613</v>
      </c>
      <c r="I1237">
        <v>866.14379883000004</v>
      </c>
      <c r="J1237">
        <v>661.44061279000005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826.26662899999997</v>
      </c>
      <c r="B1238" s="1">
        <f>DATE(2012,8,4) + TIME(6,23,56)</f>
        <v>41125.26662037037</v>
      </c>
      <c r="C1238">
        <v>80</v>
      </c>
      <c r="D1238">
        <v>79.944671631000006</v>
      </c>
      <c r="E1238">
        <v>50</v>
      </c>
      <c r="F1238">
        <v>42.273239136000001</v>
      </c>
      <c r="G1238">
        <v>1800.1163329999999</v>
      </c>
      <c r="H1238">
        <v>1673.5336914</v>
      </c>
      <c r="I1238">
        <v>865.39862060999997</v>
      </c>
      <c r="J1238">
        <v>660.25305175999995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827.94581900000003</v>
      </c>
      <c r="B1239" s="1">
        <f>DATE(2012,8,5) + TIME(22,41,58)</f>
        <v>41126.945810185185</v>
      </c>
      <c r="C1239">
        <v>80</v>
      </c>
      <c r="D1239">
        <v>79.944755553999997</v>
      </c>
      <c r="E1239">
        <v>50</v>
      </c>
      <c r="F1239">
        <v>42.144989013999997</v>
      </c>
      <c r="G1239">
        <v>1799.6400146000001</v>
      </c>
      <c r="H1239">
        <v>1673.0577393000001</v>
      </c>
      <c r="I1239">
        <v>864.61254883000004</v>
      </c>
      <c r="J1239">
        <v>658.99444579999999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829.63502500000004</v>
      </c>
      <c r="B1240" s="1">
        <f>DATE(2012,8,7) + TIME(15,14,26)</f>
        <v>41128.635023148148</v>
      </c>
      <c r="C1240">
        <v>80</v>
      </c>
      <c r="D1240">
        <v>79.944831848000007</v>
      </c>
      <c r="E1240">
        <v>50</v>
      </c>
      <c r="F1240">
        <v>42.013793945000003</v>
      </c>
      <c r="G1240">
        <v>1799.1546631000001</v>
      </c>
      <c r="H1240">
        <v>1672.5727539</v>
      </c>
      <c r="I1240">
        <v>863.80236816000001</v>
      </c>
      <c r="J1240">
        <v>657.69067383000004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831.33981900000003</v>
      </c>
      <c r="B1241" s="1">
        <f>DATE(2012,8,9) + TIME(8,9,20)</f>
        <v>41130.339814814812</v>
      </c>
      <c r="C1241">
        <v>80</v>
      </c>
      <c r="D1241">
        <v>79.944915770999998</v>
      </c>
      <c r="E1241">
        <v>50</v>
      </c>
      <c r="F1241">
        <v>41.880729674999998</v>
      </c>
      <c r="G1241">
        <v>1798.6618652</v>
      </c>
      <c r="H1241">
        <v>1672.0803223</v>
      </c>
      <c r="I1241">
        <v>862.97479248000002</v>
      </c>
      <c r="J1241">
        <v>656.35211182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833.06497300000001</v>
      </c>
      <c r="B1242" s="1">
        <f>DATE(2012,8,11) + TIME(1,33,33)</f>
        <v>41132.064965277779</v>
      </c>
      <c r="C1242">
        <v>80</v>
      </c>
      <c r="D1242">
        <v>79.944999695000007</v>
      </c>
      <c r="E1242">
        <v>50</v>
      </c>
      <c r="F1242">
        <v>41.745899199999997</v>
      </c>
      <c r="G1242">
        <v>1798.1617432</v>
      </c>
      <c r="H1242">
        <v>1671.5805664</v>
      </c>
      <c r="I1242">
        <v>862.12921143000005</v>
      </c>
      <c r="J1242">
        <v>654.97821045000001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834.80510800000002</v>
      </c>
      <c r="B1243" s="1">
        <f>DATE(2012,8,12) + TIME(19,19,21)</f>
        <v>41133.805104166669</v>
      </c>
      <c r="C1243">
        <v>80</v>
      </c>
      <c r="D1243">
        <v>79.945083617999998</v>
      </c>
      <c r="E1243">
        <v>50</v>
      </c>
      <c r="F1243">
        <v>41.609325409</v>
      </c>
      <c r="G1243">
        <v>1797.6558838000001</v>
      </c>
      <c r="H1243">
        <v>1671.0750731999999</v>
      </c>
      <c r="I1243">
        <v>861.26446533000001</v>
      </c>
      <c r="J1243">
        <v>653.56774901999995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836.56570699999997</v>
      </c>
      <c r="B1244" s="1">
        <f>DATE(2012,8,14) + TIME(13,34,37)</f>
        <v>41135.565706018519</v>
      </c>
      <c r="C1244">
        <v>80</v>
      </c>
      <c r="D1244">
        <v>79.945167541999993</v>
      </c>
      <c r="E1244">
        <v>50</v>
      </c>
      <c r="F1244">
        <v>41.471080780000001</v>
      </c>
      <c r="G1244">
        <v>1797.1437988</v>
      </c>
      <c r="H1244">
        <v>1670.5632324000001</v>
      </c>
      <c r="I1244">
        <v>860.38250731999995</v>
      </c>
      <c r="J1244">
        <v>652.12286376999998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838.35246400000005</v>
      </c>
      <c r="B1245" s="1">
        <f>DATE(2012,8,16) + TIME(8,27,32)</f>
        <v>41137.352453703701</v>
      </c>
      <c r="C1245">
        <v>80</v>
      </c>
      <c r="D1245">
        <v>79.945259093999994</v>
      </c>
      <c r="E1245">
        <v>50</v>
      </c>
      <c r="F1245">
        <v>41.330944060999997</v>
      </c>
      <c r="G1245">
        <v>1796.6245117000001</v>
      </c>
      <c r="H1245">
        <v>1670.0441894999999</v>
      </c>
      <c r="I1245">
        <v>859.48150635000002</v>
      </c>
      <c r="J1245">
        <v>650.64068603999999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840.16297499999996</v>
      </c>
      <c r="B1246" s="1">
        <f>DATE(2012,8,18) + TIME(3,54,41)</f>
        <v>41139.162974537037</v>
      </c>
      <c r="C1246">
        <v>80</v>
      </c>
      <c r="D1246">
        <v>79.945343018000003</v>
      </c>
      <c r="E1246">
        <v>50</v>
      </c>
      <c r="F1246">
        <v>41.188766479000002</v>
      </c>
      <c r="G1246">
        <v>1796.0983887</v>
      </c>
      <c r="H1246">
        <v>1669.5184326000001</v>
      </c>
      <c r="I1246">
        <v>858.55969238</v>
      </c>
      <c r="J1246">
        <v>649.11840819999998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842.00286900000003</v>
      </c>
      <c r="B1247" s="1">
        <f>DATE(2012,8,20) + TIME(0,4,7)</f>
        <v>41141.002858796295</v>
      </c>
      <c r="C1247">
        <v>80</v>
      </c>
      <c r="D1247">
        <v>79.945434570000003</v>
      </c>
      <c r="E1247">
        <v>50</v>
      </c>
      <c r="F1247">
        <v>41.044509888</v>
      </c>
      <c r="G1247">
        <v>1795.5645752</v>
      </c>
      <c r="H1247">
        <v>1668.9848632999999</v>
      </c>
      <c r="I1247">
        <v>857.61791991999996</v>
      </c>
      <c r="J1247">
        <v>647.55657958999996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843.85927100000004</v>
      </c>
      <c r="B1248" s="1">
        <f>DATE(2012,8,21) + TIME(20,37,20)</f>
        <v>41142.859259259261</v>
      </c>
      <c r="C1248">
        <v>80</v>
      </c>
      <c r="D1248">
        <v>79.945526122999993</v>
      </c>
      <c r="E1248">
        <v>50</v>
      </c>
      <c r="F1248">
        <v>40.898345947000003</v>
      </c>
      <c r="G1248">
        <v>1795.0256348</v>
      </c>
      <c r="H1248">
        <v>1668.4461670000001</v>
      </c>
      <c r="I1248">
        <v>856.65533446999996</v>
      </c>
      <c r="J1248">
        <v>645.95477295000001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845.72752800000001</v>
      </c>
      <c r="B1249" s="1">
        <f>DATE(2012,8,23) + TIME(17,27,38)</f>
        <v>41144.727523148147</v>
      </c>
      <c r="C1249">
        <v>80</v>
      </c>
      <c r="D1249">
        <v>79.945617675999998</v>
      </c>
      <c r="E1249">
        <v>50</v>
      </c>
      <c r="F1249">
        <v>40.750938415999997</v>
      </c>
      <c r="G1249">
        <v>1794.4827881000001</v>
      </c>
      <c r="H1249">
        <v>1667.9035644999999</v>
      </c>
      <c r="I1249">
        <v>855.67797852000001</v>
      </c>
      <c r="J1249">
        <v>644.32171631000006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847.60900000000004</v>
      </c>
      <c r="B1250" s="1">
        <f>DATE(2012,8,25) + TIME(14,36,57)</f>
        <v>41146.608993055554</v>
      </c>
      <c r="C1250">
        <v>80</v>
      </c>
      <c r="D1250">
        <v>79.945709229000002</v>
      </c>
      <c r="E1250">
        <v>50</v>
      </c>
      <c r="F1250">
        <v>40.602699280000003</v>
      </c>
      <c r="G1250">
        <v>1793.9366454999999</v>
      </c>
      <c r="H1250">
        <v>1667.3576660000001</v>
      </c>
      <c r="I1250">
        <v>854.68951416000004</v>
      </c>
      <c r="J1250">
        <v>642.66296387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849.50189599999999</v>
      </c>
      <c r="B1251" s="1">
        <f>DATE(2012,8,27) + TIME(12,2,43)</f>
        <v>41148.501886574071</v>
      </c>
      <c r="C1251">
        <v>80</v>
      </c>
      <c r="D1251">
        <v>79.945800781000003</v>
      </c>
      <c r="E1251">
        <v>50</v>
      </c>
      <c r="F1251">
        <v>40.453857421999999</v>
      </c>
      <c r="G1251">
        <v>1793.3876952999999</v>
      </c>
      <c r="H1251">
        <v>1666.809082</v>
      </c>
      <c r="I1251">
        <v>853.69110106999995</v>
      </c>
      <c r="J1251">
        <v>640.98071288999995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851.41186000000005</v>
      </c>
      <c r="B1252" s="1">
        <f>DATE(2012,8,29) + TIME(9,53,4)</f>
        <v>41150.411851851852</v>
      </c>
      <c r="C1252">
        <v>80</v>
      </c>
      <c r="D1252">
        <v>79.945892334000007</v>
      </c>
      <c r="E1252">
        <v>50</v>
      </c>
      <c r="F1252">
        <v>40.304557799999998</v>
      </c>
      <c r="G1252">
        <v>1792.8354492000001</v>
      </c>
      <c r="H1252">
        <v>1666.2569579999999</v>
      </c>
      <c r="I1252">
        <v>852.68469238</v>
      </c>
      <c r="J1252">
        <v>639.27746581999997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853.34476600000005</v>
      </c>
      <c r="B1253" s="1">
        <f>DATE(2012,8,31) + TIME(8,16,27)</f>
        <v>41152.344756944447</v>
      </c>
      <c r="C1253">
        <v>80</v>
      </c>
      <c r="D1253">
        <v>79.945983886999997</v>
      </c>
      <c r="E1253">
        <v>50</v>
      </c>
      <c r="F1253">
        <v>40.154663085999999</v>
      </c>
      <c r="G1253">
        <v>1792.2784423999999</v>
      </c>
      <c r="H1253">
        <v>1665.7001952999999</v>
      </c>
      <c r="I1253">
        <v>851.66931151999995</v>
      </c>
      <c r="J1253">
        <v>637.55169678000004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854</v>
      </c>
      <c r="B1254" s="1">
        <f>DATE(2012,9,1) + TIME(0,0,0)</f>
        <v>41153</v>
      </c>
      <c r="C1254">
        <v>80</v>
      </c>
      <c r="D1254">
        <v>79.94593811</v>
      </c>
      <c r="E1254">
        <v>50</v>
      </c>
      <c r="F1254">
        <v>40.057834624999998</v>
      </c>
      <c r="G1254">
        <v>1792.0456543</v>
      </c>
      <c r="H1254">
        <v>1665.4674072</v>
      </c>
      <c r="I1254">
        <v>850.80505371000004</v>
      </c>
      <c r="J1254">
        <v>636.20178223000005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855.96200799999997</v>
      </c>
      <c r="B1255" s="1">
        <f>DATE(2012,9,2) + TIME(23,5,17)</f>
        <v>41154.962002314816</v>
      </c>
      <c r="C1255">
        <v>80</v>
      </c>
      <c r="D1255">
        <v>79.946098328000005</v>
      </c>
      <c r="E1255">
        <v>50</v>
      </c>
      <c r="F1255">
        <v>39.940280913999999</v>
      </c>
      <c r="G1255">
        <v>1791.4916992000001</v>
      </c>
      <c r="H1255">
        <v>1664.9136963000001</v>
      </c>
      <c r="I1255">
        <v>850.24291991999996</v>
      </c>
      <c r="J1255">
        <v>635.09191895000004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857.97420599999998</v>
      </c>
      <c r="B1256" s="1">
        <f>DATE(2012,9,4) + TIME(23,22,51)</f>
        <v>41156.97420138889</v>
      </c>
      <c r="C1256">
        <v>80</v>
      </c>
      <c r="D1256">
        <v>79.946220397999994</v>
      </c>
      <c r="E1256">
        <v>50</v>
      </c>
      <c r="F1256">
        <v>39.798297882</v>
      </c>
      <c r="G1256">
        <v>1790.9337158000001</v>
      </c>
      <c r="H1256">
        <v>1664.355957</v>
      </c>
      <c r="I1256">
        <v>849.25219727000001</v>
      </c>
      <c r="J1256">
        <v>633.40240478999999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860.00977499999999</v>
      </c>
      <c r="B1257" s="1">
        <f>DATE(2012,9,7) + TIME(0,14,4)</f>
        <v>41159.009768518517</v>
      </c>
      <c r="C1257">
        <v>80</v>
      </c>
      <c r="D1257">
        <v>79.946311950999998</v>
      </c>
      <c r="E1257">
        <v>50</v>
      </c>
      <c r="F1257">
        <v>39.648227691999999</v>
      </c>
      <c r="G1257">
        <v>1790.3631591999999</v>
      </c>
      <c r="H1257">
        <v>1663.7855225000001</v>
      </c>
      <c r="I1257">
        <v>848.20727538999995</v>
      </c>
      <c r="J1257">
        <v>631.60839843999997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862.06330400000002</v>
      </c>
      <c r="B1258" s="1">
        <f>DATE(2012,9,9) + TIME(1,31,9)</f>
        <v>41161.063298611109</v>
      </c>
      <c r="C1258">
        <v>80</v>
      </c>
      <c r="D1258">
        <v>79.946403502999999</v>
      </c>
      <c r="E1258">
        <v>50</v>
      </c>
      <c r="F1258">
        <v>39.496303558000001</v>
      </c>
      <c r="G1258">
        <v>1789.7843018000001</v>
      </c>
      <c r="H1258">
        <v>1663.2069091999999</v>
      </c>
      <c r="I1258">
        <v>847.15118408000001</v>
      </c>
      <c r="J1258">
        <v>629.78271484000004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864.12186399999996</v>
      </c>
      <c r="B1259" s="1">
        <f>DATE(2012,9,11) + TIME(2,55,29)</f>
        <v>41163.121863425928</v>
      </c>
      <c r="C1259">
        <v>80</v>
      </c>
      <c r="D1259">
        <v>79.946495056000003</v>
      </c>
      <c r="E1259">
        <v>50</v>
      </c>
      <c r="F1259">
        <v>39.345008849999999</v>
      </c>
      <c r="G1259">
        <v>1789.2025146000001</v>
      </c>
      <c r="H1259">
        <v>1662.6252440999999</v>
      </c>
      <c r="I1259">
        <v>846.09558104999996</v>
      </c>
      <c r="J1259">
        <v>627.94897461000005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866.18982900000003</v>
      </c>
      <c r="B1260" s="1">
        <f>DATE(2012,9,13) + TIME(4,33,21)</f>
        <v>41165.189826388887</v>
      </c>
      <c r="C1260">
        <v>80</v>
      </c>
      <c r="D1260">
        <v>79.946594238000003</v>
      </c>
      <c r="E1260">
        <v>50</v>
      </c>
      <c r="F1260">
        <v>39.195693970000001</v>
      </c>
      <c r="G1260">
        <v>1788.6185303</v>
      </c>
      <c r="H1260">
        <v>1662.0415039</v>
      </c>
      <c r="I1260">
        <v>845.05029296999999</v>
      </c>
      <c r="J1260">
        <v>626.12371826000003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868.27322100000004</v>
      </c>
      <c r="B1261" s="1">
        <f>DATE(2012,9,15) + TIME(6,33,26)</f>
        <v>41167.273217592592</v>
      </c>
      <c r="C1261">
        <v>80</v>
      </c>
      <c r="D1261">
        <v>79.946685790999993</v>
      </c>
      <c r="E1261">
        <v>50</v>
      </c>
      <c r="F1261">
        <v>39.048801421999997</v>
      </c>
      <c r="G1261">
        <v>1788.0318603999999</v>
      </c>
      <c r="H1261">
        <v>1661.4549560999999</v>
      </c>
      <c r="I1261">
        <v>844.01708984000004</v>
      </c>
      <c r="J1261">
        <v>624.31091308999999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870.37821299999996</v>
      </c>
      <c r="B1262" s="1">
        <f>DATE(2012,9,17) + TIME(9,4,37)</f>
        <v>41169.378206018519</v>
      </c>
      <c r="C1262">
        <v>80</v>
      </c>
      <c r="D1262">
        <v>79.946784973000007</v>
      </c>
      <c r="E1262">
        <v>50</v>
      </c>
      <c r="F1262">
        <v>38.904525757000002</v>
      </c>
      <c r="G1262">
        <v>1787.4416504000001</v>
      </c>
      <c r="H1262">
        <v>1660.8648682</v>
      </c>
      <c r="I1262">
        <v>842.99639893000005</v>
      </c>
      <c r="J1262">
        <v>622.51171875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872.51129800000001</v>
      </c>
      <c r="B1263" s="1">
        <f>DATE(2012,9,19) + TIME(12,16,16)</f>
        <v>41171.511296296296</v>
      </c>
      <c r="C1263">
        <v>80</v>
      </c>
      <c r="D1263">
        <v>79.946884155000006</v>
      </c>
      <c r="E1263">
        <v>50</v>
      </c>
      <c r="F1263">
        <v>38.763053894000002</v>
      </c>
      <c r="G1263">
        <v>1786.8463135</v>
      </c>
      <c r="H1263">
        <v>1660.2696533000001</v>
      </c>
      <c r="I1263">
        <v>841.98846435999997</v>
      </c>
      <c r="J1263">
        <v>620.72711182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874.67931699999997</v>
      </c>
      <c r="B1264" s="1">
        <f>DATE(2012,9,21) + TIME(16,18,12)</f>
        <v>41173.679305555554</v>
      </c>
      <c r="C1264">
        <v>80</v>
      </c>
      <c r="D1264">
        <v>79.946983337000006</v>
      </c>
      <c r="E1264">
        <v>50</v>
      </c>
      <c r="F1264">
        <v>38.624637604</v>
      </c>
      <c r="G1264">
        <v>1786.2443848</v>
      </c>
      <c r="H1264">
        <v>1659.6679687999999</v>
      </c>
      <c r="I1264">
        <v>840.99383545000001</v>
      </c>
      <c r="J1264">
        <v>618.95831298999997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876.87824799999999</v>
      </c>
      <c r="B1265" s="1">
        <f>DATE(2012,9,23) + TIME(21,4,40)</f>
        <v>41175.878240740742</v>
      </c>
      <c r="C1265">
        <v>80</v>
      </c>
      <c r="D1265">
        <v>79.947082519999995</v>
      </c>
      <c r="E1265">
        <v>50</v>
      </c>
      <c r="F1265">
        <v>38.489822388</v>
      </c>
      <c r="G1265">
        <v>1785.6363524999999</v>
      </c>
      <c r="H1265">
        <v>1659.0600586</v>
      </c>
      <c r="I1265">
        <v>840.01354979999996</v>
      </c>
      <c r="J1265">
        <v>617.20849609000004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879.09807000000001</v>
      </c>
      <c r="B1266" s="1">
        <f>DATE(2012,9,26) + TIME(2,21,13)</f>
        <v>41178.098067129627</v>
      </c>
      <c r="C1266">
        <v>80</v>
      </c>
      <c r="D1266">
        <v>79.947181701999995</v>
      </c>
      <c r="E1266">
        <v>50</v>
      </c>
      <c r="F1266">
        <v>38.359703064000001</v>
      </c>
      <c r="G1266">
        <v>1785.0244141000001</v>
      </c>
      <c r="H1266">
        <v>1658.4482422000001</v>
      </c>
      <c r="I1266">
        <v>839.05334473000005</v>
      </c>
      <c r="J1266">
        <v>615.48840331999997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881.33905000000004</v>
      </c>
      <c r="B1267" s="1">
        <f>DATE(2012,9,28) + TIME(8,8,13)</f>
        <v>41180.339039351849</v>
      </c>
      <c r="C1267">
        <v>80</v>
      </c>
      <c r="D1267">
        <v>79.947280883999994</v>
      </c>
      <c r="E1267">
        <v>50</v>
      </c>
      <c r="F1267">
        <v>38.235530853</v>
      </c>
      <c r="G1267">
        <v>1784.4084473</v>
      </c>
      <c r="H1267">
        <v>1657.8323975000001</v>
      </c>
      <c r="I1267">
        <v>838.12127685999997</v>
      </c>
      <c r="J1267">
        <v>613.81256103999999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883.60014200000001</v>
      </c>
      <c r="B1268" s="1">
        <f>DATE(2012,9,30) + TIME(14,24,12)</f>
        <v>41182.600138888891</v>
      </c>
      <c r="C1268">
        <v>80</v>
      </c>
      <c r="D1268">
        <v>79.947387695000003</v>
      </c>
      <c r="E1268">
        <v>50</v>
      </c>
      <c r="F1268">
        <v>38.118347168</v>
      </c>
      <c r="G1268">
        <v>1783.7891846</v>
      </c>
      <c r="H1268">
        <v>1657.2132568</v>
      </c>
      <c r="I1268">
        <v>837.22174071999996</v>
      </c>
      <c r="J1268">
        <v>612.18994140999996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884</v>
      </c>
      <c r="B1269" s="1">
        <f>DATE(2012,10,1) + TIME(0,0,0)</f>
        <v>41183</v>
      </c>
      <c r="C1269">
        <v>80</v>
      </c>
      <c r="D1269">
        <v>79.947357178000004</v>
      </c>
      <c r="E1269">
        <v>50</v>
      </c>
      <c r="F1269">
        <v>38.067760468000003</v>
      </c>
      <c r="G1269">
        <v>1783.6586914</v>
      </c>
      <c r="H1269">
        <v>1657.0827637</v>
      </c>
      <c r="I1269">
        <v>836.55291748000002</v>
      </c>
      <c r="J1269">
        <v>611.14868163999995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886.27242100000001</v>
      </c>
      <c r="B1270" s="1">
        <f>DATE(2012,10,3) + TIME(6,32,17)</f>
        <v>41185.272418981483</v>
      </c>
      <c r="C1270">
        <v>80</v>
      </c>
      <c r="D1270">
        <v>79.947486877000003</v>
      </c>
      <c r="E1270">
        <v>50</v>
      </c>
      <c r="F1270">
        <v>37.983737945999998</v>
      </c>
      <c r="G1270">
        <v>1783.0347899999999</v>
      </c>
      <c r="H1270">
        <v>1656.4589844</v>
      </c>
      <c r="I1270">
        <v>836.17517090000001</v>
      </c>
      <c r="J1270">
        <v>610.28381348000005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888.56657800000005</v>
      </c>
      <c r="B1271" s="1">
        <f>DATE(2012,10,5) + TIME(13,35,52)</f>
        <v>41187.566574074073</v>
      </c>
      <c r="C1271">
        <v>80</v>
      </c>
      <c r="D1271">
        <v>79.947608947999996</v>
      </c>
      <c r="E1271">
        <v>50</v>
      </c>
      <c r="F1271">
        <v>37.891818999999998</v>
      </c>
      <c r="G1271">
        <v>1782.4202881000001</v>
      </c>
      <c r="H1271">
        <v>1655.8446045000001</v>
      </c>
      <c r="I1271">
        <v>835.40106201000003</v>
      </c>
      <c r="J1271">
        <v>608.88616943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890.88584000000003</v>
      </c>
      <c r="B1272" s="1">
        <f>DATE(2012,10,7) + TIME(21,15,36)</f>
        <v>41189.885833333334</v>
      </c>
      <c r="C1272">
        <v>80</v>
      </c>
      <c r="D1272">
        <v>79.947708129999995</v>
      </c>
      <c r="E1272">
        <v>50</v>
      </c>
      <c r="F1272">
        <v>37.805423736999998</v>
      </c>
      <c r="G1272">
        <v>1781.7984618999999</v>
      </c>
      <c r="H1272">
        <v>1655.2229004000001</v>
      </c>
      <c r="I1272">
        <v>834.63885498000002</v>
      </c>
      <c r="J1272">
        <v>607.50897216999999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893.23687600000005</v>
      </c>
      <c r="B1273" s="1">
        <f>DATE(2012,10,10) + TIME(5,41,6)</f>
        <v>41192.236875000002</v>
      </c>
      <c r="C1273">
        <v>80</v>
      </c>
      <c r="D1273">
        <v>79.947807311999995</v>
      </c>
      <c r="E1273">
        <v>50</v>
      </c>
      <c r="F1273">
        <v>37.728961945000002</v>
      </c>
      <c r="G1273">
        <v>1781.1689452999999</v>
      </c>
      <c r="H1273">
        <v>1654.5935059000001</v>
      </c>
      <c r="I1273">
        <v>833.91754149999997</v>
      </c>
      <c r="J1273">
        <v>606.20471191000001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895.61611200000004</v>
      </c>
      <c r="B1274" s="1">
        <f>DATE(2012,10,12) + TIME(14,47,12)</f>
        <v>41194.616111111114</v>
      </c>
      <c r="C1274">
        <v>80</v>
      </c>
      <c r="D1274">
        <v>79.947914123999993</v>
      </c>
      <c r="E1274">
        <v>50</v>
      </c>
      <c r="F1274">
        <v>37.664299010999997</v>
      </c>
      <c r="G1274">
        <v>1780.5335693</v>
      </c>
      <c r="H1274">
        <v>1653.9582519999999</v>
      </c>
      <c r="I1274">
        <v>833.24169921999999</v>
      </c>
      <c r="J1274">
        <v>604.98620604999996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898.02089100000001</v>
      </c>
      <c r="B1275" s="1">
        <f>DATE(2012,10,15) + TIME(0,30,4)</f>
        <v>41197.020879629628</v>
      </c>
      <c r="C1275">
        <v>80</v>
      </c>
      <c r="D1275">
        <v>79.948013306000007</v>
      </c>
      <c r="E1275">
        <v>50</v>
      </c>
      <c r="F1275">
        <v>37.612831116000002</v>
      </c>
      <c r="G1275">
        <v>1779.8935547000001</v>
      </c>
      <c r="H1275">
        <v>1653.3183594</v>
      </c>
      <c r="I1275">
        <v>832.61547852000001</v>
      </c>
      <c r="J1275">
        <v>603.86370850000003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900.44857200000001</v>
      </c>
      <c r="B1276" s="1">
        <f>DATE(2012,10,17) + TIME(10,45,56)</f>
        <v>41199.448564814818</v>
      </c>
      <c r="C1276">
        <v>80</v>
      </c>
      <c r="D1276">
        <v>79.948120117000002</v>
      </c>
      <c r="E1276">
        <v>50</v>
      </c>
      <c r="F1276">
        <v>37.575721741000002</v>
      </c>
      <c r="G1276">
        <v>1779.2498779</v>
      </c>
      <c r="H1276">
        <v>1652.6748047000001</v>
      </c>
      <c r="I1276">
        <v>832.04162598000005</v>
      </c>
      <c r="J1276">
        <v>602.84472656000003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902.88710500000002</v>
      </c>
      <c r="B1277" s="1">
        <f>DATE(2012,10,19) + TIME(21,17,25)</f>
        <v>41201.887094907404</v>
      </c>
      <c r="C1277">
        <v>80</v>
      </c>
      <c r="D1277">
        <v>79.948219299000002</v>
      </c>
      <c r="E1277">
        <v>50</v>
      </c>
      <c r="F1277">
        <v>37.553981780999997</v>
      </c>
      <c r="G1277">
        <v>1778.6055908000001</v>
      </c>
      <c r="H1277">
        <v>1652.0306396000001</v>
      </c>
      <c r="I1277">
        <v>831.52166748000002</v>
      </c>
      <c r="J1277">
        <v>601.93475341999999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905.34133299999996</v>
      </c>
      <c r="B1278" s="1">
        <f>DATE(2012,10,22) + TIME(8,11,31)</f>
        <v>41204.341331018521</v>
      </c>
      <c r="C1278">
        <v>80</v>
      </c>
      <c r="D1278">
        <v>79.948326111</v>
      </c>
      <c r="E1278">
        <v>50</v>
      </c>
      <c r="F1278">
        <v>37.548366547000001</v>
      </c>
      <c r="G1278">
        <v>1777.9600829999999</v>
      </c>
      <c r="H1278">
        <v>1651.3852539</v>
      </c>
      <c r="I1278">
        <v>831.05828856999995</v>
      </c>
      <c r="J1278">
        <v>601.13964843999997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907.81814499999996</v>
      </c>
      <c r="B1279" s="1">
        <f>DATE(2012,10,24) + TIME(19,38,7)</f>
        <v>41206.818136574075</v>
      </c>
      <c r="C1279">
        <v>80</v>
      </c>
      <c r="D1279">
        <v>79.948425293</v>
      </c>
      <c r="E1279">
        <v>50</v>
      </c>
      <c r="F1279">
        <v>37.559371947999999</v>
      </c>
      <c r="G1279">
        <v>1777.3125</v>
      </c>
      <c r="H1279">
        <v>1650.7376709</v>
      </c>
      <c r="I1279">
        <v>830.64965819999998</v>
      </c>
      <c r="J1279">
        <v>600.45819091999999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910.32471999999996</v>
      </c>
      <c r="B1280" s="1">
        <f>DATE(2012,10,27) + TIME(7,47,35)</f>
        <v>41209.32471064815</v>
      </c>
      <c r="C1280">
        <v>80</v>
      </c>
      <c r="D1280">
        <v>79.948532103999995</v>
      </c>
      <c r="E1280">
        <v>50</v>
      </c>
      <c r="F1280">
        <v>37.587387085000003</v>
      </c>
      <c r="G1280">
        <v>1776.6616211</v>
      </c>
      <c r="H1280">
        <v>1650.0870361</v>
      </c>
      <c r="I1280">
        <v>830.29309081999997</v>
      </c>
      <c r="J1280">
        <v>599.88720703000001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912.86892499999999</v>
      </c>
      <c r="B1281" s="1">
        <f>DATE(2012,10,29) + TIME(20,51,15)</f>
        <v>41211.868923611109</v>
      </c>
      <c r="C1281">
        <v>80</v>
      </c>
      <c r="D1281">
        <v>79.948638915999993</v>
      </c>
      <c r="E1281">
        <v>50</v>
      </c>
      <c r="F1281">
        <v>37.632778168000002</v>
      </c>
      <c r="G1281">
        <v>1776.0062256000001</v>
      </c>
      <c r="H1281">
        <v>1649.4316406</v>
      </c>
      <c r="I1281">
        <v>829.98596191000001</v>
      </c>
      <c r="J1281">
        <v>599.42321776999995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915</v>
      </c>
      <c r="B1282" s="1">
        <f>DATE(2012,11,1) + TIME(0,0,0)</f>
        <v>41214</v>
      </c>
      <c r="C1282">
        <v>80</v>
      </c>
      <c r="D1282">
        <v>79.948707580999994</v>
      </c>
      <c r="E1282">
        <v>50</v>
      </c>
      <c r="F1282">
        <v>37.693187713999997</v>
      </c>
      <c r="G1282">
        <v>1775.4376221</v>
      </c>
      <c r="H1282">
        <v>1648.8630370999999</v>
      </c>
      <c r="I1282">
        <v>829.71777343999997</v>
      </c>
      <c r="J1282">
        <v>599.05407715000001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915.000001</v>
      </c>
      <c r="B1283" s="1">
        <f>DATE(2012,11,1) + TIME(0,0,0)</f>
        <v>41214</v>
      </c>
      <c r="C1283">
        <v>80</v>
      </c>
      <c r="D1283">
        <v>79.948677063000005</v>
      </c>
      <c r="E1283">
        <v>50</v>
      </c>
      <c r="F1283">
        <v>37.693214417</v>
      </c>
      <c r="G1283">
        <v>1648.8530272999999</v>
      </c>
      <c r="H1283">
        <v>1522.2795410000001</v>
      </c>
      <c r="I1283">
        <v>1060.7734375</v>
      </c>
      <c r="J1283">
        <v>829.72729491999996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915.00000399999999</v>
      </c>
      <c r="B1284" s="1">
        <f>DATE(2012,11,1) + TIME(0,0,0)</f>
        <v>41214</v>
      </c>
      <c r="C1284">
        <v>80</v>
      </c>
      <c r="D1284">
        <v>79.948585510000001</v>
      </c>
      <c r="E1284">
        <v>50</v>
      </c>
      <c r="F1284">
        <v>37.693294524999999</v>
      </c>
      <c r="G1284">
        <v>1648.8229980000001</v>
      </c>
      <c r="H1284">
        <v>1522.2492675999999</v>
      </c>
      <c r="I1284">
        <v>1060.8026123</v>
      </c>
      <c r="J1284">
        <v>829.75579833999996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915.00001299999997</v>
      </c>
      <c r="B1285" s="1">
        <f>DATE(2012,11,1) + TIME(0,0,1)</f>
        <v>41214.000011574077</v>
      </c>
      <c r="C1285">
        <v>80</v>
      </c>
      <c r="D1285">
        <v>79.948310852000006</v>
      </c>
      <c r="E1285">
        <v>50</v>
      </c>
      <c r="F1285">
        <v>37.693538666000002</v>
      </c>
      <c r="G1285">
        <v>1648.7330322</v>
      </c>
      <c r="H1285">
        <v>1522.1588135</v>
      </c>
      <c r="I1285">
        <v>1060.8901367000001</v>
      </c>
      <c r="J1285">
        <v>829.84130859000004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915.00004000000001</v>
      </c>
      <c r="B1286" s="1">
        <f>DATE(2012,11,1) + TIME(0,0,3)</f>
        <v>41214.000034722223</v>
      </c>
      <c r="C1286">
        <v>80</v>
      </c>
      <c r="D1286">
        <v>79.947479247999993</v>
      </c>
      <c r="E1286">
        <v>50</v>
      </c>
      <c r="F1286">
        <v>37.694271088000001</v>
      </c>
      <c r="G1286">
        <v>1648.4633789</v>
      </c>
      <c r="H1286">
        <v>1521.8876952999999</v>
      </c>
      <c r="I1286">
        <v>1061.1522216999999</v>
      </c>
      <c r="J1286">
        <v>830.09771728999999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915.00012100000004</v>
      </c>
      <c r="B1287" s="1">
        <f>DATE(2012,11,1) + TIME(0,0,10)</f>
        <v>41214.000115740739</v>
      </c>
      <c r="C1287">
        <v>80</v>
      </c>
      <c r="D1287">
        <v>79.945014954000001</v>
      </c>
      <c r="E1287">
        <v>50</v>
      </c>
      <c r="F1287">
        <v>37.696464538999997</v>
      </c>
      <c r="G1287">
        <v>1647.6590576000001</v>
      </c>
      <c r="H1287">
        <v>1521.0793457</v>
      </c>
      <c r="I1287">
        <v>1061.9361572</v>
      </c>
      <c r="J1287">
        <v>830.86553954999999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915.00036399999999</v>
      </c>
      <c r="B1288" s="1">
        <f>DATE(2012,11,1) + TIME(0,0,31)</f>
        <v>41214.000358796293</v>
      </c>
      <c r="C1288">
        <v>80</v>
      </c>
      <c r="D1288">
        <v>79.937736510999997</v>
      </c>
      <c r="E1288">
        <v>50</v>
      </c>
      <c r="F1288">
        <v>37.703037262000002</v>
      </c>
      <c r="G1288">
        <v>1645.2880858999999</v>
      </c>
      <c r="H1288">
        <v>1518.6962891000001</v>
      </c>
      <c r="I1288">
        <v>1064.2658690999999</v>
      </c>
      <c r="J1288">
        <v>833.15667725000003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915.00109299999997</v>
      </c>
      <c r="B1289" s="1">
        <f>DATE(2012,11,1) + TIME(0,1,34)</f>
        <v>41214.001087962963</v>
      </c>
      <c r="C1289">
        <v>80</v>
      </c>
      <c r="D1289">
        <v>79.916984557999996</v>
      </c>
      <c r="E1289">
        <v>50</v>
      </c>
      <c r="F1289">
        <v>37.722663879000002</v>
      </c>
      <c r="G1289">
        <v>1638.5255127</v>
      </c>
      <c r="H1289">
        <v>1511.9002685999999</v>
      </c>
      <c r="I1289">
        <v>1071.0626221</v>
      </c>
      <c r="J1289">
        <v>839.90606689000003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915.00328000000002</v>
      </c>
      <c r="B1290" s="1">
        <f>DATE(2012,11,1) + TIME(0,4,43)</f>
        <v>41214.003275462965</v>
      </c>
      <c r="C1290">
        <v>80</v>
      </c>
      <c r="D1290">
        <v>79.862739563000005</v>
      </c>
      <c r="E1290">
        <v>50</v>
      </c>
      <c r="F1290">
        <v>37.780284881999997</v>
      </c>
      <c r="G1290">
        <v>1620.8581543</v>
      </c>
      <c r="H1290">
        <v>1494.1485596</v>
      </c>
      <c r="I1290">
        <v>1089.901001</v>
      </c>
      <c r="J1290">
        <v>858.92755126999998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915.00984100000005</v>
      </c>
      <c r="B1291" s="1">
        <f>DATE(2012,11,1) + TIME(0,14,10)</f>
        <v>41214.009837962964</v>
      </c>
      <c r="C1291">
        <v>80</v>
      </c>
      <c r="D1291">
        <v>79.745849609000004</v>
      </c>
      <c r="E1291">
        <v>50</v>
      </c>
      <c r="F1291">
        <v>37.941070557000003</v>
      </c>
      <c r="G1291">
        <v>1582.8258057</v>
      </c>
      <c r="H1291">
        <v>1455.9411620999999</v>
      </c>
      <c r="I1291">
        <v>1135.8762207</v>
      </c>
      <c r="J1291">
        <v>906.09326171999999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915.02952400000004</v>
      </c>
      <c r="B1292" s="1">
        <f>DATE(2012,11,1) + TIME(0,42,30)</f>
        <v>41214.029513888891</v>
      </c>
      <c r="C1292">
        <v>80</v>
      </c>
      <c r="D1292">
        <v>79.561782836999996</v>
      </c>
      <c r="E1292">
        <v>50</v>
      </c>
      <c r="F1292">
        <v>38.348472594999997</v>
      </c>
      <c r="G1292">
        <v>1522.6176757999999</v>
      </c>
      <c r="H1292">
        <v>1395.4714355000001</v>
      </c>
      <c r="I1292">
        <v>1223.0310059000001</v>
      </c>
      <c r="J1292">
        <v>995.85931396000001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915.07306600000004</v>
      </c>
      <c r="B1293" s="1">
        <f>DATE(2012,11,1) + TIME(1,45,12)</f>
        <v>41214.073055555556</v>
      </c>
      <c r="C1293">
        <v>80</v>
      </c>
      <c r="D1293">
        <v>79.386520386000001</v>
      </c>
      <c r="E1293">
        <v>50</v>
      </c>
      <c r="F1293">
        <v>39.081432343000003</v>
      </c>
      <c r="G1293">
        <v>1462.7966309000001</v>
      </c>
      <c r="H1293">
        <v>1335.4061279</v>
      </c>
      <c r="I1293">
        <v>1321.7459716999999</v>
      </c>
      <c r="J1293">
        <v>1097.5428466999999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915.12335199999995</v>
      </c>
      <c r="B1294" s="1">
        <f>DATE(2012,11,1) + TIME(2,57,37)</f>
        <v>41214.123344907406</v>
      </c>
      <c r="C1294">
        <v>80</v>
      </c>
      <c r="D1294">
        <v>79.281677246000001</v>
      </c>
      <c r="E1294">
        <v>50</v>
      </c>
      <c r="F1294">
        <v>39.807872772000003</v>
      </c>
      <c r="G1294">
        <v>1424.9868164</v>
      </c>
      <c r="H1294">
        <v>1297.4528809000001</v>
      </c>
      <c r="I1294">
        <v>1386.5144043</v>
      </c>
      <c r="J1294">
        <v>1164.6212158000001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915.17989899999998</v>
      </c>
      <c r="B1295" s="1">
        <f>DATE(2012,11,1) + TIME(4,19,3)</f>
        <v>41214.179895833331</v>
      </c>
      <c r="C1295">
        <v>80</v>
      </c>
      <c r="D1295">
        <v>79.210922241000006</v>
      </c>
      <c r="E1295">
        <v>50</v>
      </c>
      <c r="F1295">
        <v>40.533607482999997</v>
      </c>
      <c r="G1295">
        <v>1397.8513184000001</v>
      </c>
      <c r="H1295">
        <v>1270.2276611</v>
      </c>
      <c r="I1295">
        <v>1432.7001952999999</v>
      </c>
      <c r="J1295">
        <v>1212.9749756000001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915.24197400000003</v>
      </c>
      <c r="B1296" s="1">
        <f>DATE(2012,11,1) + TIME(5,48,26)</f>
        <v>41214.241967592592</v>
      </c>
      <c r="C1296">
        <v>80</v>
      </c>
      <c r="D1296">
        <v>79.159057617000002</v>
      </c>
      <c r="E1296">
        <v>50</v>
      </c>
      <c r="F1296">
        <v>41.251556395999998</v>
      </c>
      <c r="G1296">
        <v>1376.777832</v>
      </c>
      <c r="H1296">
        <v>1249.0936279</v>
      </c>
      <c r="I1296">
        <v>1467.9263916</v>
      </c>
      <c r="J1296">
        <v>1250.3195800999999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915.30938000000003</v>
      </c>
      <c r="B1297" s="1">
        <f>DATE(2012,11,1) + TIME(7,25,30)</f>
        <v>41214.309374999997</v>
      </c>
      <c r="C1297">
        <v>80</v>
      </c>
      <c r="D1297">
        <v>79.118515015</v>
      </c>
      <c r="E1297">
        <v>50</v>
      </c>
      <c r="F1297">
        <v>41.957298279</v>
      </c>
      <c r="G1297">
        <v>1359.4796143000001</v>
      </c>
      <c r="H1297">
        <v>1231.7526855000001</v>
      </c>
      <c r="I1297">
        <v>1496.3250731999999</v>
      </c>
      <c r="J1297">
        <v>1280.7921143000001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915.38231800000005</v>
      </c>
      <c r="B1298" s="1">
        <f>DATE(2012,11,1) + TIME(9,10,32)</f>
        <v>41214.382314814815</v>
      </c>
      <c r="C1298">
        <v>80</v>
      </c>
      <c r="D1298">
        <v>79.085128784000005</v>
      </c>
      <c r="E1298">
        <v>50</v>
      </c>
      <c r="F1298">
        <v>42.648319244</v>
      </c>
      <c r="G1298">
        <v>1344.6933594</v>
      </c>
      <c r="H1298">
        <v>1216.9350586</v>
      </c>
      <c r="I1298">
        <v>1520.2272949000001</v>
      </c>
      <c r="J1298">
        <v>1306.7158202999999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915.46128199999998</v>
      </c>
      <c r="B1299" s="1">
        <f>DATE(2012,11,1) + TIME(11,4,14)</f>
        <v>41214.461273148147</v>
      </c>
      <c r="C1299">
        <v>80</v>
      </c>
      <c r="D1299">
        <v>79.056343079000001</v>
      </c>
      <c r="E1299">
        <v>50</v>
      </c>
      <c r="F1299">
        <v>43.323028563999998</v>
      </c>
      <c r="G1299">
        <v>1331.6550293</v>
      </c>
      <c r="H1299">
        <v>1203.8731689000001</v>
      </c>
      <c r="I1299">
        <v>1541.0369873</v>
      </c>
      <c r="J1299">
        <v>1329.4876709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915.54702399999996</v>
      </c>
      <c r="B1300" s="1">
        <f>DATE(2012,11,1) + TIME(13,7,42)</f>
        <v>41214.547013888892</v>
      </c>
      <c r="C1300">
        <v>80</v>
      </c>
      <c r="D1300">
        <v>79.030456543</v>
      </c>
      <c r="E1300">
        <v>50</v>
      </c>
      <c r="F1300">
        <v>43.980205536</v>
      </c>
      <c r="G1300">
        <v>1319.8665771000001</v>
      </c>
      <c r="H1300">
        <v>1192.0665283000001</v>
      </c>
      <c r="I1300">
        <v>1559.6619873</v>
      </c>
      <c r="J1300">
        <v>1350.0109863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915.64057300000002</v>
      </c>
      <c r="B1301" s="1">
        <f>DATE(2012,11,1) + TIME(15,22,25)</f>
        <v>41214.640567129631</v>
      </c>
      <c r="C1301">
        <v>80</v>
      </c>
      <c r="D1301">
        <v>79.006256104000002</v>
      </c>
      <c r="E1301">
        <v>50</v>
      </c>
      <c r="F1301">
        <v>44.618747710999997</v>
      </c>
      <c r="G1301">
        <v>1308.9803466999999</v>
      </c>
      <c r="H1301">
        <v>1181.1657714999999</v>
      </c>
      <c r="I1301">
        <v>1576.7287598</v>
      </c>
      <c r="J1301">
        <v>1368.9086914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915.74324999999999</v>
      </c>
      <c r="B1302" s="1">
        <f>DATE(2012,11,1) + TIME(17,50,16)</f>
        <v>41214.74324074074</v>
      </c>
      <c r="C1302">
        <v>80</v>
      </c>
      <c r="D1302">
        <v>78.982780457000004</v>
      </c>
      <c r="E1302">
        <v>50</v>
      </c>
      <c r="F1302">
        <v>45.237247467000003</v>
      </c>
      <c r="G1302">
        <v>1298.7410889</v>
      </c>
      <c r="H1302">
        <v>1170.9145507999999</v>
      </c>
      <c r="I1302">
        <v>1592.6933594</v>
      </c>
      <c r="J1302">
        <v>1386.6339111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915.85689400000001</v>
      </c>
      <c r="B1303" s="1">
        <f>DATE(2012,11,1) + TIME(20,33,55)</f>
        <v>41214.856886574074</v>
      </c>
      <c r="C1303">
        <v>80</v>
      </c>
      <c r="D1303">
        <v>78.959190368999998</v>
      </c>
      <c r="E1303">
        <v>50</v>
      </c>
      <c r="F1303">
        <v>45.834590912000003</v>
      </c>
      <c r="G1303">
        <v>1288.9384766000001</v>
      </c>
      <c r="H1303">
        <v>1161.1014404</v>
      </c>
      <c r="I1303">
        <v>1607.9246826000001</v>
      </c>
      <c r="J1303">
        <v>1403.5546875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915.98397299999999</v>
      </c>
      <c r="B1304" s="1">
        <f>DATE(2012,11,1) + TIME(23,36,55)</f>
        <v>41214.983969907407</v>
      </c>
      <c r="C1304">
        <v>80</v>
      </c>
      <c r="D1304">
        <v>78.934700011999993</v>
      </c>
      <c r="E1304">
        <v>50</v>
      </c>
      <c r="F1304">
        <v>46.409336089999996</v>
      </c>
      <c r="G1304">
        <v>1279.3916016000001</v>
      </c>
      <c r="H1304">
        <v>1151.5449219</v>
      </c>
      <c r="I1304">
        <v>1622.7332764</v>
      </c>
      <c r="J1304">
        <v>1419.9799805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916.12789999999995</v>
      </c>
      <c r="B1305" s="1">
        <f>DATE(2012,11,2) + TIME(3,4,10)</f>
        <v>41215.127893518518</v>
      </c>
      <c r="C1305">
        <v>80</v>
      </c>
      <c r="D1305">
        <v>78.908477782999995</v>
      </c>
      <c r="E1305">
        <v>50</v>
      </c>
      <c r="F1305">
        <v>46.959678650000001</v>
      </c>
      <c r="G1305">
        <v>1269.9298096</v>
      </c>
      <c r="H1305">
        <v>1142.0733643000001</v>
      </c>
      <c r="I1305">
        <v>1637.4056396000001</v>
      </c>
      <c r="J1305">
        <v>1436.1943358999999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916.29354699999999</v>
      </c>
      <c r="B1306" s="1">
        <f>DATE(2012,11,2) + TIME(7,2,42)</f>
        <v>41215.293541666666</v>
      </c>
      <c r="C1306">
        <v>80</v>
      </c>
      <c r="D1306">
        <v>78.879570006999998</v>
      </c>
      <c r="E1306">
        <v>50</v>
      </c>
      <c r="F1306">
        <v>47.483314514</v>
      </c>
      <c r="G1306">
        <v>1260.3753661999999</v>
      </c>
      <c r="H1306">
        <v>1132.5085449000001</v>
      </c>
      <c r="I1306">
        <v>1652.2327881000001</v>
      </c>
      <c r="J1306">
        <v>1452.4864502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916.48814700000003</v>
      </c>
      <c r="B1307" s="1">
        <f>DATE(2012,11,2) + TIME(11,42,55)</f>
        <v>41215.488136574073</v>
      </c>
      <c r="C1307">
        <v>80</v>
      </c>
      <c r="D1307">
        <v>78.846801757999998</v>
      </c>
      <c r="E1307">
        <v>50</v>
      </c>
      <c r="F1307">
        <v>47.977203369000001</v>
      </c>
      <c r="G1307">
        <v>1250.5246582</v>
      </c>
      <c r="H1307">
        <v>1122.6457519999999</v>
      </c>
      <c r="I1307">
        <v>1667.5408935999999</v>
      </c>
      <c r="J1307">
        <v>1469.1778564000001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916.70802100000003</v>
      </c>
      <c r="B1308" s="1">
        <f>DATE(2012,11,2) + TIME(16,59,32)</f>
        <v>41215.708009259259</v>
      </c>
      <c r="C1308">
        <v>80</v>
      </c>
      <c r="D1308">
        <v>78.810272217000005</v>
      </c>
      <c r="E1308">
        <v>50</v>
      </c>
      <c r="F1308">
        <v>48.414176941000001</v>
      </c>
      <c r="G1308">
        <v>1240.7116699000001</v>
      </c>
      <c r="H1308">
        <v>1112.8189697</v>
      </c>
      <c r="I1308">
        <v>1682.7869873</v>
      </c>
      <c r="J1308">
        <v>1485.6533202999999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916.93686300000002</v>
      </c>
      <c r="B1309" s="1">
        <f>DATE(2012,11,2) + TIME(22,29,4)</f>
        <v>41215.936851851853</v>
      </c>
      <c r="C1309">
        <v>80</v>
      </c>
      <c r="D1309">
        <v>78.771713257000002</v>
      </c>
      <c r="E1309">
        <v>50</v>
      </c>
      <c r="F1309">
        <v>48.767234801999997</v>
      </c>
      <c r="G1309">
        <v>1231.5991211</v>
      </c>
      <c r="H1309">
        <v>1103.6912841999999</v>
      </c>
      <c r="I1309">
        <v>1696.9005127</v>
      </c>
      <c r="J1309">
        <v>1500.7695312000001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917.17168600000002</v>
      </c>
      <c r="B1310" s="1">
        <f>DATE(2012,11,3) + TIME(4,7,13)</f>
        <v>41216.171678240738</v>
      </c>
      <c r="C1310">
        <v>80</v>
      </c>
      <c r="D1310">
        <v>78.731643676999994</v>
      </c>
      <c r="E1310">
        <v>50</v>
      </c>
      <c r="F1310">
        <v>49.046939850000001</v>
      </c>
      <c r="G1310">
        <v>1223.1697998</v>
      </c>
      <c r="H1310">
        <v>1095.2453613</v>
      </c>
      <c r="I1310">
        <v>1709.9167480000001</v>
      </c>
      <c r="J1310">
        <v>1514.5914307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917.41566</v>
      </c>
      <c r="B1311" s="1">
        <f>DATE(2012,11,3) + TIME(9,58,33)</f>
        <v>41216.415659722225</v>
      </c>
      <c r="C1311">
        <v>80</v>
      </c>
      <c r="D1311">
        <v>78.689910889000004</v>
      </c>
      <c r="E1311">
        <v>50</v>
      </c>
      <c r="F1311">
        <v>49.269416808999999</v>
      </c>
      <c r="G1311">
        <v>1215.2182617000001</v>
      </c>
      <c r="H1311">
        <v>1087.276001</v>
      </c>
      <c r="I1311">
        <v>1722.1623535000001</v>
      </c>
      <c r="J1311">
        <v>1527.4895019999999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917.67103699999996</v>
      </c>
      <c r="B1312" s="1">
        <f>DATE(2012,11,3) + TIME(16,6,17)</f>
        <v>41216.671030092592</v>
      </c>
      <c r="C1312">
        <v>80</v>
      </c>
      <c r="D1312">
        <v>78.646392821999996</v>
      </c>
      <c r="E1312">
        <v>50</v>
      </c>
      <c r="F1312">
        <v>49.445785522000001</v>
      </c>
      <c r="G1312">
        <v>1207.6221923999999</v>
      </c>
      <c r="H1312">
        <v>1079.6606445</v>
      </c>
      <c r="I1312">
        <v>1733.8201904</v>
      </c>
      <c r="J1312">
        <v>1539.6763916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917.94083699999999</v>
      </c>
      <c r="B1313" s="1">
        <f>DATE(2012,11,3) + TIME(22,34,48)</f>
        <v>41216.940833333334</v>
      </c>
      <c r="C1313">
        <v>80</v>
      </c>
      <c r="D1313">
        <v>78.600845336999996</v>
      </c>
      <c r="E1313">
        <v>50</v>
      </c>
      <c r="F1313">
        <v>49.584987640000001</v>
      </c>
      <c r="G1313">
        <v>1200.2728271000001</v>
      </c>
      <c r="H1313">
        <v>1072.2908935999999</v>
      </c>
      <c r="I1313">
        <v>1745.0496826000001</v>
      </c>
      <c r="J1313">
        <v>1551.3352050999999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918.22851900000001</v>
      </c>
      <c r="B1314" s="1">
        <f>DATE(2012,11,4) + TIME(5,29,4)</f>
        <v>41217.228518518517</v>
      </c>
      <c r="C1314">
        <v>80</v>
      </c>
      <c r="D1314">
        <v>78.552978515999996</v>
      </c>
      <c r="E1314">
        <v>50</v>
      </c>
      <c r="F1314">
        <v>49.694011688000003</v>
      </c>
      <c r="G1314">
        <v>1193.0819091999999</v>
      </c>
      <c r="H1314">
        <v>1065.0784911999999</v>
      </c>
      <c r="I1314">
        <v>1755.9766846</v>
      </c>
      <c r="J1314">
        <v>1562.6103516000001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918.53819899999996</v>
      </c>
      <c r="B1315" s="1">
        <f>DATE(2012,11,4) + TIME(12,55,0)</f>
        <v>41217.538194444445</v>
      </c>
      <c r="C1315">
        <v>80</v>
      </c>
      <c r="D1315">
        <v>78.502372742000006</v>
      </c>
      <c r="E1315">
        <v>50</v>
      </c>
      <c r="F1315">
        <v>49.778430939000003</v>
      </c>
      <c r="G1315">
        <v>1185.9738769999999</v>
      </c>
      <c r="H1315">
        <v>1057.9477539</v>
      </c>
      <c r="I1315">
        <v>1766.7059326000001</v>
      </c>
      <c r="J1315">
        <v>1573.6212158000001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918.87517800000001</v>
      </c>
      <c r="B1316" s="1">
        <f>DATE(2012,11,4) + TIME(21,0,15)</f>
        <v>41217.875173611108</v>
      </c>
      <c r="C1316">
        <v>80</v>
      </c>
      <c r="D1316">
        <v>78.448509216000005</v>
      </c>
      <c r="E1316">
        <v>50</v>
      </c>
      <c r="F1316">
        <v>49.842823029000002</v>
      </c>
      <c r="G1316">
        <v>1178.8748779</v>
      </c>
      <c r="H1316">
        <v>1050.824707</v>
      </c>
      <c r="I1316">
        <v>1777.3369141000001</v>
      </c>
      <c r="J1316">
        <v>1584.4792480000001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919.24622799999997</v>
      </c>
      <c r="B1317" s="1">
        <f>DATE(2012,11,5) + TIME(5,54,34)</f>
        <v>41218.24622685185</v>
      </c>
      <c r="C1317">
        <v>80</v>
      </c>
      <c r="D1317">
        <v>78.390670775999993</v>
      </c>
      <c r="E1317">
        <v>50</v>
      </c>
      <c r="F1317">
        <v>49.89094162</v>
      </c>
      <c r="G1317">
        <v>1171.7120361</v>
      </c>
      <c r="H1317">
        <v>1043.6363524999999</v>
      </c>
      <c r="I1317">
        <v>1787.9638672000001</v>
      </c>
      <c r="J1317">
        <v>1595.2886963000001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919.66041099999995</v>
      </c>
      <c r="B1318" s="1">
        <f>DATE(2012,11,5) + TIME(15,50,59)</f>
        <v>41218.660405092596</v>
      </c>
      <c r="C1318">
        <v>80</v>
      </c>
      <c r="D1318">
        <v>78.327934264999996</v>
      </c>
      <c r="E1318">
        <v>50</v>
      </c>
      <c r="F1318">
        <v>49.925914763999998</v>
      </c>
      <c r="G1318">
        <v>1164.4063721</v>
      </c>
      <c r="H1318">
        <v>1036.3034668</v>
      </c>
      <c r="I1318">
        <v>1798.6849365</v>
      </c>
      <c r="J1318">
        <v>1606.15625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920.11658999999997</v>
      </c>
      <c r="B1319" s="1">
        <f>DATE(2012,11,6) + TIME(2,47,53)</f>
        <v>41219.116585648146</v>
      </c>
      <c r="C1319">
        <v>80</v>
      </c>
      <c r="D1319">
        <v>78.260261536000002</v>
      </c>
      <c r="E1319">
        <v>50</v>
      </c>
      <c r="F1319">
        <v>49.949932097999998</v>
      </c>
      <c r="G1319">
        <v>1157.0660399999999</v>
      </c>
      <c r="H1319">
        <v>1028.9343262</v>
      </c>
      <c r="I1319">
        <v>1809.3063964999999</v>
      </c>
      <c r="J1319">
        <v>1616.8937988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920.57646099999999</v>
      </c>
      <c r="B1320" s="1">
        <f>DATE(2012,11,6) + TIME(13,50,6)</f>
        <v>41219.576458333337</v>
      </c>
      <c r="C1320">
        <v>80</v>
      </c>
      <c r="D1320">
        <v>78.190948485999996</v>
      </c>
      <c r="E1320">
        <v>50</v>
      </c>
      <c r="F1320">
        <v>49.964736938000001</v>
      </c>
      <c r="G1320">
        <v>1150.2756348</v>
      </c>
      <c r="H1320">
        <v>1022.1152954</v>
      </c>
      <c r="I1320">
        <v>1818.9404297000001</v>
      </c>
      <c r="J1320">
        <v>1626.6171875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921.04645200000004</v>
      </c>
      <c r="B1321" s="1">
        <f>DATE(2012,11,7) + TIME(1,6,53)</f>
        <v>41220.046446759261</v>
      </c>
      <c r="C1321">
        <v>80</v>
      </c>
      <c r="D1321">
        <v>78.120193481000001</v>
      </c>
      <c r="E1321">
        <v>50</v>
      </c>
      <c r="F1321">
        <v>49.973743439000003</v>
      </c>
      <c r="G1321">
        <v>1143.8881836</v>
      </c>
      <c r="H1321">
        <v>1015.6987915</v>
      </c>
      <c r="I1321">
        <v>1827.8699951000001</v>
      </c>
      <c r="J1321">
        <v>1635.6153564000001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921.53306499999997</v>
      </c>
      <c r="B1322" s="1">
        <f>DATE(2012,11,7) + TIME(12,47,36)</f>
        <v>41220.533055555556</v>
      </c>
      <c r="C1322">
        <v>80</v>
      </c>
      <c r="D1322">
        <v>78.047767639</v>
      </c>
      <c r="E1322">
        <v>50</v>
      </c>
      <c r="F1322">
        <v>49.979022980000003</v>
      </c>
      <c r="G1322">
        <v>1137.7890625</v>
      </c>
      <c r="H1322">
        <v>1009.5701294</v>
      </c>
      <c r="I1322">
        <v>1836.2779541</v>
      </c>
      <c r="J1322">
        <v>1644.0780029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922.04271500000004</v>
      </c>
      <c r="B1323" s="1">
        <f>DATE(2012,11,8) + TIME(1,1,30)</f>
        <v>41221.042708333334</v>
      </c>
      <c r="C1323">
        <v>80</v>
      </c>
      <c r="D1323">
        <v>77.973197936999995</v>
      </c>
      <c r="E1323">
        <v>50</v>
      </c>
      <c r="F1323">
        <v>49.981876372999999</v>
      </c>
      <c r="G1323">
        <v>1131.8920897999999</v>
      </c>
      <c r="H1323">
        <v>1003.6430054</v>
      </c>
      <c r="I1323">
        <v>1844.2918701000001</v>
      </c>
      <c r="J1323">
        <v>1652.1369629000001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922.58236899999997</v>
      </c>
      <c r="B1324" s="1">
        <f>DATE(2012,11,8) + TIME(13,58,36)</f>
        <v>41221.582361111112</v>
      </c>
      <c r="C1324">
        <v>80</v>
      </c>
      <c r="D1324">
        <v>77.895835876000007</v>
      </c>
      <c r="E1324">
        <v>50</v>
      </c>
      <c r="F1324">
        <v>49.983146667</v>
      </c>
      <c r="G1324">
        <v>1126.1276855000001</v>
      </c>
      <c r="H1324">
        <v>997.84771728999999</v>
      </c>
      <c r="I1324">
        <v>1852.0098877</v>
      </c>
      <c r="J1324">
        <v>1659.8931885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923.16031099999998</v>
      </c>
      <c r="B1325" s="1">
        <f>DATE(2012,11,9) + TIME(3,50,50)</f>
        <v>41222.160300925927</v>
      </c>
      <c r="C1325">
        <v>80</v>
      </c>
      <c r="D1325">
        <v>77.814865112000007</v>
      </c>
      <c r="E1325">
        <v>50</v>
      </c>
      <c r="F1325">
        <v>49.983394623000002</v>
      </c>
      <c r="G1325">
        <v>1120.434082</v>
      </c>
      <c r="H1325">
        <v>992.12213135000002</v>
      </c>
      <c r="I1325">
        <v>1859.5151367000001</v>
      </c>
      <c r="J1325">
        <v>1667.4321289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923.78692100000001</v>
      </c>
      <c r="B1326" s="1">
        <f>DATE(2012,11,9) + TIME(18,53,9)</f>
        <v>41222.786909722221</v>
      </c>
      <c r="C1326">
        <v>80</v>
      </c>
      <c r="D1326">
        <v>77.729255675999994</v>
      </c>
      <c r="E1326">
        <v>50</v>
      </c>
      <c r="F1326">
        <v>49.982986449999999</v>
      </c>
      <c r="G1326">
        <v>1114.7518310999999</v>
      </c>
      <c r="H1326">
        <v>986.40625</v>
      </c>
      <c r="I1326">
        <v>1866.8833007999999</v>
      </c>
      <c r="J1326">
        <v>1674.8306885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924.47006899999997</v>
      </c>
      <c r="B1327" s="1">
        <f>DATE(2012,11,10) + TIME(11,16,53)</f>
        <v>41223.470057870371</v>
      </c>
      <c r="C1327">
        <v>80</v>
      </c>
      <c r="D1327">
        <v>77.638076781999999</v>
      </c>
      <c r="E1327">
        <v>50</v>
      </c>
      <c r="F1327">
        <v>49.982173920000001</v>
      </c>
      <c r="G1327">
        <v>1109.0623779</v>
      </c>
      <c r="H1327">
        <v>980.68164062000005</v>
      </c>
      <c r="I1327">
        <v>1874.1285399999999</v>
      </c>
      <c r="J1327">
        <v>1682.1042480000001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925.21479199999999</v>
      </c>
      <c r="B1328" s="1">
        <f>DATE(2012,11,11) + TIME(5,9,18)</f>
        <v>41224.214791666665</v>
      </c>
      <c r="C1328">
        <v>80</v>
      </c>
      <c r="D1328">
        <v>77.540603637999993</v>
      </c>
      <c r="E1328">
        <v>50</v>
      </c>
      <c r="F1328">
        <v>49.981132506999998</v>
      </c>
      <c r="G1328">
        <v>1103.3793945</v>
      </c>
      <c r="H1328">
        <v>974.96148682</v>
      </c>
      <c r="I1328">
        <v>1881.2233887</v>
      </c>
      <c r="J1328">
        <v>1689.2259521000001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925.97168799999997</v>
      </c>
      <c r="B1329" s="1">
        <f>DATE(2012,11,11) + TIME(23,19,13)</f>
        <v>41224.971678240741</v>
      </c>
      <c r="C1329">
        <v>80</v>
      </c>
      <c r="D1329">
        <v>77.439643860000004</v>
      </c>
      <c r="E1329">
        <v>50</v>
      </c>
      <c r="F1329">
        <v>49.980033874999997</v>
      </c>
      <c r="G1329">
        <v>1098.0644531</v>
      </c>
      <c r="H1329">
        <v>969.60870361000002</v>
      </c>
      <c r="I1329">
        <v>1887.6875</v>
      </c>
      <c r="J1329">
        <v>1695.7156981999999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926.741806</v>
      </c>
      <c r="B1330" s="1">
        <f>DATE(2012,11,12) + TIME(17,48,12)</f>
        <v>41225.741805555554</v>
      </c>
      <c r="C1330">
        <v>80</v>
      </c>
      <c r="D1330">
        <v>77.336692810000002</v>
      </c>
      <c r="E1330">
        <v>50</v>
      </c>
      <c r="F1330">
        <v>49.978981017999999</v>
      </c>
      <c r="G1330">
        <v>1093.0775146000001</v>
      </c>
      <c r="H1330">
        <v>964.58306885000002</v>
      </c>
      <c r="I1330">
        <v>1893.6232910000001</v>
      </c>
      <c r="J1330">
        <v>1701.6744385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927.53526099999999</v>
      </c>
      <c r="B1331" s="1">
        <f>DATE(2012,11,13) + TIME(12,50,46)</f>
        <v>41226.535254629627</v>
      </c>
      <c r="C1331">
        <v>80</v>
      </c>
      <c r="D1331">
        <v>77.231857300000001</v>
      </c>
      <c r="E1331">
        <v>50</v>
      </c>
      <c r="F1331">
        <v>49.978000641000001</v>
      </c>
      <c r="G1331">
        <v>1088.3331298999999</v>
      </c>
      <c r="H1331">
        <v>959.79925536999997</v>
      </c>
      <c r="I1331">
        <v>1899.1600341999999</v>
      </c>
      <c r="J1331">
        <v>1707.2316894999999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928.36218899999994</v>
      </c>
      <c r="B1332" s="1">
        <f>DATE(2012,11,14) + TIME(8,41,33)</f>
        <v>41227.362187500003</v>
      </c>
      <c r="C1332">
        <v>80</v>
      </c>
      <c r="D1332">
        <v>77.124557495000005</v>
      </c>
      <c r="E1332">
        <v>50</v>
      </c>
      <c r="F1332">
        <v>49.977088928000001</v>
      </c>
      <c r="G1332">
        <v>1083.7651367000001</v>
      </c>
      <c r="H1332">
        <v>955.19091796999999</v>
      </c>
      <c r="I1332">
        <v>1904.3859863</v>
      </c>
      <c r="J1332">
        <v>1712.4763184000001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929.23360200000002</v>
      </c>
      <c r="B1333" s="1">
        <f>DATE(2012,11,15) + TIME(5,36,23)</f>
        <v>41228.233599537038</v>
      </c>
      <c r="C1333">
        <v>80</v>
      </c>
      <c r="D1333">
        <v>77.013870238999999</v>
      </c>
      <c r="E1333">
        <v>50</v>
      </c>
      <c r="F1333">
        <v>49.976242065000001</v>
      </c>
      <c r="G1333">
        <v>1079.3195800999999</v>
      </c>
      <c r="H1333">
        <v>950.70391845999995</v>
      </c>
      <c r="I1333">
        <v>1909.3675536999999</v>
      </c>
      <c r="J1333">
        <v>1717.4752197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930.16231500000004</v>
      </c>
      <c r="B1334" s="1">
        <f>DATE(2012,11,16) + TIME(3,53,44)</f>
        <v>41229.162314814814</v>
      </c>
      <c r="C1334">
        <v>80</v>
      </c>
      <c r="D1334">
        <v>76.898605347</v>
      </c>
      <c r="E1334">
        <v>50</v>
      </c>
      <c r="F1334">
        <v>49.975456238</v>
      </c>
      <c r="G1334">
        <v>1074.9499512</v>
      </c>
      <c r="H1334">
        <v>946.29089354999996</v>
      </c>
      <c r="I1334">
        <v>1914.1578368999999</v>
      </c>
      <c r="J1334">
        <v>1722.2817382999999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931.16449599999999</v>
      </c>
      <c r="B1335" s="1">
        <f>DATE(2012,11,17) + TIME(3,56,52)</f>
        <v>41230.164490740739</v>
      </c>
      <c r="C1335">
        <v>80</v>
      </c>
      <c r="D1335">
        <v>76.777282714999998</v>
      </c>
      <c r="E1335">
        <v>50</v>
      </c>
      <c r="F1335">
        <v>49.974716186999999</v>
      </c>
      <c r="G1335">
        <v>1070.6109618999999</v>
      </c>
      <c r="H1335">
        <v>941.90637206999997</v>
      </c>
      <c r="I1335">
        <v>1918.8038329999999</v>
      </c>
      <c r="J1335">
        <v>1726.9429932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932.26092100000005</v>
      </c>
      <c r="B1336" s="1">
        <f>DATE(2012,11,18) + TIME(6,15,43)</f>
        <v>41231.260914351849</v>
      </c>
      <c r="C1336">
        <v>80</v>
      </c>
      <c r="D1336">
        <v>76.648048400999997</v>
      </c>
      <c r="E1336">
        <v>50</v>
      </c>
      <c r="F1336">
        <v>49.974021911999998</v>
      </c>
      <c r="G1336">
        <v>1066.2584228999999</v>
      </c>
      <c r="H1336">
        <v>937.50512694999998</v>
      </c>
      <c r="I1336">
        <v>1923.3459473</v>
      </c>
      <c r="J1336">
        <v>1731.4998779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933.37712799999997</v>
      </c>
      <c r="B1337" s="1">
        <f>DATE(2012,11,19) + TIME(9,3,3)</f>
        <v>41232.377118055556</v>
      </c>
      <c r="C1337">
        <v>80</v>
      </c>
      <c r="D1337">
        <v>76.513259887999993</v>
      </c>
      <c r="E1337">
        <v>50</v>
      </c>
      <c r="F1337">
        <v>49.973392486999998</v>
      </c>
      <c r="G1337">
        <v>1062.175293</v>
      </c>
      <c r="H1337">
        <v>933.37152100000003</v>
      </c>
      <c r="I1337">
        <v>1927.4493408000001</v>
      </c>
      <c r="J1337">
        <v>1735.6174315999999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934.51179300000001</v>
      </c>
      <c r="B1338" s="1">
        <f>DATE(2012,11,20) + TIME(12,16,58)</f>
        <v>41233.511782407404</v>
      </c>
      <c r="C1338">
        <v>80</v>
      </c>
      <c r="D1338">
        <v>76.375808715999995</v>
      </c>
      <c r="E1338">
        <v>50</v>
      </c>
      <c r="F1338">
        <v>49.972839354999998</v>
      </c>
      <c r="G1338">
        <v>1058.3466797000001</v>
      </c>
      <c r="H1338">
        <v>929.49060058999999</v>
      </c>
      <c r="I1338">
        <v>1931.1722411999999</v>
      </c>
      <c r="J1338">
        <v>1739.3529053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935.67973900000004</v>
      </c>
      <c r="B1339" s="1">
        <f>DATE(2012,11,21) + TIME(16,18,49)</f>
        <v>41234.6797337963</v>
      </c>
      <c r="C1339">
        <v>80</v>
      </c>
      <c r="D1339">
        <v>76.236244201999995</v>
      </c>
      <c r="E1339">
        <v>50</v>
      </c>
      <c r="F1339">
        <v>49.972358704000001</v>
      </c>
      <c r="G1339">
        <v>1054.7103271000001</v>
      </c>
      <c r="H1339">
        <v>925.80017090000001</v>
      </c>
      <c r="I1339">
        <v>1934.5998535000001</v>
      </c>
      <c r="J1339">
        <v>1742.7918701000001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936.89614900000004</v>
      </c>
      <c r="B1340" s="1">
        <f>DATE(2012,11,22) + TIME(21,30,27)</f>
        <v>41235.896145833336</v>
      </c>
      <c r="C1340">
        <v>80</v>
      </c>
      <c r="D1340">
        <v>76.09375</v>
      </c>
      <c r="E1340">
        <v>50</v>
      </c>
      <c r="F1340">
        <v>49.971931458</v>
      </c>
      <c r="G1340">
        <v>1051.2166748</v>
      </c>
      <c r="H1340">
        <v>922.25054932</v>
      </c>
      <c r="I1340">
        <v>1937.7882079999999</v>
      </c>
      <c r="J1340">
        <v>1745.9904785000001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938.17770800000005</v>
      </c>
      <c r="B1341" s="1">
        <f>DATE(2012,11,24) + TIME(4,15,53)</f>
        <v>41237.17769675926</v>
      </c>
      <c r="C1341">
        <v>80</v>
      </c>
      <c r="D1341">
        <v>75.946960449000002</v>
      </c>
      <c r="E1341">
        <v>50</v>
      </c>
      <c r="F1341">
        <v>49.971546173</v>
      </c>
      <c r="G1341">
        <v>1047.8253173999999</v>
      </c>
      <c r="H1341">
        <v>918.80047606999995</v>
      </c>
      <c r="I1341">
        <v>1940.7769774999999</v>
      </c>
      <c r="J1341">
        <v>1748.9887695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939.54431499999998</v>
      </c>
      <c r="B1342" s="1">
        <f>DATE(2012,11,25) + TIME(13,3,48)</f>
        <v>41238.544305555559</v>
      </c>
      <c r="C1342">
        <v>80</v>
      </c>
      <c r="D1342">
        <v>75.794136046999995</v>
      </c>
      <c r="E1342">
        <v>50</v>
      </c>
      <c r="F1342">
        <v>49.971199036000002</v>
      </c>
      <c r="G1342">
        <v>1044.5002440999999</v>
      </c>
      <c r="H1342">
        <v>915.41302489999998</v>
      </c>
      <c r="I1342">
        <v>1943.5965576000001</v>
      </c>
      <c r="J1342">
        <v>1751.8170166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940.99046599999997</v>
      </c>
      <c r="B1343" s="1">
        <f>DATE(2012,11,26) + TIME(23,46,16)</f>
        <v>41239.99046296296</v>
      </c>
      <c r="C1343">
        <v>80</v>
      </c>
      <c r="D1343">
        <v>75.634292603000006</v>
      </c>
      <c r="E1343">
        <v>50</v>
      </c>
      <c r="F1343">
        <v>49.970878601000003</v>
      </c>
      <c r="G1343">
        <v>1041.2662353999999</v>
      </c>
      <c r="H1343">
        <v>912.11236571999996</v>
      </c>
      <c r="I1343">
        <v>1946.2138672000001</v>
      </c>
      <c r="J1343">
        <v>1754.4425048999999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942.44323599999996</v>
      </c>
      <c r="B1344" s="1">
        <f>DATE(2012,11,28) + TIME(10,38,15)</f>
        <v>41241.443229166667</v>
      </c>
      <c r="C1344">
        <v>80</v>
      </c>
      <c r="D1344">
        <v>75.470092773000005</v>
      </c>
      <c r="E1344">
        <v>50</v>
      </c>
      <c r="F1344">
        <v>49.970592498999999</v>
      </c>
      <c r="G1344">
        <v>1038.2609863</v>
      </c>
      <c r="H1344">
        <v>909.03686522999999</v>
      </c>
      <c r="I1344">
        <v>1948.5024414</v>
      </c>
      <c r="J1344">
        <v>1756.7386475000001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943.92704500000002</v>
      </c>
      <c r="B1345" s="1">
        <f>DATE(2012,11,29) + TIME(22,14,56)</f>
        <v>41242.927037037036</v>
      </c>
      <c r="C1345">
        <v>80</v>
      </c>
      <c r="D1345">
        <v>75.304214478000006</v>
      </c>
      <c r="E1345">
        <v>50</v>
      </c>
      <c r="F1345">
        <v>49.970352173000002</v>
      </c>
      <c r="G1345">
        <v>1035.4257812000001</v>
      </c>
      <c r="H1345">
        <v>906.12799071999996</v>
      </c>
      <c r="I1345">
        <v>1950.5476074000001</v>
      </c>
      <c r="J1345">
        <v>1758.7904053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945</v>
      </c>
      <c r="B1346" s="1">
        <f>DATE(2012,12,1) + TIME(0,0,0)</f>
        <v>41244</v>
      </c>
      <c r="C1346">
        <v>80</v>
      </c>
      <c r="D1346">
        <v>75.157035828000005</v>
      </c>
      <c r="E1346">
        <v>50</v>
      </c>
      <c r="F1346">
        <v>49.970142365000001</v>
      </c>
      <c r="G1346">
        <v>1033.4263916</v>
      </c>
      <c r="H1346">
        <v>904.06280518000005</v>
      </c>
      <c r="I1346">
        <v>1951.8028564000001</v>
      </c>
      <c r="J1346">
        <v>1760.0513916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946.53972599999997</v>
      </c>
      <c r="B1347" s="1">
        <f>DATE(2012,12,2) + TIME(12,57,12)</f>
        <v>41245.539722222224</v>
      </c>
      <c r="C1347">
        <v>80</v>
      </c>
      <c r="D1347">
        <v>75.006782532000003</v>
      </c>
      <c r="E1347">
        <v>50</v>
      </c>
      <c r="F1347">
        <v>49.970024109000001</v>
      </c>
      <c r="G1347">
        <v>1030.8900146000001</v>
      </c>
      <c r="H1347">
        <v>901.45117187999995</v>
      </c>
      <c r="I1347">
        <v>1953.5334473</v>
      </c>
      <c r="J1347">
        <v>1761.7860106999999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948.21651999999995</v>
      </c>
      <c r="B1348" s="1">
        <f>DATE(2012,12,4) + TIME(5,11,47)</f>
        <v>41247.216516203705</v>
      </c>
      <c r="C1348">
        <v>80</v>
      </c>
      <c r="D1348">
        <v>74.838691710999996</v>
      </c>
      <c r="E1348">
        <v>50</v>
      </c>
      <c r="F1348">
        <v>49.969867706000002</v>
      </c>
      <c r="G1348">
        <v>1028.3227539</v>
      </c>
      <c r="H1348">
        <v>898.80139159999999</v>
      </c>
      <c r="I1348">
        <v>1955.1334228999999</v>
      </c>
      <c r="J1348">
        <v>1763.3908690999999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949.97152600000004</v>
      </c>
      <c r="B1349" s="1">
        <f>DATE(2012,12,5) + TIME(23,18,59)</f>
        <v>41248.971516203703</v>
      </c>
      <c r="C1349">
        <v>80</v>
      </c>
      <c r="D1349">
        <v>74.657569885000001</v>
      </c>
      <c r="E1349">
        <v>50</v>
      </c>
      <c r="F1349">
        <v>49.969715118000003</v>
      </c>
      <c r="G1349">
        <v>1025.8309326000001</v>
      </c>
      <c r="H1349">
        <v>896.21655272999999</v>
      </c>
      <c r="I1349">
        <v>1956.5363769999999</v>
      </c>
      <c r="J1349">
        <v>1764.7984618999999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951.741671</v>
      </c>
      <c r="B1350" s="1">
        <f>DATE(2012,12,7) + TIME(17,48,0)</f>
        <v>41250.741666666669</v>
      </c>
      <c r="C1350">
        <v>80</v>
      </c>
      <c r="D1350">
        <v>74.469741821</v>
      </c>
      <c r="E1350">
        <v>50</v>
      </c>
      <c r="F1350">
        <v>49.969581603999998</v>
      </c>
      <c r="G1350">
        <v>1023.4868164</v>
      </c>
      <c r="H1350">
        <v>893.77093506000006</v>
      </c>
      <c r="I1350">
        <v>1957.7133789</v>
      </c>
      <c r="J1350">
        <v>1765.9797363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953.55887700000005</v>
      </c>
      <c r="B1351" s="1">
        <f>DATE(2012,12,9) + TIME(13,24,46)</f>
        <v>41252.558865740742</v>
      </c>
      <c r="C1351">
        <v>80</v>
      </c>
      <c r="D1351">
        <v>74.278839110999996</v>
      </c>
      <c r="E1351">
        <v>50</v>
      </c>
      <c r="F1351">
        <v>49.969478606999999</v>
      </c>
      <c r="G1351">
        <v>1021.2498779</v>
      </c>
      <c r="H1351">
        <v>891.42474364999998</v>
      </c>
      <c r="I1351">
        <v>1958.7214355000001</v>
      </c>
      <c r="J1351">
        <v>1766.9915771000001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955.44159300000001</v>
      </c>
      <c r="B1352" s="1">
        <f>DATE(2012,12,11) + TIME(10,35,53)</f>
        <v>41254.44158564815</v>
      </c>
      <c r="C1352">
        <v>80</v>
      </c>
      <c r="D1352">
        <v>74.084037781000006</v>
      </c>
      <c r="E1352">
        <v>50</v>
      </c>
      <c r="F1352">
        <v>49.969398499</v>
      </c>
      <c r="G1352">
        <v>1019.0926514</v>
      </c>
      <c r="H1352">
        <v>889.14971923999997</v>
      </c>
      <c r="I1352">
        <v>1959.5825195</v>
      </c>
      <c r="J1352">
        <v>1767.855957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957.38820399999997</v>
      </c>
      <c r="B1353" s="1">
        <f>DATE(2012,12,13) + TIME(9,19,0)</f>
        <v>41256.388194444444</v>
      </c>
      <c r="C1353">
        <v>80</v>
      </c>
      <c r="D1353">
        <v>73.884330750000004</v>
      </c>
      <c r="E1353">
        <v>50</v>
      </c>
      <c r="F1353">
        <v>49.969333648999999</v>
      </c>
      <c r="G1353">
        <v>1017.0084229</v>
      </c>
      <c r="H1353">
        <v>886.93774413999995</v>
      </c>
      <c r="I1353">
        <v>1960.3010254000001</v>
      </c>
      <c r="J1353">
        <v>1768.5775146000001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959.43030199999998</v>
      </c>
      <c r="B1354" s="1">
        <f>DATE(2012,12,15) + TIME(10,19,38)</f>
        <v>41258.430300925924</v>
      </c>
      <c r="C1354">
        <v>80</v>
      </c>
      <c r="D1354">
        <v>73.678520203000005</v>
      </c>
      <c r="E1354">
        <v>50</v>
      </c>
      <c r="F1354">
        <v>49.969287872000002</v>
      </c>
      <c r="G1354">
        <v>1014.9669189</v>
      </c>
      <c r="H1354">
        <v>884.75646973000005</v>
      </c>
      <c r="I1354">
        <v>1960.8968506000001</v>
      </c>
      <c r="J1354">
        <v>1769.1761475000001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961.52325800000006</v>
      </c>
      <c r="B1355" s="1">
        <f>DATE(2012,12,17) + TIME(12,33,29)</f>
        <v>41260.523252314815</v>
      </c>
      <c r="C1355">
        <v>80</v>
      </c>
      <c r="D1355">
        <v>73.466018676999994</v>
      </c>
      <c r="E1355">
        <v>50</v>
      </c>
      <c r="F1355">
        <v>49.969249724999997</v>
      </c>
      <c r="G1355">
        <v>1012.991394</v>
      </c>
      <c r="H1355">
        <v>882.62762451000003</v>
      </c>
      <c r="I1355">
        <v>1961.3563231999999</v>
      </c>
      <c r="J1355">
        <v>1769.6381836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963.634051</v>
      </c>
      <c r="B1356" s="1">
        <f>DATE(2012,12,19) + TIME(15,13,1)</f>
        <v>41262.634039351855</v>
      </c>
      <c r="C1356">
        <v>80</v>
      </c>
      <c r="D1356">
        <v>73.249549865999995</v>
      </c>
      <c r="E1356">
        <v>50</v>
      </c>
      <c r="F1356">
        <v>49.969226837000001</v>
      </c>
      <c r="G1356">
        <v>1011.0970459</v>
      </c>
      <c r="H1356">
        <v>880.56683350000003</v>
      </c>
      <c r="I1356">
        <v>1961.6876221</v>
      </c>
      <c r="J1356">
        <v>1769.9716797000001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965.79627300000004</v>
      </c>
      <c r="B1357" s="1">
        <f>DATE(2012,12,21) + TIME(19,6,37)</f>
        <v>41264.796261574076</v>
      </c>
      <c r="C1357">
        <v>80</v>
      </c>
      <c r="D1357">
        <v>73.030364989999995</v>
      </c>
      <c r="E1357">
        <v>50</v>
      </c>
      <c r="F1357">
        <v>49.969223022000001</v>
      </c>
      <c r="G1357">
        <v>1009.2565918</v>
      </c>
      <c r="H1357">
        <v>878.54663086000005</v>
      </c>
      <c r="I1357">
        <v>1961.9180908000001</v>
      </c>
      <c r="J1357">
        <v>1770.2042236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968.04495899999995</v>
      </c>
      <c r="B1358" s="1">
        <f>DATE(2012,12,24) + TIME(1,4,44)</f>
        <v>41267.044953703706</v>
      </c>
      <c r="C1358">
        <v>80</v>
      </c>
      <c r="D1358">
        <v>72.806190490999995</v>
      </c>
      <c r="E1358">
        <v>50</v>
      </c>
      <c r="F1358">
        <v>49.969230652</v>
      </c>
      <c r="G1358">
        <v>1007.4383544999999</v>
      </c>
      <c r="H1358">
        <v>876.53271484000004</v>
      </c>
      <c r="I1358">
        <v>1962.0614014</v>
      </c>
      <c r="J1358">
        <v>1770.3492432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970.41887199999996</v>
      </c>
      <c r="B1359" s="1">
        <f>DATE(2012,12,26) + TIME(10,3,10)</f>
        <v>41269.418865740743</v>
      </c>
      <c r="C1359">
        <v>80</v>
      </c>
      <c r="D1359">
        <v>72.573631286999998</v>
      </c>
      <c r="E1359">
        <v>50</v>
      </c>
      <c r="F1359">
        <v>49.969249724999997</v>
      </c>
      <c r="G1359">
        <v>1005.6114502</v>
      </c>
      <c r="H1359">
        <v>874.48962401999995</v>
      </c>
      <c r="I1359">
        <v>1962.1236572</v>
      </c>
      <c r="J1359">
        <v>1770.4132079999999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972.81859899999995</v>
      </c>
      <c r="B1360" s="1">
        <f>DATE(2012,12,28) + TIME(19,38,46)</f>
        <v>41271.81858796296</v>
      </c>
      <c r="C1360">
        <v>80</v>
      </c>
      <c r="D1360">
        <v>72.332107543999996</v>
      </c>
      <c r="E1360">
        <v>50</v>
      </c>
      <c r="F1360">
        <v>49.969272613999998</v>
      </c>
      <c r="G1360">
        <v>1003.8087769</v>
      </c>
      <c r="H1360">
        <v>872.44750977000001</v>
      </c>
      <c r="I1360">
        <v>1962.0958252</v>
      </c>
      <c r="J1360">
        <v>1770.3869629000001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975.25160300000005</v>
      </c>
      <c r="B1361" s="1">
        <f>DATE(2012,12,31) + TIME(6,2,18)</f>
        <v>41274.251597222225</v>
      </c>
      <c r="C1361">
        <v>80</v>
      </c>
      <c r="D1361">
        <v>72.086318969999994</v>
      </c>
      <c r="E1361">
        <v>50</v>
      </c>
      <c r="F1361">
        <v>49.969303130999997</v>
      </c>
      <c r="G1361">
        <v>1002.0314941</v>
      </c>
      <c r="H1361">
        <v>870.41003418000003</v>
      </c>
      <c r="I1361">
        <v>1961.9979248</v>
      </c>
      <c r="J1361">
        <v>1770.2902832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976</v>
      </c>
      <c r="B1362" s="1">
        <f>DATE(2013,1,1) + TIME(0,0,0)</f>
        <v>41275</v>
      </c>
      <c r="C1362">
        <v>80</v>
      </c>
      <c r="D1362">
        <v>71.925956725999995</v>
      </c>
      <c r="E1362">
        <v>50</v>
      </c>
      <c r="F1362">
        <v>49.969234467</v>
      </c>
      <c r="G1362">
        <v>1001.1319580000001</v>
      </c>
      <c r="H1362">
        <v>869.32336425999995</v>
      </c>
      <c r="I1362">
        <v>1961.8612060999999</v>
      </c>
      <c r="J1362">
        <v>1770.1544189000001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978.50677800000005</v>
      </c>
      <c r="B1363" s="1">
        <f>DATE(2013,1,3) + TIME(12,9,45)</f>
        <v>41277.50677083333</v>
      </c>
      <c r="C1363">
        <v>80</v>
      </c>
      <c r="D1363">
        <v>71.738021850999999</v>
      </c>
      <c r="E1363">
        <v>50</v>
      </c>
      <c r="F1363">
        <v>49.969364165999998</v>
      </c>
      <c r="G1363">
        <v>999.64965819999998</v>
      </c>
      <c r="H1363">
        <v>867.62683104999996</v>
      </c>
      <c r="I1363">
        <v>1961.7530518000001</v>
      </c>
      <c r="J1363">
        <v>1770.0469971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981.11267599999996</v>
      </c>
      <c r="B1364" s="1">
        <f>DATE(2013,1,6) + TIME(2,42,15)</f>
        <v>41280.112673611111</v>
      </c>
      <c r="C1364">
        <v>80</v>
      </c>
      <c r="D1364">
        <v>71.495025635000005</v>
      </c>
      <c r="E1364">
        <v>50</v>
      </c>
      <c r="F1364">
        <v>49.969425201</v>
      </c>
      <c r="G1364">
        <v>997.89819336000005</v>
      </c>
      <c r="H1364">
        <v>865.57916260000002</v>
      </c>
      <c r="I1364">
        <v>1961.5574951000001</v>
      </c>
      <c r="J1364">
        <v>1769.8525391000001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983.80265799999995</v>
      </c>
      <c r="B1365" s="1">
        <f>DATE(2013,1,8) + TIME(19,15,49)</f>
        <v>41282.80265046296</v>
      </c>
      <c r="C1365">
        <v>80</v>
      </c>
      <c r="D1365">
        <v>71.230232239000003</v>
      </c>
      <c r="E1365">
        <v>50</v>
      </c>
      <c r="F1365">
        <v>49.969478606999999</v>
      </c>
      <c r="G1365">
        <v>996.08355713000003</v>
      </c>
      <c r="H1365">
        <v>863.42022704999999</v>
      </c>
      <c r="I1365">
        <v>1961.2950439000001</v>
      </c>
      <c r="J1365">
        <v>1769.5909423999999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986.51571000000001</v>
      </c>
      <c r="B1366" s="1">
        <f>DATE(2013,1,11) + TIME(12,22,37)</f>
        <v>41285.515706018516</v>
      </c>
      <c r="C1366">
        <v>80</v>
      </c>
      <c r="D1366">
        <v>70.953903198000006</v>
      </c>
      <c r="E1366">
        <v>50</v>
      </c>
      <c r="F1366">
        <v>49.969532012999998</v>
      </c>
      <c r="G1366">
        <v>994.24011229999996</v>
      </c>
      <c r="H1366">
        <v>861.19506836000005</v>
      </c>
      <c r="I1366">
        <v>1960.9869385</v>
      </c>
      <c r="J1366">
        <v>1769.2836914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989.27540999999997</v>
      </c>
      <c r="B1367" s="1">
        <f>DATE(2013,1,14) + TIME(6,36,35)</f>
        <v>41288.275405092594</v>
      </c>
      <c r="C1367">
        <v>80</v>
      </c>
      <c r="D1367">
        <v>70.671035767000006</v>
      </c>
      <c r="E1367">
        <v>50</v>
      </c>
      <c r="F1367">
        <v>49.969600677000003</v>
      </c>
      <c r="G1367">
        <v>992.37158203000001</v>
      </c>
      <c r="H1367">
        <v>858.91241454999999</v>
      </c>
      <c r="I1367">
        <v>1960.6477050999999</v>
      </c>
      <c r="J1367">
        <v>1768.9453125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992.10621600000002</v>
      </c>
      <c r="B1368" s="1">
        <f>DATE(2013,1,17) + TIME(2,32,57)</f>
        <v>41291.106215277781</v>
      </c>
      <c r="C1368">
        <v>80</v>
      </c>
      <c r="D1368">
        <v>70.380332946999999</v>
      </c>
      <c r="E1368">
        <v>50</v>
      </c>
      <c r="F1368">
        <v>49.969673157000003</v>
      </c>
      <c r="G1368">
        <v>990.46124268000005</v>
      </c>
      <c r="H1368">
        <v>856.55230713000003</v>
      </c>
      <c r="I1368">
        <v>1960.2825928</v>
      </c>
      <c r="J1368">
        <v>1768.5809326000001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994.992751</v>
      </c>
      <c r="B1369" s="1">
        <f>DATE(2013,1,19) + TIME(23,49,33)</f>
        <v>41293.992743055554</v>
      </c>
      <c r="C1369">
        <v>80</v>
      </c>
      <c r="D1369">
        <v>70.079940796000002</v>
      </c>
      <c r="E1369">
        <v>50</v>
      </c>
      <c r="F1369">
        <v>49.969745635999999</v>
      </c>
      <c r="G1369">
        <v>988.5</v>
      </c>
      <c r="H1369">
        <v>854.10107421999999</v>
      </c>
      <c r="I1369">
        <v>1959.8952637</v>
      </c>
      <c r="J1369">
        <v>1768.1943358999999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997.91385600000001</v>
      </c>
      <c r="B1370" s="1">
        <f>DATE(2013,1,22) + TIME(21,55,57)</f>
        <v>41296.913854166669</v>
      </c>
      <c r="C1370">
        <v>80</v>
      </c>
      <c r="D1370">
        <v>69.770195006999998</v>
      </c>
      <c r="E1370">
        <v>50</v>
      </c>
      <c r="F1370">
        <v>49.969825745000001</v>
      </c>
      <c r="G1370">
        <v>986.48992920000001</v>
      </c>
      <c r="H1370">
        <v>851.55926513999998</v>
      </c>
      <c r="I1370">
        <v>1959.4916992000001</v>
      </c>
      <c r="J1370">
        <v>1767.7912598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1000.893781</v>
      </c>
      <c r="B1371" s="1">
        <f>DATE(2013,1,25) + TIME(21,27,2)</f>
        <v>41299.893773148149</v>
      </c>
      <c r="C1371">
        <v>80</v>
      </c>
      <c r="D1371">
        <v>69.451293945000003</v>
      </c>
      <c r="E1371">
        <v>50</v>
      </c>
      <c r="F1371">
        <v>49.969905853</v>
      </c>
      <c r="G1371">
        <v>984.42510986000002</v>
      </c>
      <c r="H1371">
        <v>848.92028808999999</v>
      </c>
      <c r="I1371">
        <v>1959.0754394999999</v>
      </c>
      <c r="J1371">
        <v>1767.3756103999999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1003.951999</v>
      </c>
      <c r="B1372" s="1">
        <f>DATE(2013,1,28) + TIME(22,50,52)</f>
        <v>41302.951990740738</v>
      </c>
      <c r="C1372">
        <v>80</v>
      </c>
      <c r="D1372">
        <v>69.121170043999996</v>
      </c>
      <c r="E1372">
        <v>50</v>
      </c>
      <c r="F1372">
        <v>49.969989777000002</v>
      </c>
      <c r="G1372">
        <v>982.28759765999996</v>
      </c>
      <c r="H1372">
        <v>846.16021728999999</v>
      </c>
      <c r="I1372">
        <v>1958.6474608999999</v>
      </c>
      <c r="J1372">
        <v>1766.9481201000001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1007</v>
      </c>
      <c r="B1373" s="1">
        <f>DATE(2013,2,1) + TIME(0,0,0)</f>
        <v>41306</v>
      </c>
      <c r="C1373">
        <v>80</v>
      </c>
      <c r="D1373">
        <v>68.779357910000002</v>
      </c>
      <c r="E1373">
        <v>50</v>
      </c>
      <c r="F1373">
        <v>49.970069885000001</v>
      </c>
      <c r="G1373">
        <v>980.08551024999997</v>
      </c>
      <c r="H1373">
        <v>843.28417968999997</v>
      </c>
      <c r="I1373">
        <v>1958.2147216999999</v>
      </c>
      <c r="J1373">
        <v>1766.5157471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1010.081755</v>
      </c>
      <c r="B1374" s="1">
        <f>DATE(2013,2,4) + TIME(1,57,43)</f>
        <v>41309.081747685188</v>
      </c>
      <c r="C1374">
        <v>80</v>
      </c>
      <c r="D1374">
        <v>68.430038452000005</v>
      </c>
      <c r="E1374">
        <v>50</v>
      </c>
      <c r="F1374">
        <v>49.970157622999999</v>
      </c>
      <c r="G1374">
        <v>977.83361816000001</v>
      </c>
      <c r="H1374">
        <v>840.31427001999998</v>
      </c>
      <c r="I1374">
        <v>1957.7807617000001</v>
      </c>
      <c r="J1374">
        <v>1766.0821533000001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1013.245855</v>
      </c>
      <c r="B1375" s="1">
        <f>DATE(2013,2,7) + TIME(5,54,1)</f>
        <v>41312.245844907404</v>
      </c>
      <c r="C1375">
        <v>80</v>
      </c>
      <c r="D1375">
        <v>68.069702148000005</v>
      </c>
      <c r="E1375">
        <v>50</v>
      </c>
      <c r="F1375">
        <v>49.970245361000003</v>
      </c>
      <c r="G1375">
        <v>975.50427246000004</v>
      </c>
      <c r="H1375">
        <v>837.21539307</v>
      </c>
      <c r="I1375">
        <v>1957.3432617000001</v>
      </c>
      <c r="J1375">
        <v>1765.6450195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1016.433152</v>
      </c>
      <c r="B1376" s="1">
        <f>DATE(2013,2,10) + TIME(10,23,44)</f>
        <v>41315.433148148149</v>
      </c>
      <c r="C1376">
        <v>80</v>
      </c>
      <c r="D1376">
        <v>67.694732665999993</v>
      </c>
      <c r="E1376">
        <v>50</v>
      </c>
      <c r="F1376">
        <v>49.970333099000001</v>
      </c>
      <c r="G1376">
        <v>973.08557128999996</v>
      </c>
      <c r="H1376">
        <v>833.96618651999995</v>
      </c>
      <c r="I1376">
        <v>1956.9049072</v>
      </c>
      <c r="J1376">
        <v>1765.2070312000001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1019.649219</v>
      </c>
      <c r="B1377" s="1">
        <f>DATE(2013,2,13) + TIME(15,34,52)</f>
        <v>41318.649212962962</v>
      </c>
      <c r="C1377">
        <v>80</v>
      </c>
      <c r="D1377">
        <v>67.307594299000002</v>
      </c>
      <c r="E1377">
        <v>50</v>
      </c>
      <c r="F1377">
        <v>49.970420836999999</v>
      </c>
      <c r="G1377">
        <v>970.59332274999997</v>
      </c>
      <c r="H1377">
        <v>830.58709716999999</v>
      </c>
      <c r="I1377">
        <v>1956.4683838000001</v>
      </c>
      <c r="J1377">
        <v>1764.770874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1022.898468</v>
      </c>
      <c r="B1378" s="1">
        <f>DATE(2013,2,16) + TIME(21,33,47)</f>
        <v>41321.898460648146</v>
      </c>
      <c r="C1378">
        <v>80</v>
      </c>
      <c r="D1378">
        <v>66.907737732000001</v>
      </c>
      <c r="E1378">
        <v>50</v>
      </c>
      <c r="F1378">
        <v>49.970508574999997</v>
      </c>
      <c r="G1378">
        <v>968.02337646000001</v>
      </c>
      <c r="H1378">
        <v>827.07263183999999</v>
      </c>
      <c r="I1378">
        <v>1956.0347899999999</v>
      </c>
      <c r="J1378">
        <v>1764.3374022999999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1026.1723500000001</v>
      </c>
      <c r="B1379" s="1">
        <f>DATE(2013,2,20) + TIME(4,8,11)</f>
        <v>41325.172349537039</v>
      </c>
      <c r="C1379">
        <v>80</v>
      </c>
      <c r="D1379">
        <v>66.494361877000003</v>
      </c>
      <c r="E1379">
        <v>50</v>
      </c>
      <c r="F1379">
        <v>49.970596313000001</v>
      </c>
      <c r="G1379">
        <v>965.37298583999996</v>
      </c>
      <c r="H1379">
        <v>823.41754149999997</v>
      </c>
      <c r="I1379">
        <v>1955.6049805</v>
      </c>
      <c r="J1379">
        <v>1763.9079589999999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1029.475948</v>
      </c>
      <c r="B1380" s="1">
        <f>DATE(2013,2,23) + TIME(11,25,21)</f>
        <v>41328.475937499999</v>
      </c>
      <c r="C1380">
        <v>80</v>
      </c>
      <c r="D1380">
        <v>66.067161560000002</v>
      </c>
      <c r="E1380">
        <v>50</v>
      </c>
      <c r="F1380">
        <v>49.970687865999999</v>
      </c>
      <c r="G1380">
        <v>962.64227295000001</v>
      </c>
      <c r="H1380">
        <v>819.62121581999997</v>
      </c>
      <c r="I1380">
        <v>1955.1795654</v>
      </c>
      <c r="J1380">
        <v>1763.4827881000001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1032.8141450000001</v>
      </c>
      <c r="B1381" s="1">
        <f>DATE(2013,2,26) + TIME(19,32,22)</f>
        <v>41331.814143518517</v>
      </c>
      <c r="C1381">
        <v>80</v>
      </c>
      <c r="D1381">
        <v>65.624877929999997</v>
      </c>
      <c r="E1381">
        <v>50</v>
      </c>
      <c r="F1381">
        <v>49.970775604000004</v>
      </c>
      <c r="G1381">
        <v>959.82623291000004</v>
      </c>
      <c r="H1381">
        <v>815.67572021000001</v>
      </c>
      <c r="I1381">
        <v>1954.7583007999999</v>
      </c>
      <c r="J1381">
        <v>1763.0616454999999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1035</v>
      </c>
      <c r="B1382" s="1">
        <f>DATE(2013,3,1) + TIME(0,0,0)</f>
        <v>41334</v>
      </c>
      <c r="C1382">
        <v>80</v>
      </c>
      <c r="D1382">
        <v>65.207763671999999</v>
      </c>
      <c r="E1382">
        <v>50</v>
      </c>
      <c r="F1382">
        <v>49.970809936999999</v>
      </c>
      <c r="G1382">
        <v>957.22894286999997</v>
      </c>
      <c r="H1382">
        <v>811.97943114999998</v>
      </c>
      <c r="I1382">
        <v>1954.4305420000001</v>
      </c>
      <c r="J1382">
        <v>1762.7341309000001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1038.377612</v>
      </c>
      <c r="B1383" s="1">
        <f>DATE(2013,3,4) + TIME(9,3,45)</f>
        <v>41337.377604166664</v>
      </c>
      <c r="C1383">
        <v>80</v>
      </c>
      <c r="D1383">
        <v>64.834579468000001</v>
      </c>
      <c r="E1383">
        <v>50</v>
      </c>
      <c r="F1383">
        <v>49.970928192000002</v>
      </c>
      <c r="G1383">
        <v>954.88244628999996</v>
      </c>
      <c r="H1383">
        <v>808.65081786999997</v>
      </c>
      <c r="I1383">
        <v>1954.0500488</v>
      </c>
      <c r="J1383">
        <v>1762.3538818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1041.792379</v>
      </c>
      <c r="B1384" s="1">
        <f>DATE(2013,3,7) + TIME(19,1,1)</f>
        <v>41340.792372685188</v>
      </c>
      <c r="C1384">
        <v>80</v>
      </c>
      <c r="D1384">
        <v>64.368522643999995</v>
      </c>
      <c r="E1384">
        <v>50</v>
      </c>
      <c r="F1384">
        <v>49.97101593</v>
      </c>
      <c r="G1384">
        <v>951.90606689000003</v>
      </c>
      <c r="H1384">
        <v>804.42333984000004</v>
      </c>
      <c r="I1384">
        <v>1953.65625</v>
      </c>
      <c r="J1384">
        <v>1761.9602050999999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1045.2354909999999</v>
      </c>
      <c r="B1385" s="1">
        <f>DATE(2013,3,11) + TIME(5,39,6)</f>
        <v>41344.235486111109</v>
      </c>
      <c r="C1385">
        <v>80</v>
      </c>
      <c r="D1385">
        <v>63.868309021000002</v>
      </c>
      <c r="E1385">
        <v>50</v>
      </c>
      <c r="F1385">
        <v>49.971099854000002</v>
      </c>
      <c r="G1385">
        <v>948.78411864999998</v>
      </c>
      <c r="H1385">
        <v>799.93353271000001</v>
      </c>
      <c r="I1385">
        <v>1953.2563477000001</v>
      </c>
      <c r="J1385">
        <v>1761.5603027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1048.70355</v>
      </c>
      <c r="B1386" s="1">
        <f>DATE(2013,3,14) + TIME(16,53,6)</f>
        <v>41347.703541666669</v>
      </c>
      <c r="C1386">
        <v>80</v>
      </c>
      <c r="D1386">
        <v>63.347778320000003</v>
      </c>
      <c r="E1386">
        <v>50</v>
      </c>
      <c r="F1386">
        <v>49.971187592</v>
      </c>
      <c r="G1386">
        <v>945.56323241999996</v>
      </c>
      <c r="H1386">
        <v>795.26574706999997</v>
      </c>
      <c r="I1386">
        <v>1952.8574219</v>
      </c>
      <c r="J1386">
        <v>1761.1616211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1052.202256</v>
      </c>
      <c r="B1387" s="1">
        <f>DATE(2013,3,18) + TIME(4,51,14)</f>
        <v>41351.202245370368</v>
      </c>
      <c r="C1387">
        <v>80</v>
      </c>
      <c r="D1387">
        <v>62.808685302999997</v>
      </c>
      <c r="E1387">
        <v>50</v>
      </c>
      <c r="F1387">
        <v>49.971275329999997</v>
      </c>
      <c r="G1387">
        <v>942.25164795000001</v>
      </c>
      <c r="H1387">
        <v>790.43341064000003</v>
      </c>
      <c r="I1387">
        <v>1952.4614257999999</v>
      </c>
      <c r="J1387">
        <v>1760.7657471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1055.731344</v>
      </c>
      <c r="B1388" s="1">
        <f>DATE(2013,3,21) + TIME(17,33,8)</f>
        <v>41354.731342592589</v>
      </c>
      <c r="C1388">
        <v>80</v>
      </c>
      <c r="D1388">
        <v>62.251113891999999</v>
      </c>
      <c r="E1388">
        <v>50</v>
      </c>
      <c r="F1388">
        <v>49.971363068000002</v>
      </c>
      <c r="G1388">
        <v>938.84918213000003</v>
      </c>
      <c r="H1388">
        <v>785.43615723000005</v>
      </c>
      <c r="I1388">
        <v>1952.0687256000001</v>
      </c>
      <c r="J1388">
        <v>1760.3731689000001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1059.2848280000001</v>
      </c>
      <c r="B1389" s="1">
        <f>DATE(2013,3,25) + TIME(6,50,9)</f>
        <v>41358.284826388888</v>
      </c>
      <c r="C1389">
        <v>80</v>
      </c>
      <c r="D1389">
        <v>61.675201416</v>
      </c>
      <c r="E1389">
        <v>50</v>
      </c>
      <c r="F1389">
        <v>49.971446991000001</v>
      </c>
      <c r="G1389">
        <v>935.35803223000005</v>
      </c>
      <c r="H1389">
        <v>780.27514647999999</v>
      </c>
      <c r="I1389">
        <v>1951.6794434000001</v>
      </c>
      <c r="J1389">
        <v>1759.9840088000001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1062.8692349999999</v>
      </c>
      <c r="B1390" s="1">
        <f>DATE(2013,3,28) + TIME(20,51,41)</f>
        <v>41361.86922453704</v>
      </c>
      <c r="C1390">
        <v>80</v>
      </c>
      <c r="D1390">
        <v>61.081241607999999</v>
      </c>
      <c r="E1390">
        <v>50</v>
      </c>
      <c r="F1390">
        <v>49.971534728999998</v>
      </c>
      <c r="G1390">
        <v>931.78320312000005</v>
      </c>
      <c r="H1390">
        <v>774.95715331999997</v>
      </c>
      <c r="I1390">
        <v>1951.2929687999999</v>
      </c>
      <c r="J1390">
        <v>1759.5977783000001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1066</v>
      </c>
      <c r="B1391" s="1">
        <f>DATE(2013,4,1) + TIME(0,0,0)</f>
        <v>41365</v>
      </c>
      <c r="C1391">
        <v>80</v>
      </c>
      <c r="D1391">
        <v>60.484962463000002</v>
      </c>
      <c r="E1391">
        <v>50</v>
      </c>
      <c r="F1391">
        <v>49.971603393999999</v>
      </c>
      <c r="G1391">
        <v>928.22607421999999</v>
      </c>
      <c r="H1391">
        <v>769.62561034999999</v>
      </c>
      <c r="I1391">
        <v>1950.9390868999999</v>
      </c>
      <c r="J1391">
        <v>1759.2438964999999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1069.6129719999999</v>
      </c>
      <c r="B1392" s="1">
        <f>DATE(2013,4,4) + TIME(14,42,40)</f>
        <v>41368.612962962965</v>
      </c>
      <c r="C1392">
        <v>80</v>
      </c>
      <c r="D1392">
        <v>59.912807465</v>
      </c>
      <c r="E1392">
        <v>50</v>
      </c>
      <c r="F1392">
        <v>49.971698760999999</v>
      </c>
      <c r="G1392">
        <v>924.84143066000001</v>
      </c>
      <c r="H1392">
        <v>764.52142333999996</v>
      </c>
      <c r="I1392">
        <v>1950.5699463000001</v>
      </c>
      <c r="J1392">
        <v>1758.8748779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1073.2657059999999</v>
      </c>
      <c r="B1393" s="1">
        <f>DATE(2013,4,8) + TIME(6,22,37)</f>
        <v>41372.265706018516</v>
      </c>
      <c r="C1393">
        <v>80</v>
      </c>
      <c r="D1393">
        <v>59.282154083000002</v>
      </c>
      <c r="E1393">
        <v>50</v>
      </c>
      <c r="F1393">
        <v>49.971782683999997</v>
      </c>
      <c r="G1393">
        <v>921.08953856999995</v>
      </c>
      <c r="H1393">
        <v>758.85797118999994</v>
      </c>
      <c r="I1393">
        <v>1950.1967772999999</v>
      </c>
      <c r="J1393">
        <v>1758.5017089999999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1076.9497240000001</v>
      </c>
      <c r="B1394" s="1">
        <f>DATE(2013,4,11) + TIME(22,47,36)</f>
        <v>41375.94972222222</v>
      </c>
      <c r="C1394">
        <v>80</v>
      </c>
      <c r="D1394">
        <v>58.626441956000001</v>
      </c>
      <c r="E1394">
        <v>50</v>
      </c>
      <c r="F1394">
        <v>49.971866607999999</v>
      </c>
      <c r="G1394">
        <v>917.23016356999995</v>
      </c>
      <c r="H1394">
        <v>752.98468018000005</v>
      </c>
      <c r="I1394">
        <v>1949.8209228999999</v>
      </c>
      <c r="J1394">
        <v>1758.1259766000001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1080.6696469999999</v>
      </c>
      <c r="B1395" s="1">
        <f>DATE(2013,4,15) + TIME(16,4,17)</f>
        <v>41379.669641203705</v>
      </c>
      <c r="C1395">
        <v>80</v>
      </c>
      <c r="D1395">
        <v>57.954780579000001</v>
      </c>
      <c r="E1395">
        <v>50</v>
      </c>
      <c r="F1395">
        <v>49.971950530999997</v>
      </c>
      <c r="G1395">
        <v>913.29321288999995</v>
      </c>
      <c r="H1395">
        <v>746.95776366999996</v>
      </c>
      <c r="I1395">
        <v>1949.4439697</v>
      </c>
      <c r="J1395">
        <v>1757.7491454999999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1084.4180710000001</v>
      </c>
      <c r="B1396" s="1">
        <f>DATE(2013,4,19) + TIME(10,2,1)</f>
        <v>41383.418067129627</v>
      </c>
      <c r="C1396">
        <v>80</v>
      </c>
      <c r="D1396">
        <v>57.268867493000002</v>
      </c>
      <c r="E1396">
        <v>50</v>
      </c>
      <c r="F1396">
        <v>49.972038269000002</v>
      </c>
      <c r="G1396">
        <v>909.28399658000001</v>
      </c>
      <c r="H1396">
        <v>740.78649901999995</v>
      </c>
      <c r="I1396">
        <v>1949.0665283000001</v>
      </c>
      <c r="J1396">
        <v>1757.3718262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1088.2043120000001</v>
      </c>
      <c r="B1397" s="1">
        <f>DATE(2013,4,23) + TIME(4,54,12)</f>
        <v>41387.204305555555</v>
      </c>
      <c r="C1397">
        <v>80</v>
      </c>
      <c r="D1397">
        <v>56.571269989000001</v>
      </c>
      <c r="E1397">
        <v>50</v>
      </c>
      <c r="F1397">
        <v>49.972122192</v>
      </c>
      <c r="G1397">
        <v>905.21325683999999</v>
      </c>
      <c r="H1397">
        <v>734.48724364999998</v>
      </c>
      <c r="I1397">
        <v>1948.6882324000001</v>
      </c>
      <c r="J1397">
        <v>1756.9935303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1092.036728</v>
      </c>
      <c r="B1398" s="1">
        <f>DATE(2013,4,27) + TIME(0,52,53)</f>
        <v>41391.036724537036</v>
      </c>
      <c r="C1398">
        <v>80</v>
      </c>
      <c r="D1398">
        <v>55.862491607999999</v>
      </c>
      <c r="E1398">
        <v>50</v>
      </c>
      <c r="F1398">
        <v>49.972206116000002</v>
      </c>
      <c r="G1398">
        <v>901.07873534999999</v>
      </c>
      <c r="H1398">
        <v>728.05621338000003</v>
      </c>
      <c r="I1398">
        <v>1948.3078613</v>
      </c>
      <c r="J1398">
        <v>1756.6132812000001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1094.018364</v>
      </c>
      <c r="B1399" s="1">
        <f>DATE(2013,4,29) + TIME(0,26,26)</f>
        <v>41393.01835648148</v>
      </c>
      <c r="C1399">
        <v>80</v>
      </c>
      <c r="D1399">
        <v>55.237228393999999</v>
      </c>
      <c r="E1399">
        <v>50</v>
      </c>
      <c r="F1399">
        <v>49.972225189</v>
      </c>
      <c r="G1399">
        <v>897.34423828000001</v>
      </c>
      <c r="H1399">
        <v>722.25744628999996</v>
      </c>
      <c r="I1399">
        <v>1948.0626221</v>
      </c>
      <c r="J1399">
        <v>1756.3680420000001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1096</v>
      </c>
      <c r="B1400" s="1">
        <f>DATE(2013,5,1) + TIME(0,0,0)</f>
        <v>41395</v>
      </c>
      <c r="C1400">
        <v>80</v>
      </c>
      <c r="D1400">
        <v>54.795120238999999</v>
      </c>
      <c r="E1400">
        <v>50</v>
      </c>
      <c r="F1400">
        <v>49.972267150999997</v>
      </c>
      <c r="G1400">
        <v>894.94091796999999</v>
      </c>
      <c r="H1400">
        <v>718.36395263999998</v>
      </c>
      <c r="I1400">
        <v>1947.8295897999999</v>
      </c>
      <c r="J1400">
        <v>1756.1351318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1096.0000010000001</v>
      </c>
      <c r="B1401" s="1">
        <f>DATE(2013,5,1) + TIME(0,0,0)</f>
        <v>41395</v>
      </c>
      <c r="C1401">
        <v>80</v>
      </c>
      <c r="D1401">
        <v>54.795173644999998</v>
      </c>
      <c r="E1401">
        <v>50</v>
      </c>
      <c r="F1401">
        <v>49.972251892000003</v>
      </c>
      <c r="G1401">
        <v>1071.3986815999999</v>
      </c>
      <c r="H1401">
        <v>894.95068359000004</v>
      </c>
      <c r="I1401">
        <v>1756.1252440999999</v>
      </c>
      <c r="J1401">
        <v>1564.4270019999999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1096.000004</v>
      </c>
      <c r="B1402" s="1">
        <f>DATE(2013,5,1) + TIME(0,0,0)</f>
        <v>41395</v>
      </c>
      <c r="C1402">
        <v>80</v>
      </c>
      <c r="D1402">
        <v>54.795330047999997</v>
      </c>
      <c r="E1402">
        <v>50</v>
      </c>
      <c r="F1402">
        <v>49.972206116000002</v>
      </c>
      <c r="G1402">
        <v>1071.4278564000001</v>
      </c>
      <c r="H1402">
        <v>894.98004149999997</v>
      </c>
      <c r="I1402">
        <v>1756.0958252</v>
      </c>
      <c r="J1402">
        <v>1564.3974608999999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1096.0000130000001</v>
      </c>
      <c r="B1403" s="1">
        <f>DATE(2013,5,1) + TIME(0,0,1)</f>
        <v>41395.000011574077</v>
      </c>
      <c r="C1403">
        <v>80</v>
      </c>
      <c r="D1403">
        <v>54.795806884999998</v>
      </c>
      <c r="E1403">
        <v>50</v>
      </c>
      <c r="F1403">
        <v>49.972072601000001</v>
      </c>
      <c r="G1403">
        <v>1071.5157471</v>
      </c>
      <c r="H1403">
        <v>895.06805420000001</v>
      </c>
      <c r="I1403">
        <v>1756.0073242000001</v>
      </c>
      <c r="J1403">
        <v>1564.3085937999999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1096.0000399999999</v>
      </c>
      <c r="B1404" s="1">
        <f>DATE(2013,5,1) + TIME(0,0,3)</f>
        <v>41395.000034722223</v>
      </c>
      <c r="C1404">
        <v>80</v>
      </c>
      <c r="D1404">
        <v>54.797237396</v>
      </c>
      <c r="E1404">
        <v>50</v>
      </c>
      <c r="F1404">
        <v>49.971672058000003</v>
      </c>
      <c r="G1404">
        <v>1071.7788086</v>
      </c>
      <c r="H1404">
        <v>895.33184814000003</v>
      </c>
      <c r="I1404">
        <v>1755.7425536999999</v>
      </c>
      <c r="J1404">
        <v>1564.0424805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1096.000121</v>
      </c>
      <c r="B1405" s="1">
        <f>DATE(2013,5,1) + TIME(0,0,10)</f>
        <v>41395.000115740739</v>
      </c>
      <c r="C1405">
        <v>80</v>
      </c>
      <c r="D1405">
        <v>54.801521301000001</v>
      </c>
      <c r="E1405">
        <v>50</v>
      </c>
      <c r="F1405">
        <v>49.970478057999998</v>
      </c>
      <c r="G1405">
        <v>1072.5646973</v>
      </c>
      <c r="H1405">
        <v>896.12103271000001</v>
      </c>
      <c r="I1405">
        <v>1754.9510498</v>
      </c>
      <c r="J1405">
        <v>1563.2469481999999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1096.000364</v>
      </c>
      <c r="B1406" s="1">
        <f>DATE(2013,5,1) + TIME(0,0,31)</f>
        <v>41395.000358796293</v>
      </c>
      <c r="C1406">
        <v>80</v>
      </c>
      <c r="D1406">
        <v>54.814350128000001</v>
      </c>
      <c r="E1406">
        <v>50</v>
      </c>
      <c r="F1406">
        <v>49.966926575000002</v>
      </c>
      <c r="G1406">
        <v>1074.8929443</v>
      </c>
      <c r="H1406">
        <v>898.46789550999995</v>
      </c>
      <c r="I1406">
        <v>1752.6033935999999</v>
      </c>
      <c r="J1406">
        <v>1560.8876952999999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1096.0010930000001</v>
      </c>
      <c r="B1407" s="1">
        <f>DATE(2013,5,1) + TIME(0,1,34)</f>
        <v>41395.001087962963</v>
      </c>
      <c r="C1407">
        <v>80</v>
      </c>
      <c r="D1407">
        <v>54.852508544999999</v>
      </c>
      <c r="E1407">
        <v>50</v>
      </c>
      <c r="F1407">
        <v>49.956638335999997</v>
      </c>
      <c r="G1407">
        <v>1081.6268310999999</v>
      </c>
      <c r="H1407">
        <v>905.31109618999994</v>
      </c>
      <c r="I1407">
        <v>1745.7913818</v>
      </c>
      <c r="J1407">
        <v>1554.0422363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1096.0032799999999</v>
      </c>
      <c r="B1408" s="1">
        <f>DATE(2013,5,1) + TIME(0,4,43)</f>
        <v>41395.003275462965</v>
      </c>
      <c r="C1408">
        <v>80</v>
      </c>
      <c r="D1408">
        <v>54.963298797999997</v>
      </c>
      <c r="E1408">
        <v>50</v>
      </c>
      <c r="F1408">
        <v>49.928516387999998</v>
      </c>
      <c r="G1408">
        <v>1099.862793</v>
      </c>
      <c r="H1408">
        <v>924.06408691000001</v>
      </c>
      <c r="I1408">
        <v>1727.1879882999999</v>
      </c>
      <c r="J1408">
        <v>1535.3493652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1096.0098410000001</v>
      </c>
      <c r="B1409" s="1">
        <f>DATE(2013,5,1) + TIME(0,14,10)</f>
        <v>41395.009837962964</v>
      </c>
      <c r="C1409">
        <v>80</v>
      </c>
      <c r="D1409">
        <v>55.269226074000002</v>
      </c>
      <c r="E1409">
        <v>50</v>
      </c>
      <c r="F1409">
        <v>49.862152100000003</v>
      </c>
      <c r="G1409">
        <v>1142.1116943</v>
      </c>
      <c r="H1409">
        <v>967.82897949000005</v>
      </c>
      <c r="I1409">
        <v>1683.286499</v>
      </c>
      <c r="J1409">
        <v>1491.2408447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1096.029524</v>
      </c>
      <c r="B1410" s="1">
        <f>DATE(2013,5,1) + TIME(0,42,30)</f>
        <v>41395.029513888891</v>
      </c>
      <c r="C1410">
        <v>80</v>
      </c>
      <c r="D1410">
        <v>56.056686401</v>
      </c>
      <c r="E1410">
        <v>50</v>
      </c>
      <c r="F1410">
        <v>49.742740630999997</v>
      </c>
      <c r="G1410">
        <v>1215.6307373</v>
      </c>
      <c r="H1410">
        <v>1043.9603271000001</v>
      </c>
      <c r="I1410">
        <v>1604.1151123</v>
      </c>
      <c r="J1410">
        <v>1411.7061768000001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1096.0534270000001</v>
      </c>
      <c r="B1411" s="1">
        <f>DATE(2013,5,1) + TIME(1,16,56)</f>
        <v>41395.053425925929</v>
      </c>
      <c r="C1411">
        <v>80</v>
      </c>
      <c r="D1411">
        <v>56.898975372000002</v>
      </c>
      <c r="E1411">
        <v>50</v>
      </c>
      <c r="F1411">
        <v>49.654621124000002</v>
      </c>
      <c r="G1411">
        <v>1268.6230469</v>
      </c>
      <c r="H1411">
        <v>1098.9392089999999</v>
      </c>
      <c r="I1411">
        <v>1544.8679199000001</v>
      </c>
      <c r="J1411">
        <v>1352.1961670000001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1096.079704</v>
      </c>
      <c r="B1412" s="1">
        <f>DATE(2013,5,1) + TIME(1,54,46)</f>
        <v>41395.079699074071</v>
      </c>
      <c r="C1412">
        <v>80</v>
      </c>
      <c r="D1412">
        <v>57.745178223000003</v>
      </c>
      <c r="E1412">
        <v>50</v>
      </c>
      <c r="F1412">
        <v>49.592323303000001</v>
      </c>
      <c r="G1412">
        <v>1305.8675536999999</v>
      </c>
      <c r="H1412">
        <v>1137.9261475000001</v>
      </c>
      <c r="I1412">
        <v>1501.7816161999999</v>
      </c>
      <c r="J1412">
        <v>1308.9267577999999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1096.107947</v>
      </c>
      <c r="B1413" s="1">
        <f>DATE(2013,5,1) + TIME(2,35,26)</f>
        <v>41395.107939814814</v>
      </c>
      <c r="C1413">
        <v>80</v>
      </c>
      <c r="D1413">
        <v>58.593639373999999</v>
      </c>
      <c r="E1413">
        <v>50</v>
      </c>
      <c r="F1413">
        <v>49.546527863000001</v>
      </c>
      <c r="G1413">
        <v>1333.4697266000001</v>
      </c>
      <c r="H1413">
        <v>1167.2210693</v>
      </c>
      <c r="I1413">
        <v>1468.8837891000001</v>
      </c>
      <c r="J1413">
        <v>1275.8967285000001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1096.137835</v>
      </c>
      <c r="B1414" s="1">
        <f>DATE(2013,5,1) + TIME(3,18,28)</f>
        <v>41395.137824074074</v>
      </c>
      <c r="C1414">
        <v>80</v>
      </c>
      <c r="D1414">
        <v>59.440139770999998</v>
      </c>
      <c r="E1414">
        <v>50</v>
      </c>
      <c r="F1414">
        <v>49.511486052999999</v>
      </c>
      <c r="G1414">
        <v>1354.9564209</v>
      </c>
      <c r="H1414">
        <v>1190.3887939000001</v>
      </c>
      <c r="I1414">
        <v>1442.6026611</v>
      </c>
      <c r="J1414">
        <v>1249.5164795000001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1096.1692</v>
      </c>
      <c r="B1415" s="1">
        <f>DATE(2013,5,1) + TIME(4,3,38)</f>
        <v>41395.169189814813</v>
      </c>
      <c r="C1415">
        <v>80</v>
      </c>
      <c r="D1415">
        <v>60.281723022000001</v>
      </c>
      <c r="E1415">
        <v>50</v>
      </c>
      <c r="F1415">
        <v>49.483688354000002</v>
      </c>
      <c r="G1415">
        <v>1372.3905029</v>
      </c>
      <c r="H1415">
        <v>1209.4921875</v>
      </c>
      <c r="I1415">
        <v>1420.7827147999999</v>
      </c>
      <c r="J1415">
        <v>1227.619751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1096.2019479999999</v>
      </c>
      <c r="B1416" s="1">
        <f>DATE(2013,5,1) + TIME(4,50,48)</f>
        <v>41395.201944444445</v>
      </c>
      <c r="C1416">
        <v>80</v>
      </c>
      <c r="D1416">
        <v>61.115985870000003</v>
      </c>
      <c r="E1416">
        <v>50</v>
      </c>
      <c r="F1416">
        <v>49.460987091</v>
      </c>
      <c r="G1416">
        <v>1387.0021973</v>
      </c>
      <c r="H1416">
        <v>1225.7531738</v>
      </c>
      <c r="I1416">
        <v>1402.1141356999999</v>
      </c>
      <c r="J1416">
        <v>1208.8901367000001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1096.236054</v>
      </c>
      <c r="B1417" s="1">
        <f>DATE(2013,5,1) + TIME(5,39,55)</f>
        <v>41395.23605324074</v>
      </c>
      <c r="C1417">
        <v>80</v>
      </c>
      <c r="D1417">
        <v>61.941967009999999</v>
      </c>
      <c r="E1417">
        <v>50</v>
      </c>
      <c r="F1417">
        <v>49.441997528000002</v>
      </c>
      <c r="G1417">
        <v>1399.5667725000001</v>
      </c>
      <c r="H1417">
        <v>1239.9404297000001</v>
      </c>
      <c r="I1417">
        <v>1385.7596435999999</v>
      </c>
      <c r="J1417">
        <v>1192.4863281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1096.271536</v>
      </c>
      <c r="B1418" s="1">
        <f>DATE(2013,5,1) + TIME(6,31,0)</f>
        <v>41395.271527777775</v>
      </c>
      <c r="C1418">
        <v>80</v>
      </c>
      <c r="D1418">
        <v>62.758827209000003</v>
      </c>
      <c r="E1418">
        <v>50</v>
      </c>
      <c r="F1418">
        <v>49.425800322999997</v>
      </c>
      <c r="G1418">
        <v>1410.5964355000001</v>
      </c>
      <c r="H1418">
        <v>1252.5614014</v>
      </c>
      <c r="I1418">
        <v>1371.1622314000001</v>
      </c>
      <c r="J1418">
        <v>1177.8483887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1096.30844</v>
      </c>
      <c r="B1419" s="1">
        <f>DATE(2013,5,1) + TIME(7,24,9)</f>
        <v>41395.308437500003</v>
      </c>
      <c r="C1419">
        <v>80</v>
      </c>
      <c r="D1419">
        <v>63.565971374999997</v>
      </c>
      <c r="E1419">
        <v>50</v>
      </c>
      <c r="F1419">
        <v>49.411758423000002</v>
      </c>
      <c r="G1419">
        <v>1420.4448242000001</v>
      </c>
      <c r="H1419">
        <v>1263.9665527</v>
      </c>
      <c r="I1419">
        <v>1357.9357910000001</v>
      </c>
      <c r="J1419">
        <v>1164.5882568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1096.3468330000001</v>
      </c>
      <c r="B1420" s="1">
        <f>DATE(2013,5,1) + TIME(8,19,26)</f>
        <v>41395.346828703703</v>
      </c>
      <c r="C1420">
        <v>80</v>
      </c>
      <c r="D1420">
        <v>64.362922667999996</v>
      </c>
      <c r="E1420">
        <v>50</v>
      </c>
      <c r="F1420">
        <v>49.399406433000003</v>
      </c>
      <c r="G1420">
        <v>1429.3657227000001</v>
      </c>
      <c r="H1420">
        <v>1274.4077147999999</v>
      </c>
      <c r="I1420">
        <v>1345.8024902</v>
      </c>
      <c r="J1420">
        <v>1152.4266356999999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1096.3867990000001</v>
      </c>
      <c r="B1421" s="1">
        <f>DATE(2013,5,1) + TIME(9,16,59)</f>
        <v>41395.386793981481</v>
      </c>
      <c r="C1421">
        <v>80</v>
      </c>
      <c r="D1421">
        <v>65.149276732999994</v>
      </c>
      <c r="E1421">
        <v>50</v>
      </c>
      <c r="F1421">
        <v>49.388397216999998</v>
      </c>
      <c r="G1421">
        <v>1437.5473632999999</v>
      </c>
      <c r="H1421">
        <v>1284.0715332</v>
      </c>
      <c r="I1421">
        <v>1334.5560303</v>
      </c>
      <c r="J1421">
        <v>1141.1564940999999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1096.4284399999999</v>
      </c>
      <c r="B1422" s="1">
        <f>DATE(2013,5,1) + TIME(10,16,57)</f>
        <v>41395.428437499999</v>
      </c>
      <c r="C1422">
        <v>80</v>
      </c>
      <c r="D1422">
        <v>65.924713135000005</v>
      </c>
      <c r="E1422">
        <v>50</v>
      </c>
      <c r="F1422">
        <v>49.378463744999998</v>
      </c>
      <c r="G1422">
        <v>1445.1325684000001</v>
      </c>
      <c r="H1422">
        <v>1293.1004639</v>
      </c>
      <c r="I1422">
        <v>1324.0391846</v>
      </c>
      <c r="J1422">
        <v>1130.6195068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1096.4718820000001</v>
      </c>
      <c r="B1423" s="1">
        <f>DATE(2013,5,1) + TIME(11,19,30)</f>
        <v>41395.471875000003</v>
      </c>
      <c r="C1423">
        <v>80</v>
      </c>
      <c r="D1423">
        <v>66.688804626000007</v>
      </c>
      <c r="E1423">
        <v>50</v>
      </c>
      <c r="F1423">
        <v>49.369396209999998</v>
      </c>
      <c r="G1423">
        <v>1452.2347411999999</v>
      </c>
      <c r="H1423">
        <v>1301.6075439000001</v>
      </c>
      <c r="I1423">
        <v>1314.1269531</v>
      </c>
      <c r="J1423">
        <v>1120.6901855000001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1096.5172709999999</v>
      </c>
      <c r="B1424" s="1">
        <f>DATE(2013,5,1) + TIME(12,24,52)</f>
        <v>41395.517268518517</v>
      </c>
      <c r="C1424">
        <v>80</v>
      </c>
      <c r="D1424">
        <v>67.441253661999994</v>
      </c>
      <c r="E1424">
        <v>50</v>
      </c>
      <c r="F1424">
        <v>49.361019134999999</v>
      </c>
      <c r="G1424">
        <v>1458.9447021000001</v>
      </c>
      <c r="H1424">
        <v>1309.6839600000001</v>
      </c>
      <c r="I1424">
        <v>1304.7189940999999</v>
      </c>
      <c r="J1424">
        <v>1111.2674560999999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1096.564793</v>
      </c>
      <c r="B1425" s="1">
        <f>DATE(2013,5,1) + TIME(13,33,18)</f>
        <v>41395.564791666664</v>
      </c>
      <c r="C1425">
        <v>80</v>
      </c>
      <c r="D1425">
        <v>68.182006835999999</v>
      </c>
      <c r="E1425">
        <v>50</v>
      </c>
      <c r="F1425">
        <v>49.353191375999998</v>
      </c>
      <c r="G1425">
        <v>1465.3389893000001</v>
      </c>
      <c r="H1425">
        <v>1317.4068603999999</v>
      </c>
      <c r="I1425">
        <v>1295.7299805</v>
      </c>
      <c r="J1425">
        <v>1102.2658690999999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1096.614658</v>
      </c>
      <c r="B1426" s="1">
        <f>DATE(2013,5,1) + TIME(14,45,6)</f>
        <v>41395.614652777775</v>
      </c>
      <c r="C1426">
        <v>80</v>
      </c>
      <c r="D1426">
        <v>68.910858153999996</v>
      </c>
      <c r="E1426">
        <v>50</v>
      </c>
      <c r="F1426">
        <v>49.345779419000003</v>
      </c>
      <c r="G1426">
        <v>1471.480957</v>
      </c>
      <c r="H1426">
        <v>1324.8404541</v>
      </c>
      <c r="I1426">
        <v>1287.0895995999999</v>
      </c>
      <c r="J1426">
        <v>1093.6147461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1096.6670779999999</v>
      </c>
      <c r="B1427" s="1">
        <f>DATE(2013,5,1) + TIME(16,0,35)</f>
        <v>41395.667071759257</v>
      </c>
      <c r="C1427">
        <v>80</v>
      </c>
      <c r="D1427">
        <v>69.627189635999997</v>
      </c>
      <c r="E1427">
        <v>50</v>
      </c>
      <c r="F1427">
        <v>49.338687897</v>
      </c>
      <c r="G1427">
        <v>1477.4213867000001</v>
      </c>
      <c r="H1427">
        <v>1332.0360106999999</v>
      </c>
      <c r="I1427">
        <v>1278.7419434000001</v>
      </c>
      <c r="J1427">
        <v>1085.2578125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1096.722327</v>
      </c>
      <c r="B1428" s="1">
        <f>DATE(2013,5,1) + TIME(17,20,9)</f>
        <v>41395.722326388888</v>
      </c>
      <c r="C1428">
        <v>80</v>
      </c>
      <c r="D1428">
        <v>70.330436707000004</v>
      </c>
      <c r="E1428">
        <v>50</v>
      </c>
      <c r="F1428">
        <v>49.331813812</v>
      </c>
      <c r="G1428">
        <v>1483.2081298999999</v>
      </c>
      <c r="H1428">
        <v>1339.0415039</v>
      </c>
      <c r="I1428">
        <v>1270.6347656</v>
      </c>
      <c r="J1428">
        <v>1077.1425781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1096.7807250000001</v>
      </c>
      <c r="B1429" s="1">
        <f>DATE(2013,5,1) + TIME(18,44,14)</f>
        <v>41395.780717592592</v>
      </c>
      <c r="C1429">
        <v>80</v>
      </c>
      <c r="D1429">
        <v>71.020179748999993</v>
      </c>
      <c r="E1429">
        <v>50</v>
      </c>
      <c r="F1429">
        <v>49.325065613</v>
      </c>
      <c r="G1429">
        <v>1488.8837891000001</v>
      </c>
      <c r="H1429">
        <v>1345.9005127</v>
      </c>
      <c r="I1429">
        <v>1262.7209473</v>
      </c>
      <c r="J1429">
        <v>1069.2215576000001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1096.84265</v>
      </c>
      <c r="B1430" s="1">
        <f>DATE(2013,5,1) + TIME(20,13,24)</f>
        <v>41395.842638888891</v>
      </c>
      <c r="C1430">
        <v>80</v>
      </c>
      <c r="D1430">
        <v>71.696243285999998</v>
      </c>
      <c r="E1430">
        <v>50</v>
      </c>
      <c r="F1430">
        <v>49.318359375</v>
      </c>
      <c r="G1430">
        <v>1494.487793</v>
      </c>
      <c r="H1430">
        <v>1352.6533202999999</v>
      </c>
      <c r="I1430">
        <v>1254.9572754000001</v>
      </c>
      <c r="J1430">
        <v>1061.4516602000001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1096.908545</v>
      </c>
      <c r="B1431" s="1">
        <f>DATE(2013,5,1) + TIME(21,48,18)</f>
        <v>41395.908541666664</v>
      </c>
      <c r="C1431">
        <v>80</v>
      </c>
      <c r="D1431">
        <v>72.358055114999999</v>
      </c>
      <c r="E1431">
        <v>50</v>
      </c>
      <c r="F1431">
        <v>49.311607361</v>
      </c>
      <c r="G1431">
        <v>1500.0573730000001</v>
      </c>
      <c r="H1431">
        <v>1359.3371582</v>
      </c>
      <c r="I1431">
        <v>1247.3038329999999</v>
      </c>
      <c r="J1431">
        <v>1053.7924805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1096.978969</v>
      </c>
      <c r="B1432" s="1">
        <f>DATE(2013,5,1) + TIME(23,29,42)</f>
        <v>41395.978958333333</v>
      </c>
      <c r="C1432">
        <v>80</v>
      </c>
      <c r="D1432">
        <v>73.005241393999995</v>
      </c>
      <c r="E1432">
        <v>50</v>
      </c>
      <c r="F1432">
        <v>49.304721831999998</v>
      </c>
      <c r="G1432">
        <v>1505.6312256000001</v>
      </c>
      <c r="H1432">
        <v>1365.9918213000001</v>
      </c>
      <c r="I1432">
        <v>1239.71875</v>
      </c>
      <c r="J1432">
        <v>1046.2019043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1097.054594</v>
      </c>
      <c r="B1433" s="1">
        <f>DATE(2013,5,2) + TIME(1,18,36)</f>
        <v>41396.054583333331</v>
      </c>
      <c r="C1433">
        <v>80</v>
      </c>
      <c r="D1433">
        <v>73.637214661000002</v>
      </c>
      <c r="E1433">
        <v>50</v>
      </c>
      <c r="F1433">
        <v>49.297611236999998</v>
      </c>
      <c r="G1433">
        <v>1511.2481689000001</v>
      </c>
      <c r="H1433">
        <v>1372.6566161999999</v>
      </c>
      <c r="I1433">
        <v>1232.1607666</v>
      </c>
      <c r="J1433">
        <v>1038.6390381000001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1097.136246</v>
      </c>
      <c r="B1434" s="1">
        <f>DATE(2013,5,2) + TIME(3,16,11)</f>
        <v>41396.136238425926</v>
      </c>
      <c r="C1434">
        <v>80</v>
      </c>
      <c r="D1434">
        <v>74.253303528000004</v>
      </c>
      <c r="E1434">
        <v>50</v>
      </c>
      <c r="F1434">
        <v>49.290176391999999</v>
      </c>
      <c r="G1434">
        <v>1516.9492187999999</v>
      </c>
      <c r="H1434">
        <v>1379.3726807</v>
      </c>
      <c r="I1434">
        <v>1224.5874022999999</v>
      </c>
      <c r="J1434">
        <v>1031.0606689000001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1097.2249629999999</v>
      </c>
      <c r="B1435" s="1">
        <f>DATE(2013,5,2) + TIME(5,23,56)</f>
        <v>41396.224953703706</v>
      </c>
      <c r="C1435">
        <v>80</v>
      </c>
      <c r="D1435">
        <v>74.852714539000004</v>
      </c>
      <c r="E1435">
        <v>50</v>
      </c>
      <c r="F1435">
        <v>49.282302856000001</v>
      </c>
      <c r="G1435">
        <v>1522.7796631000001</v>
      </c>
      <c r="H1435">
        <v>1386.1857910000001</v>
      </c>
      <c r="I1435">
        <v>1216.9519043</v>
      </c>
      <c r="J1435">
        <v>1023.4200439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1097.3221309999999</v>
      </c>
      <c r="B1436" s="1">
        <f>DATE(2013,5,2) + TIME(7,43,52)</f>
        <v>41396.322129629632</v>
      </c>
      <c r="C1436">
        <v>80</v>
      </c>
      <c r="D1436">
        <v>75.434494018999999</v>
      </c>
      <c r="E1436">
        <v>50</v>
      </c>
      <c r="F1436">
        <v>49.273849487</v>
      </c>
      <c r="G1436">
        <v>1528.7945557</v>
      </c>
      <c r="H1436">
        <v>1393.1516113</v>
      </c>
      <c r="I1436">
        <v>1209.1973877</v>
      </c>
      <c r="J1436">
        <v>1015.6602173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1097.4294520000001</v>
      </c>
      <c r="B1437" s="1">
        <f>DATE(2013,5,2) + TIME(10,18,24)</f>
        <v>41396.429444444446</v>
      </c>
      <c r="C1437">
        <v>80</v>
      </c>
      <c r="D1437">
        <v>75.997467040999993</v>
      </c>
      <c r="E1437">
        <v>50</v>
      </c>
      <c r="F1437">
        <v>49.264667510999999</v>
      </c>
      <c r="G1437">
        <v>1535.0529785000001</v>
      </c>
      <c r="H1437">
        <v>1400.3287353999999</v>
      </c>
      <c r="I1437">
        <v>1201.2651367000001</v>
      </c>
      <c r="J1437">
        <v>1007.7221069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1097.5492079999999</v>
      </c>
      <c r="B1438" s="1">
        <f>DATE(2013,5,2) + TIME(13,10,51)</f>
        <v>41396.549201388887</v>
      </c>
      <c r="C1438">
        <v>80</v>
      </c>
      <c r="D1438">
        <v>76.540237426999994</v>
      </c>
      <c r="E1438">
        <v>50</v>
      </c>
      <c r="F1438">
        <v>49.254554749</v>
      </c>
      <c r="G1438">
        <v>1541.6282959</v>
      </c>
      <c r="H1438">
        <v>1407.7901611</v>
      </c>
      <c r="I1438">
        <v>1193.0820312000001</v>
      </c>
      <c r="J1438">
        <v>999.53240966999999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1097.6723770000001</v>
      </c>
      <c r="B1439" s="1">
        <f>DATE(2013,5,2) + TIME(16,8,13)</f>
        <v>41396.672372685185</v>
      </c>
      <c r="C1439">
        <v>80</v>
      </c>
      <c r="D1439">
        <v>77.020637511999993</v>
      </c>
      <c r="E1439">
        <v>50</v>
      </c>
      <c r="F1439">
        <v>49.244064330999997</v>
      </c>
      <c r="G1439">
        <v>1548.0006103999999</v>
      </c>
      <c r="H1439">
        <v>1414.9468993999999</v>
      </c>
      <c r="I1439">
        <v>1185.2683105000001</v>
      </c>
      <c r="J1439">
        <v>991.71185303000004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1097.796182</v>
      </c>
      <c r="B1440" s="1">
        <f>DATE(2013,5,2) + TIME(19,6,30)</f>
        <v>41396.796180555553</v>
      </c>
      <c r="C1440">
        <v>80</v>
      </c>
      <c r="D1440">
        <v>77.435935974000003</v>
      </c>
      <c r="E1440">
        <v>50</v>
      </c>
      <c r="F1440">
        <v>49.233386993000003</v>
      </c>
      <c r="G1440">
        <v>1554.0606689000001</v>
      </c>
      <c r="H1440">
        <v>1421.6887207</v>
      </c>
      <c r="I1440">
        <v>1177.940918</v>
      </c>
      <c r="J1440">
        <v>984.37695312000005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1097.921382</v>
      </c>
      <c r="B1441" s="1">
        <f>DATE(2013,5,2) + TIME(22,6,47)</f>
        <v>41396.921377314815</v>
      </c>
      <c r="C1441">
        <v>80</v>
      </c>
      <c r="D1441">
        <v>77.796630859000004</v>
      </c>
      <c r="E1441">
        <v>50</v>
      </c>
      <c r="F1441">
        <v>49.222480773999997</v>
      </c>
      <c r="G1441">
        <v>1559.8836670000001</v>
      </c>
      <c r="H1441">
        <v>1428.1087646000001</v>
      </c>
      <c r="I1441">
        <v>1171.0004882999999</v>
      </c>
      <c r="J1441">
        <v>977.42840576000003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1098.048524</v>
      </c>
      <c r="B1442" s="1">
        <f>DATE(2013,5,3) + TIME(1,9,52)</f>
        <v>41397.048518518517</v>
      </c>
      <c r="C1442">
        <v>80</v>
      </c>
      <c r="D1442">
        <v>78.110572814999998</v>
      </c>
      <c r="E1442">
        <v>50</v>
      </c>
      <c r="F1442">
        <v>49.211330414000003</v>
      </c>
      <c r="G1442">
        <v>1565.5181885</v>
      </c>
      <c r="H1442">
        <v>1434.2683105000001</v>
      </c>
      <c r="I1442">
        <v>1164.3771973</v>
      </c>
      <c r="J1442">
        <v>970.79650878999996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1098.1781559999999</v>
      </c>
      <c r="B1443" s="1">
        <f>DATE(2013,5,3) + TIME(4,16,32)</f>
        <v>41397.178148148145</v>
      </c>
      <c r="C1443">
        <v>80</v>
      </c>
      <c r="D1443">
        <v>78.384170531999999</v>
      </c>
      <c r="E1443">
        <v>50</v>
      </c>
      <c r="F1443">
        <v>49.199905395999998</v>
      </c>
      <c r="G1443">
        <v>1571.0029297000001</v>
      </c>
      <c r="H1443">
        <v>1440.2161865</v>
      </c>
      <c r="I1443">
        <v>1158.0137939000001</v>
      </c>
      <c r="J1443">
        <v>964.42401123000002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1098.3108259999999</v>
      </c>
      <c r="B1444" s="1">
        <f>DATE(2013,5,3) + TIME(7,27,35)</f>
        <v>41397.31082175926</v>
      </c>
      <c r="C1444">
        <v>80</v>
      </c>
      <c r="D1444">
        <v>78.622734070000007</v>
      </c>
      <c r="E1444">
        <v>50</v>
      </c>
      <c r="F1444">
        <v>49.188186645999998</v>
      </c>
      <c r="G1444">
        <v>1576.3692627</v>
      </c>
      <c r="H1444">
        <v>1445.9924315999999</v>
      </c>
      <c r="I1444">
        <v>1151.8632812000001</v>
      </c>
      <c r="J1444">
        <v>958.26373291000004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1098.447105</v>
      </c>
      <c r="B1445" s="1">
        <f>DATE(2013,5,3) + TIME(10,43,49)</f>
        <v>41397.447094907409</v>
      </c>
      <c r="C1445">
        <v>80</v>
      </c>
      <c r="D1445">
        <v>78.830688476999995</v>
      </c>
      <c r="E1445">
        <v>50</v>
      </c>
      <c r="F1445">
        <v>49.176143646</v>
      </c>
      <c r="G1445">
        <v>1581.6439209</v>
      </c>
      <c r="H1445">
        <v>1451.6304932</v>
      </c>
      <c r="I1445">
        <v>1145.8854980000001</v>
      </c>
      <c r="J1445">
        <v>952.27581786999997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1098.587689</v>
      </c>
      <c r="B1446" s="1">
        <f>DATE(2013,5,3) + TIME(14,6,16)</f>
        <v>41397.587685185186</v>
      </c>
      <c r="C1446">
        <v>80</v>
      </c>
      <c r="D1446">
        <v>79.011878967000001</v>
      </c>
      <c r="E1446">
        <v>50</v>
      </c>
      <c r="F1446">
        <v>49.163738250999998</v>
      </c>
      <c r="G1446">
        <v>1586.8535156</v>
      </c>
      <c r="H1446">
        <v>1457.1629639</v>
      </c>
      <c r="I1446">
        <v>1140.0424805</v>
      </c>
      <c r="J1446">
        <v>946.42224121000004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1098.7330569999999</v>
      </c>
      <c r="B1447" s="1">
        <f>DATE(2013,5,3) + TIME(17,35,36)</f>
        <v>41397.733055555553</v>
      </c>
      <c r="C1447">
        <v>80</v>
      </c>
      <c r="D1447">
        <v>79.169296265</v>
      </c>
      <c r="E1447">
        <v>50</v>
      </c>
      <c r="F1447">
        <v>49.150947571000003</v>
      </c>
      <c r="G1447">
        <v>1592.0120850000001</v>
      </c>
      <c r="H1447">
        <v>1462.6086425999999</v>
      </c>
      <c r="I1447">
        <v>1134.3110352000001</v>
      </c>
      <c r="J1447">
        <v>940.6796875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1098.8833810000001</v>
      </c>
      <c r="B1448" s="1">
        <f>DATE(2013,5,3) + TIME(21,12,4)</f>
        <v>41397.883379629631</v>
      </c>
      <c r="C1448">
        <v>80</v>
      </c>
      <c r="D1448">
        <v>79.305328368999994</v>
      </c>
      <c r="E1448">
        <v>50</v>
      </c>
      <c r="F1448">
        <v>49.137775421000001</v>
      </c>
      <c r="G1448">
        <v>1597.1202393000001</v>
      </c>
      <c r="H1448">
        <v>1467.9714355000001</v>
      </c>
      <c r="I1448">
        <v>1128.6828613</v>
      </c>
      <c r="J1448">
        <v>935.03985595999995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1099.039356</v>
      </c>
      <c r="B1449" s="1">
        <f>DATE(2013,5,4) + TIME(0,56,40)</f>
        <v>41398.039351851854</v>
      </c>
      <c r="C1449">
        <v>80</v>
      </c>
      <c r="D1449">
        <v>79.422538756999998</v>
      </c>
      <c r="E1449">
        <v>50</v>
      </c>
      <c r="F1449">
        <v>49.124179839999996</v>
      </c>
      <c r="G1449">
        <v>1602.1955565999999</v>
      </c>
      <c r="H1449">
        <v>1473.2728271000001</v>
      </c>
      <c r="I1449">
        <v>1123.1330565999999</v>
      </c>
      <c r="J1449">
        <v>929.47808838000003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1099.2016980000001</v>
      </c>
      <c r="B1450" s="1">
        <f>DATE(2013,5,4) + TIME(4,50,26)</f>
        <v>41398.201689814814</v>
      </c>
      <c r="C1450">
        <v>80</v>
      </c>
      <c r="D1450">
        <v>79.523139954000001</v>
      </c>
      <c r="E1450">
        <v>50</v>
      </c>
      <c r="F1450">
        <v>49.110122681</v>
      </c>
      <c r="G1450">
        <v>1607.2521973</v>
      </c>
      <c r="H1450">
        <v>1478.5305175999999</v>
      </c>
      <c r="I1450">
        <v>1117.6407471</v>
      </c>
      <c r="J1450">
        <v>923.97332763999998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1099.371271</v>
      </c>
      <c r="B1451" s="1">
        <f>DATE(2013,5,4) + TIME(8,54,37)</f>
        <v>41398.371261574073</v>
      </c>
      <c r="C1451">
        <v>80</v>
      </c>
      <c r="D1451">
        <v>79.609107971</v>
      </c>
      <c r="E1451">
        <v>50</v>
      </c>
      <c r="F1451">
        <v>49.095558167</v>
      </c>
      <c r="G1451">
        <v>1612.3057861</v>
      </c>
      <c r="H1451">
        <v>1483.7626952999999</v>
      </c>
      <c r="I1451">
        <v>1112.1845702999999</v>
      </c>
      <c r="J1451">
        <v>918.50421143000005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1099.549066</v>
      </c>
      <c r="B1452" s="1">
        <f>DATE(2013,5,4) + TIME(13,10,39)</f>
        <v>41398.549062500002</v>
      </c>
      <c r="C1452">
        <v>80</v>
      </c>
      <c r="D1452">
        <v>79.682174683</v>
      </c>
      <c r="E1452">
        <v>50</v>
      </c>
      <c r="F1452">
        <v>49.080429076999998</v>
      </c>
      <c r="G1452">
        <v>1617.3713379000001</v>
      </c>
      <c r="H1452">
        <v>1488.9873047000001</v>
      </c>
      <c r="I1452">
        <v>1106.7435303</v>
      </c>
      <c r="J1452">
        <v>913.04980468999997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1099.736216</v>
      </c>
      <c r="B1453" s="1">
        <f>DATE(2013,5,4) + TIME(17,40,9)</f>
        <v>41398.736215277779</v>
      </c>
      <c r="C1453">
        <v>80</v>
      </c>
      <c r="D1453">
        <v>79.743865967000005</v>
      </c>
      <c r="E1453">
        <v>50</v>
      </c>
      <c r="F1453">
        <v>49.064662933000001</v>
      </c>
      <c r="G1453">
        <v>1622.4638672000001</v>
      </c>
      <c r="H1453">
        <v>1494.2215576000001</v>
      </c>
      <c r="I1453">
        <v>1101.2976074000001</v>
      </c>
      <c r="J1453">
        <v>907.58996581999997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1099.9340560000001</v>
      </c>
      <c r="B1454" s="1">
        <f>DATE(2013,5,4) + TIME(22,25,2)</f>
        <v>41398.934050925927</v>
      </c>
      <c r="C1454">
        <v>80</v>
      </c>
      <c r="D1454">
        <v>79.795562743999994</v>
      </c>
      <c r="E1454">
        <v>50</v>
      </c>
      <c r="F1454">
        <v>49.048187255999999</v>
      </c>
      <c r="G1454">
        <v>1627.5991211</v>
      </c>
      <c r="H1454">
        <v>1499.4831543</v>
      </c>
      <c r="I1454">
        <v>1095.8259277</v>
      </c>
      <c r="J1454">
        <v>902.10394286999997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1100.1442239999999</v>
      </c>
      <c r="B1455" s="1">
        <f>DATE(2013,5,5) + TIME(3,27,40)</f>
        <v>41399.144212962965</v>
      </c>
      <c r="C1455">
        <v>80</v>
      </c>
      <c r="D1455">
        <v>79.838478088000002</v>
      </c>
      <c r="E1455">
        <v>50</v>
      </c>
      <c r="F1455">
        <v>49.030902863000001</v>
      </c>
      <c r="G1455">
        <v>1632.7952881000001</v>
      </c>
      <c r="H1455">
        <v>1504.7923584</v>
      </c>
      <c r="I1455">
        <v>1090.3057861</v>
      </c>
      <c r="J1455">
        <v>896.56872558999999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1100.3686580000001</v>
      </c>
      <c r="B1456" s="1">
        <f>DATE(2013,5,5) + TIME(8,50,52)</f>
        <v>41399.368657407409</v>
      </c>
      <c r="C1456">
        <v>80</v>
      </c>
      <c r="D1456">
        <v>79.873718261999997</v>
      </c>
      <c r="E1456">
        <v>50</v>
      </c>
      <c r="F1456">
        <v>49.012695311999998</v>
      </c>
      <c r="G1456">
        <v>1638.0712891000001</v>
      </c>
      <c r="H1456">
        <v>1510.1695557</v>
      </c>
      <c r="I1456">
        <v>1084.7131348</v>
      </c>
      <c r="J1456">
        <v>890.96044921999999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1100.609733</v>
      </c>
      <c r="B1457" s="1">
        <f>DATE(2013,5,5) + TIME(14,38,0)</f>
        <v>41399.609722222223</v>
      </c>
      <c r="C1457">
        <v>80</v>
      </c>
      <c r="D1457">
        <v>79.902252196999996</v>
      </c>
      <c r="E1457">
        <v>50</v>
      </c>
      <c r="F1457">
        <v>48.993419647000003</v>
      </c>
      <c r="G1457">
        <v>1643.4486084</v>
      </c>
      <c r="H1457">
        <v>1515.6380615</v>
      </c>
      <c r="I1457">
        <v>1079.0218506000001</v>
      </c>
      <c r="J1457">
        <v>885.25280762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1100.859422</v>
      </c>
      <c r="B1458" s="1">
        <f>DATE(2013,5,5) + TIME(20,37,34)</f>
        <v>41399.8594212963</v>
      </c>
      <c r="C1458">
        <v>80</v>
      </c>
      <c r="D1458">
        <v>79.924232482999997</v>
      </c>
      <c r="E1458">
        <v>50</v>
      </c>
      <c r="F1458">
        <v>48.973541259999998</v>
      </c>
      <c r="G1458">
        <v>1648.7165527</v>
      </c>
      <c r="H1458">
        <v>1520.9869385</v>
      </c>
      <c r="I1458">
        <v>1073.4339600000001</v>
      </c>
      <c r="J1458">
        <v>879.64831543000003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1101.1100839999999</v>
      </c>
      <c r="B1459" s="1">
        <f>DATE(2013,5,6) + TIME(2,38,31)</f>
        <v>41400.110081018516</v>
      </c>
      <c r="C1459">
        <v>80</v>
      </c>
      <c r="D1459">
        <v>79.940528869999994</v>
      </c>
      <c r="E1459">
        <v>50</v>
      </c>
      <c r="F1459">
        <v>48.953533172999997</v>
      </c>
      <c r="G1459">
        <v>1653.7226562000001</v>
      </c>
      <c r="H1459">
        <v>1526.0633545000001</v>
      </c>
      <c r="I1459">
        <v>1068.1058350000001</v>
      </c>
      <c r="J1459">
        <v>874.30377196999996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1101.3628859999999</v>
      </c>
      <c r="B1460" s="1">
        <f>DATE(2013,5,6) + TIME(8,42,33)</f>
        <v>41400.362881944442</v>
      </c>
      <c r="C1460">
        <v>80</v>
      </c>
      <c r="D1460">
        <v>79.952583313000005</v>
      </c>
      <c r="E1460">
        <v>50</v>
      </c>
      <c r="F1460">
        <v>48.933380127</v>
      </c>
      <c r="G1460">
        <v>1658.5177002</v>
      </c>
      <c r="H1460">
        <v>1530.9197998</v>
      </c>
      <c r="I1460">
        <v>1062.9948730000001</v>
      </c>
      <c r="J1460">
        <v>869.17639159999999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1101.6189609999999</v>
      </c>
      <c r="B1461" s="1">
        <f>DATE(2013,5,6) + TIME(14,51,18)</f>
        <v>41400.618958333333</v>
      </c>
      <c r="C1461">
        <v>80</v>
      </c>
      <c r="D1461">
        <v>79.961418151999993</v>
      </c>
      <c r="E1461">
        <v>50</v>
      </c>
      <c r="F1461">
        <v>48.913047790999997</v>
      </c>
      <c r="G1461">
        <v>1663.1373291</v>
      </c>
      <c r="H1461">
        <v>1535.5935059000001</v>
      </c>
      <c r="I1461">
        <v>1058.0651855000001</v>
      </c>
      <c r="J1461">
        <v>864.23028564000003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1101.8793909999999</v>
      </c>
      <c r="B1462" s="1">
        <f>DATE(2013,5,6) + TIME(21,6,19)</f>
        <v>41400.879386574074</v>
      </c>
      <c r="C1462">
        <v>80</v>
      </c>
      <c r="D1462">
        <v>79.967819214000002</v>
      </c>
      <c r="E1462">
        <v>50</v>
      </c>
      <c r="F1462">
        <v>48.892494202000002</v>
      </c>
      <c r="G1462">
        <v>1667.6087646000001</v>
      </c>
      <c r="H1462">
        <v>1540.1132812000001</v>
      </c>
      <c r="I1462">
        <v>1053.2869873</v>
      </c>
      <c r="J1462">
        <v>859.43560791000004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1102.1452529999999</v>
      </c>
      <c r="B1463" s="1">
        <f>DATE(2013,5,7) + TIME(3,29,9)</f>
        <v>41401.145243055558</v>
      </c>
      <c r="C1463">
        <v>80</v>
      </c>
      <c r="D1463">
        <v>79.972351074000002</v>
      </c>
      <c r="E1463">
        <v>50</v>
      </c>
      <c r="F1463">
        <v>48.871665954999997</v>
      </c>
      <c r="G1463">
        <v>1671.9547118999999</v>
      </c>
      <c r="H1463">
        <v>1544.5029297000001</v>
      </c>
      <c r="I1463">
        <v>1048.6350098</v>
      </c>
      <c r="J1463">
        <v>854.76715088000003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1102.41768</v>
      </c>
      <c r="B1464" s="1">
        <f>DATE(2013,5,7) + TIME(10,1,27)</f>
        <v>41401.417673611111</v>
      </c>
      <c r="C1464">
        <v>80</v>
      </c>
      <c r="D1464">
        <v>79.975456238000007</v>
      </c>
      <c r="E1464">
        <v>50</v>
      </c>
      <c r="F1464">
        <v>48.850509643999999</v>
      </c>
      <c r="G1464">
        <v>1676.1953125</v>
      </c>
      <c r="H1464">
        <v>1548.7834473</v>
      </c>
      <c r="I1464">
        <v>1044.0870361</v>
      </c>
      <c r="J1464">
        <v>850.20245361000002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1102.6980100000001</v>
      </c>
      <c r="B1465" s="1">
        <f>DATE(2013,5,7) + TIME(16,45,8)</f>
        <v>41401.698009259257</v>
      </c>
      <c r="C1465">
        <v>80</v>
      </c>
      <c r="D1465">
        <v>79.977462768999999</v>
      </c>
      <c r="E1465">
        <v>50</v>
      </c>
      <c r="F1465">
        <v>48.828945160000004</v>
      </c>
      <c r="G1465">
        <v>1680.3503418</v>
      </c>
      <c r="H1465">
        <v>1552.9754639</v>
      </c>
      <c r="I1465">
        <v>1039.6208495999999</v>
      </c>
      <c r="J1465">
        <v>845.71948241999996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1102.987345</v>
      </c>
      <c r="B1466" s="1">
        <f>DATE(2013,5,7) + TIME(23,41,46)</f>
        <v>41401.987337962964</v>
      </c>
      <c r="C1466">
        <v>80</v>
      </c>
      <c r="D1466">
        <v>79.978637695000003</v>
      </c>
      <c r="E1466">
        <v>50</v>
      </c>
      <c r="F1466">
        <v>48.806903839</v>
      </c>
      <c r="G1466">
        <v>1684.4324951000001</v>
      </c>
      <c r="H1466">
        <v>1557.0921631000001</v>
      </c>
      <c r="I1466">
        <v>1035.2216797000001</v>
      </c>
      <c r="J1466">
        <v>841.30328368999994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1103.2870949999999</v>
      </c>
      <c r="B1467" s="1">
        <f>DATE(2013,5,8) + TIME(6,53,25)</f>
        <v>41402.287094907406</v>
      </c>
      <c r="C1467">
        <v>80</v>
      </c>
      <c r="D1467">
        <v>79.979164123999993</v>
      </c>
      <c r="E1467">
        <v>50</v>
      </c>
      <c r="F1467">
        <v>48.784305572999997</v>
      </c>
      <c r="G1467">
        <v>1688.4566649999999</v>
      </c>
      <c r="H1467">
        <v>1561.1489257999999</v>
      </c>
      <c r="I1467">
        <v>1030.8729248</v>
      </c>
      <c r="J1467">
        <v>836.93725586000005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1103.598845</v>
      </c>
      <c r="B1468" s="1">
        <f>DATE(2013,5,8) + TIME(14,22,20)</f>
        <v>41402.59884259259</v>
      </c>
      <c r="C1468">
        <v>80</v>
      </c>
      <c r="D1468">
        <v>79.979202271000005</v>
      </c>
      <c r="E1468">
        <v>50</v>
      </c>
      <c r="F1468">
        <v>48.761051178000002</v>
      </c>
      <c r="G1468">
        <v>1692.4366454999999</v>
      </c>
      <c r="H1468">
        <v>1565.1599120999999</v>
      </c>
      <c r="I1468">
        <v>1026.5587158000001</v>
      </c>
      <c r="J1468">
        <v>832.60540771000001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1103.924409</v>
      </c>
      <c r="B1469" s="1">
        <f>DATE(2013,5,8) + TIME(22,11,8)</f>
        <v>41402.924398148149</v>
      </c>
      <c r="C1469">
        <v>80</v>
      </c>
      <c r="D1469">
        <v>79.978866577000005</v>
      </c>
      <c r="E1469">
        <v>50</v>
      </c>
      <c r="F1469">
        <v>48.737037659000002</v>
      </c>
      <c r="G1469">
        <v>1696.3859863</v>
      </c>
      <c r="H1469">
        <v>1569.1390381000001</v>
      </c>
      <c r="I1469">
        <v>1022.2636108</v>
      </c>
      <c r="J1469">
        <v>828.29229736000002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1104.265813</v>
      </c>
      <c r="B1470" s="1">
        <f>DATE(2013,5,9) + TIME(6,22,46)</f>
        <v>41403.265810185185</v>
      </c>
      <c r="C1470">
        <v>80</v>
      </c>
      <c r="D1470">
        <v>79.978256225999999</v>
      </c>
      <c r="E1470">
        <v>50</v>
      </c>
      <c r="F1470">
        <v>48.712139129999997</v>
      </c>
      <c r="G1470">
        <v>1700.3171387</v>
      </c>
      <c r="H1470">
        <v>1573.098999</v>
      </c>
      <c r="I1470">
        <v>1017.9730835</v>
      </c>
      <c r="J1470">
        <v>823.98321533000001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1104.6252340000001</v>
      </c>
      <c r="B1471" s="1">
        <f>DATE(2013,5,9) + TIME(15,0,20)</f>
        <v>41403.625231481485</v>
      </c>
      <c r="C1471">
        <v>80</v>
      </c>
      <c r="D1471">
        <v>79.977432250999996</v>
      </c>
      <c r="E1471">
        <v>50</v>
      </c>
      <c r="F1471">
        <v>48.686237335000001</v>
      </c>
      <c r="G1471">
        <v>1704.2408447</v>
      </c>
      <c r="H1471">
        <v>1577.0506591999999</v>
      </c>
      <c r="I1471">
        <v>1013.6743774</v>
      </c>
      <c r="J1471">
        <v>819.66540526999995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1105.001663</v>
      </c>
      <c r="B1472" s="1">
        <f>DATE(2013,5,10) + TIME(0,2,23)</f>
        <v>41404.001655092594</v>
      </c>
      <c r="C1472">
        <v>80</v>
      </c>
      <c r="D1472">
        <v>79.976455688000001</v>
      </c>
      <c r="E1472">
        <v>50</v>
      </c>
      <c r="F1472">
        <v>48.659343718999999</v>
      </c>
      <c r="G1472">
        <v>1708.1297606999999</v>
      </c>
      <c r="H1472">
        <v>1580.9669189000001</v>
      </c>
      <c r="I1472">
        <v>1009.3928223</v>
      </c>
      <c r="J1472">
        <v>815.36419678000004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1105.397696</v>
      </c>
      <c r="B1473" s="1">
        <f>DATE(2013,5,10) + TIME(9,32,40)</f>
        <v>41404.397685185184</v>
      </c>
      <c r="C1473">
        <v>80</v>
      </c>
      <c r="D1473">
        <v>79.975372313999998</v>
      </c>
      <c r="E1473">
        <v>50</v>
      </c>
      <c r="F1473">
        <v>48.631328582999998</v>
      </c>
      <c r="G1473">
        <v>1711.9992675999999</v>
      </c>
      <c r="H1473">
        <v>1584.8630370999999</v>
      </c>
      <c r="I1473">
        <v>1005.1132812</v>
      </c>
      <c r="J1473">
        <v>811.06439208999996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1105.811248</v>
      </c>
      <c r="B1474" s="1">
        <f>DATE(2013,5,10) + TIME(19,28,11)</f>
        <v>41404.811238425929</v>
      </c>
      <c r="C1474">
        <v>80</v>
      </c>
      <c r="D1474">
        <v>79.974227905000006</v>
      </c>
      <c r="E1474">
        <v>50</v>
      </c>
      <c r="F1474">
        <v>48.602268219000003</v>
      </c>
      <c r="G1474">
        <v>1715.8140868999999</v>
      </c>
      <c r="H1474">
        <v>1588.7038574000001</v>
      </c>
      <c r="I1474">
        <v>1000.8701782000001</v>
      </c>
      <c r="J1474">
        <v>806.80047606999995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1106.22624</v>
      </c>
      <c r="B1475" s="1">
        <f>DATE(2013,5,11) + TIME(5,25,47)</f>
        <v>41405.226238425923</v>
      </c>
      <c r="C1475">
        <v>80</v>
      </c>
      <c r="D1475">
        <v>79.973068237000007</v>
      </c>
      <c r="E1475">
        <v>50</v>
      </c>
      <c r="F1475">
        <v>48.572883605999998</v>
      </c>
      <c r="G1475">
        <v>1719.4215088000001</v>
      </c>
      <c r="H1475">
        <v>1592.3366699000001</v>
      </c>
      <c r="I1475">
        <v>996.82092284999999</v>
      </c>
      <c r="J1475">
        <v>802.73046875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1106.644356</v>
      </c>
      <c r="B1476" s="1">
        <f>DATE(2013,5,11) + TIME(15,27,52)</f>
        <v>41405.64435185185</v>
      </c>
      <c r="C1476">
        <v>80</v>
      </c>
      <c r="D1476">
        <v>79.971946716000005</v>
      </c>
      <c r="E1476">
        <v>50</v>
      </c>
      <c r="F1476">
        <v>48.543243408000002</v>
      </c>
      <c r="G1476">
        <v>1722.8598632999999</v>
      </c>
      <c r="H1476">
        <v>1595.7985839999999</v>
      </c>
      <c r="I1476">
        <v>992.93817138999998</v>
      </c>
      <c r="J1476">
        <v>798.82684326000003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1107.0673220000001</v>
      </c>
      <c r="B1477" s="1">
        <f>DATE(2013,5,12) + TIME(1,36,56)</f>
        <v>41406.067314814813</v>
      </c>
      <c r="C1477">
        <v>80</v>
      </c>
      <c r="D1477">
        <v>79.970863342000001</v>
      </c>
      <c r="E1477">
        <v>50</v>
      </c>
      <c r="F1477">
        <v>48.513351440000001</v>
      </c>
      <c r="G1477">
        <v>1726.1555175999999</v>
      </c>
      <c r="H1477">
        <v>1599.1164550999999</v>
      </c>
      <c r="I1477">
        <v>989.19744873000002</v>
      </c>
      <c r="J1477">
        <v>795.06512451000003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1107.496821</v>
      </c>
      <c r="B1478" s="1">
        <f>DATE(2013,5,12) + TIME(11,55,25)</f>
        <v>41406.496817129628</v>
      </c>
      <c r="C1478">
        <v>80</v>
      </c>
      <c r="D1478">
        <v>79.969825744999994</v>
      </c>
      <c r="E1478">
        <v>50</v>
      </c>
      <c r="F1478">
        <v>48.483173370000003</v>
      </c>
      <c r="G1478">
        <v>1729.3286132999999</v>
      </c>
      <c r="H1478">
        <v>1602.3106689000001</v>
      </c>
      <c r="I1478">
        <v>985.578125</v>
      </c>
      <c r="J1478">
        <v>791.42462158000001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1107.9345470000001</v>
      </c>
      <c r="B1479" s="1">
        <f>DATE(2013,5,12) + TIME(22,25,44)</f>
        <v>41406.934537037036</v>
      </c>
      <c r="C1479">
        <v>80</v>
      </c>
      <c r="D1479">
        <v>79.968833923000005</v>
      </c>
      <c r="E1479">
        <v>50</v>
      </c>
      <c r="F1479">
        <v>48.452644348</v>
      </c>
      <c r="G1479">
        <v>1732.3959961</v>
      </c>
      <c r="H1479">
        <v>1605.3979492000001</v>
      </c>
      <c r="I1479">
        <v>982.0625</v>
      </c>
      <c r="J1479">
        <v>787.88763428000004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1108.382249</v>
      </c>
      <c r="B1480" s="1">
        <f>DATE(2013,5,13) + TIME(9,10,26)</f>
        <v>41407.382245370369</v>
      </c>
      <c r="C1480">
        <v>80</v>
      </c>
      <c r="D1480">
        <v>79.967880249000004</v>
      </c>
      <c r="E1480">
        <v>50</v>
      </c>
      <c r="F1480">
        <v>48.421676636000001</v>
      </c>
      <c r="G1480">
        <v>1735.3718262</v>
      </c>
      <c r="H1480">
        <v>1608.3928223</v>
      </c>
      <c r="I1480">
        <v>978.63513183999999</v>
      </c>
      <c r="J1480">
        <v>784.43872069999998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1108.8420619999999</v>
      </c>
      <c r="B1481" s="1">
        <f>DATE(2013,5,13) + TIME(20,12,34)</f>
        <v>41407.842060185183</v>
      </c>
      <c r="C1481">
        <v>80</v>
      </c>
      <c r="D1481">
        <v>79.966964722</v>
      </c>
      <c r="E1481">
        <v>50</v>
      </c>
      <c r="F1481">
        <v>48.390171051000003</v>
      </c>
      <c r="G1481">
        <v>1738.2703856999999</v>
      </c>
      <c r="H1481">
        <v>1611.3096923999999</v>
      </c>
      <c r="I1481">
        <v>975.28039550999995</v>
      </c>
      <c r="J1481">
        <v>781.06207274999997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1109.3158490000001</v>
      </c>
      <c r="B1482" s="1">
        <f>DATE(2013,5,14) + TIME(7,34,49)</f>
        <v>41408.315844907411</v>
      </c>
      <c r="C1482">
        <v>80</v>
      </c>
      <c r="D1482">
        <v>79.966079711999996</v>
      </c>
      <c r="E1482">
        <v>50</v>
      </c>
      <c r="F1482">
        <v>48.358016968000001</v>
      </c>
      <c r="G1482">
        <v>1741.1016846</v>
      </c>
      <c r="H1482">
        <v>1614.1585693</v>
      </c>
      <c r="I1482">
        <v>971.98712158000001</v>
      </c>
      <c r="J1482">
        <v>777.74658203000001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1109.8057819999999</v>
      </c>
      <c r="B1483" s="1">
        <f>DATE(2013,5,14) + TIME(19,20,19)</f>
        <v>41408.805775462963</v>
      </c>
      <c r="C1483">
        <v>80</v>
      </c>
      <c r="D1483">
        <v>79.965232849000003</v>
      </c>
      <c r="E1483">
        <v>50</v>
      </c>
      <c r="F1483">
        <v>48.325092316000003</v>
      </c>
      <c r="G1483">
        <v>1743.8753661999999</v>
      </c>
      <c r="H1483">
        <v>1616.9492187999999</v>
      </c>
      <c r="I1483">
        <v>968.74438477000001</v>
      </c>
      <c r="J1483">
        <v>774.48114013999998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1110.3143809999999</v>
      </c>
      <c r="B1484" s="1">
        <f>DATE(2013,5,15) + TIME(7,32,42)</f>
        <v>41409.314375000002</v>
      </c>
      <c r="C1484">
        <v>80</v>
      </c>
      <c r="D1484">
        <v>79.964408875000004</v>
      </c>
      <c r="E1484">
        <v>50</v>
      </c>
      <c r="F1484">
        <v>48.291259766000003</v>
      </c>
      <c r="G1484">
        <v>1746.6009521000001</v>
      </c>
      <c r="H1484">
        <v>1619.6912841999999</v>
      </c>
      <c r="I1484">
        <v>965.54132079999999</v>
      </c>
      <c r="J1484">
        <v>771.25482178000004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1110.8445409999999</v>
      </c>
      <c r="B1485" s="1">
        <f>DATE(2013,5,15) + TIME(20,16,8)</f>
        <v>41409.844537037039</v>
      </c>
      <c r="C1485">
        <v>80</v>
      </c>
      <c r="D1485">
        <v>79.963615417</v>
      </c>
      <c r="E1485">
        <v>50</v>
      </c>
      <c r="F1485">
        <v>48.256366730000003</v>
      </c>
      <c r="G1485">
        <v>1749.2874756000001</v>
      </c>
      <c r="H1485">
        <v>1622.3936768000001</v>
      </c>
      <c r="I1485">
        <v>962.36749268000005</v>
      </c>
      <c r="J1485">
        <v>768.05706786999997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1111.399539</v>
      </c>
      <c r="B1486" s="1">
        <f>DATE(2013,5,16) + TIME(9,35,20)</f>
        <v>41410.399537037039</v>
      </c>
      <c r="C1486">
        <v>80</v>
      </c>
      <c r="D1486">
        <v>79.962837218999994</v>
      </c>
      <c r="E1486">
        <v>50</v>
      </c>
      <c r="F1486">
        <v>48.220233917000002</v>
      </c>
      <c r="G1486">
        <v>1751.9429932</v>
      </c>
      <c r="H1486">
        <v>1625.0648193</v>
      </c>
      <c r="I1486">
        <v>959.21307373000002</v>
      </c>
      <c r="J1486">
        <v>764.87799071999996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1111.9833550000001</v>
      </c>
      <c r="B1487" s="1">
        <f>DATE(2013,5,16) + TIME(23,36,1)</f>
        <v>41410.983344907407</v>
      </c>
      <c r="C1487">
        <v>80</v>
      </c>
      <c r="D1487">
        <v>79.962089539000004</v>
      </c>
      <c r="E1487">
        <v>50</v>
      </c>
      <c r="F1487">
        <v>48.182659149000003</v>
      </c>
      <c r="G1487">
        <v>1754.5765381000001</v>
      </c>
      <c r="H1487">
        <v>1627.7133789</v>
      </c>
      <c r="I1487">
        <v>956.06762694999998</v>
      </c>
      <c r="J1487">
        <v>761.70690918000003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1112.600784</v>
      </c>
      <c r="B1488" s="1">
        <f>DATE(2013,5,17) + TIME(14,25,7)</f>
        <v>41411.600775462961</v>
      </c>
      <c r="C1488">
        <v>80</v>
      </c>
      <c r="D1488">
        <v>79.961357117000006</v>
      </c>
      <c r="E1488">
        <v>50</v>
      </c>
      <c r="F1488">
        <v>48.143394469999997</v>
      </c>
      <c r="G1488">
        <v>1757.1967772999999</v>
      </c>
      <c r="H1488">
        <v>1630.3486327999999</v>
      </c>
      <c r="I1488">
        <v>952.92028808999999</v>
      </c>
      <c r="J1488">
        <v>758.53277588000003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1113.221419</v>
      </c>
      <c r="B1489" s="1">
        <f>DATE(2013,5,18) + TIME(5,18,50)</f>
        <v>41412.221412037034</v>
      </c>
      <c r="C1489">
        <v>80</v>
      </c>
      <c r="D1489">
        <v>79.960655212000006</v>
      </c>
      <c r="E1489">
        <v>50</v>
      </c>
      <c r="F1489">
        <v>48.103389739999997</v>
      </c>
      <c r="G1489">
        <v>1759.6601562000001</v>
      </c>
      <c r="H1489">
        <v>1632.8266602000001</v>
      </c>
      <c r="I1489">
        <v>949.92199706999997</v>
      </c>
      <c r="J1489">
        <v>755.50762939000003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1113.8432130000001</v>
      </c>
      <c r="B1490" s="1">
        <f>DATE(2013,5,18) + TIME(20,14,13)</f>
        <v>41412.843206018515</v>
      </c>
      <c r="C1490">
        <v>80</v>
      </c>
      <c r="D1490">
        <v>79.959999084000003</v>
      </c>
      <c r="E1490">
        <v>50</v>
      </c>
      <c r="F1490">
        <v>48.063072204999997</v>
      </c>
      <c r="G1490">
        <v>1761.9781493999999</v>
      </c>
      <c r="H1490">
        <v>1635.1583252</v>
      </c>
      <c r="I1490">
        <v>947.07391356999995</v>
      </c>
      <c r="J1490">
        <v>752.63232421999999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1114.46804</v>
      </c>
      <c r="B1491" s="1">
        <f>DATE(2013,5,19) + TIME(11,13,58)</f>
        <v>41413.468032407407</v>
      </c>
      <c r="C1491">
        <v>80</v>
      </c>
      <c r="D1491">
        <v>79.959396362000007</v>
      </c>
      <c r="E1491">
        <v>50</v>
      </c>
      <c r="F1491">
        <v>48.022598266999999</v>
      </c>
      <c r="G1491">
        <v>1764.1712646000001</v>
      </c>
      <c r="H1491">
        <v>1637.3641356999999</v>
      </c>
      <c r="I1491">
        <v>944.35913086000005</v>
      </c>
      <c r="J1491">
        <v>749.89001465000001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1115.099453</v>
      </c>
      <c r="B1492" s="1">
        <f>DATE(2013,5,20) + TIME(2,23,12)</f>
        <v>41414.099444444444</v>
      </c>
      <c r="C1492">
        <v>80</v>
      </c>
      <c r="D1492">
        <v>79.958847046000002</v>
      </c>
      <c r="E1492">
        <v>50</v>
      </c>
      <c r="F1492">
        <v>47.981929778999998</v>
      </c>
      <c r="G1492">
        <v>1766.2604980000001</v>
      </c>
      <c r="H1492">
        <v>1639.4654541</v>
      </c>
      <c r="I1492">
        <v>941.75634765999996</v>
      </c>
      <c r="J1492">
        <v>747.25946045000001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1115.7404710000001</v>
      </c>
      <c r="B1493" s="1">
        <f>DATE(2013,5,20) + TIME(17,46,16)</f>
        <v>41414.74046296296</v>
      </c>
      <c r="C1493">
        <v>80</v>
      </c>
      <c r="D1493">
        <v>79.958328246999997</v>
      </c>
      <c r="E1493">
        <v>50</v>
      </c>
      <c r="F1493">
        <v>47.940979003999999</v>
      </c>
      <c r="G1493">
        <v>1768.2606201000001</v>
      </c>
      <c r="H1493">
        <v>1641.4768065999999</v>
      </c>
      <c r="I1493">
        <v>939.24963378999996</v>
      </c>
      <c r="J1493">
        <v>744.72460937999995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1116.3942400000001</v>
      </c>
      <c r="B1494" s="1">
        <f>DATE(2013,5,21) + TIME(9,27,42)</f>
        <v>41415.394236111111</v>
      </c>
      <c r="C1494">
        <v>80</v>
      </c>
      <c r="D1494">
        <v>79.957839965999995</v>
      </c>
      <c r="E1494">
        <v>50</v>
      </c>
      <c r="F1494">
        <v>47.899593353</v>
      </c>
      <c r="G1494">
        <v>1770.1837158000001</v>
      </c>
      <c r="H1494">
        <v>1643.4105225000001</v>
      </c>
      <c r="I1494">
        <v>936.82501220999995</v>
      </c>
      <c r="J1494">
        <v>742.27148437999995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1117.0642359999999</v>
      </c>
      <c r="B1495" s="1">
        <f>DATE(2013,5,22) + TIME(1,32,29)</f>
        <v>41416.06422453704</v>
      </c>
      <c r="C1495">
        <v>80</v>
      </c>
      <c r="D1495">
        <v>79.957382202000005</v>
      </c>
      <c r="E1495">
        <v>50</v>
      </c>
      <c r="F1495">
        <v>47.857604979999998</v>
      </c>
      <c r="G1495">
        <v>1772.0406493999999</v>
      </c>
      <c r="H1495">
        <v>1645.2775879000001</v>
      </c>
      <c r="I1495">
        <v>934.46990966999999</v>
      </c>
      <c r="J1495">
        <v>739.88739013999998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1117.7542550000001</v>
      </c>
      <c r="B1496" s="1">
        <f>DATE(2013,5,22) + TIME(18,6,7)</f>
        <v>41416.754247685189</v>
      </c>
      <c r="C1496">
        <v>80</v>
      </c>
      <c r="D1496">
        <v>79.956954956000004</v>
      </c>
      <c r="E1496">
        <v>50</v>
      </c>
      <c r="F1496">
        <v>47.814807891999997</v>
      </c>
      <c r="G1496">
        <v>1773.8405762</v>
      </c>
      <c r="H1496">
        <v>1647.0872803</v>
      </c>
      <c r="I1496">
        <v>932.17327881000006</v>
      </c>
      <c r="J1496">
        <v>737.56097411999997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1118.4684520000001</v>
      </c>
      <c r="B1497" s="1">
        <f>DATE(2013,5,23) + TIME(11,14,34)</f>
        <v>41417.468449074076</v>
      </c>
      <c r="C1497">
        <v>80</v>
      </c>
      <c r="D1497">
        <v>79.956542968999997</v>
      </c>
      <c r="E1497">
        <v>50</v>
      </c>
      <c r="F1497">
        <v>47.770992278999998</v>
      </c>
      <c r="G1497">
        <v>1775.5917969</v>
      </c>
      <c r="H1497">
        <v>1648.8479004000001</v>
      </c>
      <c r="I1497">
        <v>929.92504883000004</v>
      </c>
      <c r="J1497">
        <v>735.28210449000005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1119.21174</v>
      </c>
      <c r="B1498" s="1">
        <f>DATE(2013,5,24) + TIME(5,4,54)</f>
        <v>41418.211736111109</v>
      </c>
      <c r="C1498">
        <v>80</v>
      </c>
      <c r="D1498">
        <v>79.956146239999995</v>
      </c>
      <c r="E1498">
        <v>50</v>
      </c>
      <c r="F1498">
        <v>47.725894928000002</v>
      </c>
      <c r="G1498">
        <v>1777.3018798999999</v>
      </c>
      <c r="H1498">
        <v>1650.5668945</v>
      </c>
      <c r="I1498">
        <v>927.71575928000004</v>
      </c>
      <c r="J1498">
        <v>733.04101562000005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1119.9814160000001</v>
      </c>
      <c r="B1499" s="1">
        <f>DATE(2013,5,24) + TIME(23,33,14)</f>
        <v>41418.981412037036</v>
      </c>
      <c r="C1499">
        <v>80</v>
      </c>
      <c r="D1499">
        <v>79.955764771000005</v>
      </c>
      <c r="E1499">
        <v>50</v>
      </c>
      <c r="F1499">
        <v>47.679477691999999</v>
      </c>
      <c r="G1499">
        <v>1778.9578856999999</v>
      </c>
      <c r="H1499">
        <v>1652.2315673999999</v>
      </c>
      <c r="I1499">
        <v>925.55786133000004</v>
      </c>
      <c r="J1499">
        <v>730.85021973000005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1120.381455</v>
      </c>
      <c r="B1500" s="1">
        <f>DATE(2013,5,25) + TIME(9,9,17)</f>
        <v>41419.38144675926</v>
      </c>
      <c r="C1500">
        <v>80</v>
      </c>
      <c r="D1500">
        <v>79.955383300999998</v>
      </c>
      <c r="E1500">
        <v>50</v>
      </c>
      <c r="F1500">
        <v>47.647212981999999</v>
      </c>
      <c r="G1500">
        <v>1779.6918945</v>
      </c>
      <c r="H1500">
        <v>1652.9733887</v>
      </c>
      <c r="I1500">
        <v>924.44207763999998</v>
      </c>
      <c r="J1500">
        <v>729.71569824000005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1120.781493</v>
      </c>
      <c r="B1501" s="1">
        <f>DATE(2013,5,25) + TIME(18,45,20)</f>
        <v>41419.781481481485</v>
      </c>
      <c r="C1501">
        <v>80</v>
      </c>
      <c r="D1501">
        <v>79.955139160000002</v>
      </c>
      <c r="E1501">
        <v>50</v>
      </c>
      <c r="F1501">
        <v>47.617588042999998</v>
      </c>
      <c r="G1501">
        <v>1780.4360352000001</v>
      </c>
      <c r="H1501">
        <v>1653.7220459</v>
      </c>
      <c r="I1501">
        <v>923.37585449000005</v>
      </c>
      <c r="J1501">
        <v>728.62670897999999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1121.1815309999999</v>
      </c>
      <c r="B1502" s="1">
        <f>DATE(2013,5,26) + TIME(4,21,24)</f>
        <v>41420.181527777779</v>
      </c>
      <c r="C1502">
        <v>80</v>
      </c>
      <c r="D1502">
        <v>79.954978943</v>
      </c>
      <c r="E1502">
        <v>50</v>
      </c>
      <c r="F1502">
        <v>47.589698792</v>
      </c>
      <c r="G1502">
        <v>1781.177124</v>
      </c>
      <c r="H1502">
        <v>1654.4671631000001</v>
      </c>
      <c r="I1502">
        <v>922.34350586000005</v>
      </c>
      <c r="J1502">
        <v>727.57299805000002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1121.5815700000001</v>
      </c>
      <c r="B1503" s="1">
        <f>DATE(2013,5,26) + TIME(13,57,27)</f>
        <v>41420.581562500003</v>
      </c>
      <c r="C1503">
        <v>80</v>
      </c>
      <c r="D1503">
        <v>79.954841614000003</v>
      </c>
      <c r="E1503">
        <v>50</v>
      </c>
      <c r="F1503">
        <v>47.562965392999999</v>
      </c>
      <c r="G1503">
        <v>1781.9034423999999</v>
      </c>
      <c r="H1503">
        <v>1655.1973877</v>
      </c>
      <c r="I1503">
        <v>921.34277343999997</v>
      </c>
      <c r="J1503">
        <v>726.55200194999998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1122.3816469999999</v>
      </c>
      <c r="B1504" s="1">
        <f>DATE(2013,5,27) + TIME(9,9,34)</f>
        <v>41421.381643518522</v>
      </c>
      <c r="C1504">
        <v>80</v>
      </c>
      <c r="D1504">
        <v>79.954788207999997</v>
      </c>
      <c r="E1504">
        <v>50</v>
      </c>
      <c r="F1504">
        <v>47.524459839000002</v>
      </c>
      <c r="G1504">
        <v>1783.4046631000001</v>
      </c>
      <c r="H1504">
        <v>1656.7025146000001</v>
      </c>
      <c r="I1504">
        <v>919.49639893000005</v>
      </c>
      <c r="J1504">
        <v>724.67315673999997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1123.1822560000001</v>
      </c>
      <c r="B1505" s="1">
        <f>DATE(2013,5,28) + TIME(4,22,26)</f>
        <v>41422.182245370372</v>
      </c>
      <c r="C1505">
        <v>80</v>
      </c>
      <c r="D1505">
        <v>79.954528808999996</v>
      </c>
      <c r="E1505">
        <v>50</v>
      </c>
      <c r="F1505">
        <v>47.480743408000002</v>
      </c>
      <c r="G1505">
        <v>1784.7437743999999</v>
      </c>
      <c r="H1505">
        <v>1658.0484618999999</v>
      </c>
      <c r="I1505">
        <v>917.73284911999997</v>
      </c>
      <c r="J1505">
        <v>722.87854003999996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1123.993516</v>
      </c>
      <c r="B1506" s="1">
        <f>DATE(2013,5,28) + TIME(23,50,39)</f>
        <v>41422.993506944447</v>
      </c>
      <c r="C1506">
        <v>80</v>
      </c>
      <c r="D1506">
        <v>79.954238892000006</v>
      </c>
      <c r="E1506">
        <v>50</v>
      </c>
      <c r="F1506">
        <v>47.434326171999999</v>
      </c>
      <c r="G1506">
        <v>1785.9874268000001</v>
      </c>
      <c r="H1506">
        <v>1659.2984618999999</v>
      </c>
      <c r="I1506">
        <v>916.04479979999996</v>
      </c>
      <c r="J1506">
        <v>721.15612793000003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1124.8193570000001</v>
      </c>
      <c r="B1507" s="1">
        <f>DATE(2013,5,29) + TIME(19,39,52)</f>
        <v>41423.819351851853</v>
      </c>
      <c r="C1507">
        <v>80</v>
      </c>
      <c r="D1507">
        <v>79.953956603999998</v>
      </c>
      <c r="E1507">
        <v>50</v>
      </c>
      <c r="F1507">
        <v>47.386249542000002</v>
      </c>
      <c r="G1507">
        <v>1787.1599120999999</v>
      </c>
      <c r="H1507">
        <v>1660.4770507999999</v>
      </c>
      <c r="I1507">
        <v>914.42370604999996</v>
      </c>
      <c r="J1507">
        <v>719.49847411999997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1125.6603439999999</v>
      </c>
      <c r="B1508" s="1">
        <f>DATE(2013,5,30) + TIME(15,50,53)</f>
        <v>41424.66033564815</v>
      </c>
      <c r="C1508">
        <v>80</v>
      </c>
      <c r="D1508">
        <v>79.953704834000007</v>
      </c>
      <c r="E1508">
        <v>50</v>
      </c>
      <c r="F1508">
        <v>47.337009430000002</v>
      </c>
      <c r="G1508">
        <v>1788.2678223</v>
      </c>
      <c r="H1508">
        <v>1661.5908202999999</v>
      </c>
      <c r="I1508">
        <v>912.86743163999995</v>
      </c>
      <c r="J1508">
        <v>717.90399170000001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1126.520487</v>
      </c>
      <c r="B1509" s="1">
        <f>DATE(2013,5,31) + TIME(12,29,30)</f>
        <v>41425.520486111112</v>
      </c>
      <c r="C1509">
        <v>80</v>
      </c>
      <c r="D1509">
        <v>79.953475952000005</v>
      </c>
      <c r="E1509">
        <v>50</v>
      </c>
      <c r="F1509">
        <v>47.286735534999998</v>
      </c>
      <c r="G1509">
        <v>1789.3197021000001</v>
      </c>
      <c r="H1509">
        <v>1662.6481934000001</v>
      </c>
      <c r="I1509">
        <v>911.36889647999999</v>
      </c>
      <c r="J1509">
        <v>716.36553954999999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1127</v>
      </c>
      <c r="B1510" s="1">
        <f>DATE(2013,6,1) + TIME(0,0,0)</f>
        <v>41426</v>
      </c>
      <c r="C1510">
        <v>80</v>
      </c>
      <c r="D1510">
        <v>79.953201293999996</v>
      </c>
      <c r="E1510">
        <v>50</v>
      </c>
      <c r="F1510">
        <v>47.249729156000001</v>
      </c>
      <c r="G1510">
        <v>1789.8027344</v>
      </c>
      <c r="H1510">
        <v>1663.1361084</v>
      </c>
      <c r="I1510">
        <v>910.52856444999998</v>
      </c>
      <c r="J1510">
        <v>715.49914550999995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1127.883873</v>
      </c>
      <c r="B1511" s="1">
        <f>DATE(2013,6,1) + TIME(21,12,46)</f>
        <v>41426.88386574074</v>
      </c>
      <c r="C1511">
        <v>80</v>
      </c>
      <c r="D1511">
        <v>79.953132628999995</v>
      </c>
      <c r="E1511">
        <v>50</v>
      </c>
      <c r="F1511">
        <v>47.202922821000001</v>
      </c>
      <c r="G1511">
        <v>1790.8031006000001</v>
      </c>
      <c r="H1511">
        <v>1664.1397704999999</v>
      </c>
      <c r="I1511">
        <v>909.15045166000004</v>
      </c>
      <c r="J1511">
        <v>714.07763671999999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1128.815032</v>
      </c>
      <c r="B1512" s="1">
        <f>DATE(2013,6,2) + TIME(19,33,38)</f>
        <v>41427.815023148149</v>
      </c>
      <c r="C1512">
        <v>80</v>
      </c>
      <c r="D1512">
        <v>79.952980041999993</v>
      </c>
      <c r="E1512">
        <v>50</v>
      </c>
      <c r="F1512">
        <v>47.151988983000003</v>
      </c>
      <c r="G1512">
        <v>1791.7609863</v>
      </c>
      <c r="H1512">
        <v>1665.1022949000001</v>
      </c>
      <c r="I1512">
        <v>907.77307128999996</v>
      </c>
      <c r="J1512">
        <v>712.65802001999998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1129.297088</v>
      </c>
      <c r="B1513" s="1">
        <f>DATE(2013,6,3) + TIME(7,7,48)</f>
        <v>41428.297083333331</v>
      </c>
      <c r="C1513">
        <v>80</v>
      </c>
      <c r="D1513">
        <v>79.952728270999998</v>
      </c>
      <c r="E1513">
        <v>50</v>
      </c>
      <c r="F1513">
        <v>47.114543914999999</v>
      </c>
      <c r="G1513">
        <v>1792.1453856999999</v>
      </c>
      <c r="H1513">
        <v>1665.4910889</v>
      </c>
      <c r="I1513">
        <v>907.04217529000005</v>
      </c>
      <c r="J1513">
        <v>711.89965819999998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1129.779143</v>
      </c>
      <c r="B1514" s="1">
        <f>DATE(2013,6,3) + TIME(18,41,57)</f>
        <v>41428.779131944444</v>
      </c>
      <c r="C1514">
        <v>80</v>
      </c>
      <c r="D1514">
        <v>79.952583313000005</v>
      </c>
      <c r="E1514">
        <v>50</v>
      </c>
      <c r="F1514">
        <v>47.080612183</v>
      </c>
      <c r="G1514">
        <v>1792.5369873</v>
      </c>
      <c r="H1514">
        <v>1665.8852539</v>
      </c>
      <c r="I1514">
        <v>906.35705566000001</v>
      </c>
      <c r="J1514">
        <v>711.18353271000001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1130.261199</v>
      </c>
      <c r="B1515" s="1">
        <f>DATE(2013,6,4) + TIME(6,16,7)</f>
        <v>41429.261192129627</v>
      </c>
      <c r="C1515">
        <v>80</v>
      </c>
      <c r="D1515">
        <v>79.952507018999995</v>
      </c>
      <c r="E1515">
        <v>50</v>
      </c>
      <c r="F1515">
        <v>47.048835754000002</v>
      </c>
      <c r="G1515">
        <v>1792.9301757999999</v>
      </c>
      <c r="H1515">
        <v>1666.2807617000001</v>
      </c>
      <c r="I1515">
        <v>905.69744873000002</v>
      </c>
      <c r="J1515">
        <v>710.49487305000002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1130.743254</v>
      </c>
      <c r="B1516" s="1">
        <f>DATE(2013,6,4) + TIME(17,50,17)</f>
        <v>41429.743252314816</v>
      </c>
      <c r="C1516">
        <v>80</v>
      </c>
      <c r="D1516">
        <v>79.952445983999993</v>
      </c>
      <c r="E1516">
        <v>50</v>
      </c>
      <c r="F1516">
        <v>47.018394469999997</v>
      </c>
      <c r="G1516">
        <v>1793.3157959</v>
      </c>
      <c r="H1516">
        <v>1666.668457</v>
      </c>
      <c r="I1516">
        <v>905.06103515999996</v>
      </c>
      <c r="J1516">
        <v>709.83050536999997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1131.22531</v>
      </c>
      <c r="B1517" s="1">
        <f>DATE(2013,6,5) + TIME(5,24,26)</f>
        <v>41430.225300925929</v>
      </c>
      <c r="C1517">
        <v>80</v>
      </c>
      <c r="D1517">
        <v>79.952392578000001</v>
      </c>
      <c r="E1517">
        <v>50</v>
      </c>
      <c r="F1517">
        <v>46.988788605000003</v>
      </c>
      <c r="G1517">
        <v>1793.6894531</v>
      </c>
      <c r="H1517">
        <v>1667.0441894999999</v>
      </c>
      <c r="I1517">
        <v>904.44622803000004</v>
      </c>
      <c r="J1517">
        <v>709.18841553000004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1131.7073660000001</v>
      </c>
      <c r="B1518" s="1">
        <f>DATE(2013,6,5) + TIME(16,58,36)</f>
        <v>41430.707361111112</v>
      </c>
      <c r="C1518">
        <v>80</v>
      </c>
      <c r="D1518">
        <v>79.952346801999994</v>
      </c>
      <c r="E1518">
        <v>50</v>
      </c>
      <c r="F1518">
        <v>46.959705352999997</v>
      </c>
      <c r="G1518">
        <v>1794.0494385</v>
      </c>
      <c r="H1518">
        <v>1667.4061279</v>
      </c>
      <c r="I1518">
        <v>903.85192871000004</v>
      </c>
      <c r="J1518">
        <v>708.56695557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1132.6714770000001</v>
      </c>
      <c r="B1519" s="1">
        <f>DATE(2013,6,6) + TIME(16,6,55)</f>
        <v>41431.671469907407</v>
      </c>
      <c r="C1519">
        <v>80</v>
      </c>
      <c r="D1519">
        <v>79.952400208</v>
      </c>
      <c r="E1519">
        <v>50</v>
      </c>
      <c r="F1519">
        <v>46.918304442999997</v>
      </c>
      <c r="G1519">
        <v>1794.8271483999999</v>
      </c>
      <c r="H1519">
        <v>1668.1860352000001</v>
      </c>
      <c r="I1519">
        <v>902.79443359000004</v>
      </c>
      <c r="J1519">
        <v>707.46734618999994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1133.6394700000001</v>
      </c>
      <c r="B1520" s="1">
        <f>DATE(2013,6,7) + TIME(15,20,50)</f>
        <v>41432.639467592591</v>
      </c>
      <c r="C1520">
        <v>80</v>
      </c>
      <c r="D1520">
        <v>79.952278136999993</v>
      </c>
      <c r="E1520">
        <v>50</v>
      </c>
      <c r="F1520">
        <v>46.868591309000003</v>
      </c>
      <c r="G1520">
        <v>1795.4882812000001</v>
      </c>
      <c r="H1520">
        <v>1668.8508300999999</v>
      </c>
      <c r="I1520">
        <v>901.76531981999995</v>
      </c>
      <c r="J1520">
        <v>706.39245604999996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1134.623697</v>
      </c>
      <c r="B1521" s="1">
        <f>DATE(2013,6,8) + TIME(14,58,7)</f>
        <v>41433.623692129629</v>
      </c>
      <c r="C1521">
        <v>80</v>
      </c>
      <c r="D1521">
        <v>79.952125549000002</v>
      </c>
      <c r="E1521">
        <v>50</v>
      </c>
      <c r="F1521">
        <v>46.814838408999996</v>
      </c>
      <c r="G1521">
        <v>1796.078125</v>
      </c>
      <c r="H1521">
        <v>1669.4438477000001</v>
      </c>
      <c r="I1521">
        <v>900.77734375</v>
      </c>
      <c r="J1521">
        <v>705.35247803000004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1135.6284129999999</v>
      </c>
      <c r="B1522" s="1">
        <f>DATE(2013,6,9) + TIME(15,4,54)</f>
        <v>41434.62840277778</v>
      </c>
      <c r="C1522">
        <v>80</v>
      </c>
      <c r="D1522">
        <v>79.951995850000003</v>
      </c>
      <c r="E1522">
        <v>50</v>
      </c>
      <c r="F1522">
        <v>46.758708953999999</v>
      </c>
      <c r="G1522">
        <v>1796.6149902</v>
      </c>
      <c r="H1522">
        <v>1669.9840088000001</v>
      </c>
      <c r="I1522">
        <v>899.828125</v>
      </c>
      <c r="J1522">
        <v>704.34692383000004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1136.658921</v>
      </c>
      <c r="B1523" s="1">
        <f>DATE(2013,6,10) + TIME(15,48,50)</f>
        <v>41435.658912037034</v>
      </c>
      <c r="C1523">
        <v>80</v>
      </c>
      <c r="D1523">
        <v>79.951873778999996</v>
      </c>
      <c r="E1523">
        <v>50</v>
      </c>
      <c r="F1523">
        <v>46.700775145999998</v>
      </c>
      <c r="G1523">
        <v>1797.1077881000001</v>
      </c>
      <c r="H1523">
        <v>1670.4798584</v>
      </c>
      <c r="I1523">
        <v>898.91387939000003</v>
      </c>
      <c r="J1523">
        <v>703.37255859000004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1137.721102</v>
      </c>
      <c r="B1524" s="1">
        <f>DATE(2013,6,11) + TIME(17,18,23)</f>
        <v>41436.721099537041</v>
      </c>
      <c r="C1524">
        <v>80</v>
      </c>
      <c r="D1524">
        <v>79.951774596999996</v>
      </c>
      <c r="E1524">
        <v>50</v>
      </c>
      <c r="F1524">
        <v>46.641113281000003</v>
      </c>
      <c r="G1524">
        <v>1797.5609131000001</v>
      </c>
      <c r="H1524">
        <v>1670.9360352000001</v>
      </c>
      <c r="I1524">
        <v>898.03051758000004</v>
      </c>
      <c r="J1524">
        <v>702.42529296999999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1138.821641</v>
      </c>
      <c r="B1525" s="1">
        <f>DATE(2013,6,12) + TIME(19,43,9)</f>
        <v>41437.821631944447</v>
      </c>
      <c r="C1525">
        <v>80</v>
      </c>
      <c r="D1525">
        <v>79.951690674000005</v>
      </c>
      <c r="E1525">
        <v>50</v>
      </c>
      <c r="F1525">
        <v>46.579544067</v>
      </c>
      <c r="G1525">
        <v>1797.9772949000001</v>
      </c>
      <c r="H1525">
        <v>1671.3552245999999</v>
      </c>
      <c r="I1525">
        <v>897.17401123000002</v>
      </c>
      <c r="J1525">
        <v>701.50067138999998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1139.3923930000001</v>
      </c>
      <c r="B1526" s="1">
        <f>DATE(2013,6,13) + TIME(9,25,2)</f>
        <v>41438.392384259256</v>
      </c>
      <c r="C1526">
        <v>80</v>
      </c>
      <c r="D1526">
        <v>79.951507567999997</v>
      </c>
      <c r="E1526">
        <v>50</v>
      </c>
      <c r="F1526">
        <v>46.534076691000003</v>
      </c>
      <c r="G1526">
        <v>1798.1013184000001</v>
      </c>
      <c r="H1526">
        <v>1671.4815673999999</v>
      </c>
      <c r="I1526">
        <v>896.68395996000004</v>
      </c>
      <c r="J1526">
        <v>700.96252441000001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1139.9631440000001</v>
      </c>
      <c r="B1527" s="1">
        <f>DATE(2013,6,13) + TIME(23,6,55)</f>
        <v>41438.963136574072</v>
      </c>
      <c r="C1527">
        <v>80</v>
      </c>
      <c r="D1527">
        <v>79.951423645000006</v>
      </c>
      <c r="E1527">
        <v>50</v>
      </c>
      <c r="F1527">
        <v>46.493907927999999</v>
      </c>
      <c r="G1527">
        <v>1798.2351074000001</v>
      </c>
      <c r="H1527">
        <v>1671.6168213000001</v>
      </c>
      <c r="I1527">
        <v>896.24420166000004</v>
      </c>
      <c r="J1527">
        <v>700.47406006000006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1140.5338959999999</v>
      </c>
      <c r="B1528" s="1">
        <f>DATE(2013,6,14) + TIME(12,48,48)</f>
        <v>41439.533888888887</v>
      </c>
      <c r="C1528">
        <v>80</v>
      </c>
      <c r="D1528">
        <v>79.951400757000002</v>
      </c>
      <c r="E1528">
        <v>50</v>
      </c>
      <c r="F1528">
        <v>46.456752776999998</v>
      </c>
      <c r="G1528">
        <v>1798.3760986</v>
      </c>
      <c r="H1528">
        <v>1671.7590332</v>
      </c>
      <c r="I1528">
        <v>895.82525635000002</v>
      </c>
      <c r="J1528">
        <v>700.00976562000005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1141.104648</v>
      </c>
      <c r="B1529" s="1">
        <f>DATE(2013,6,15) + TIME(2,30,41)</f>
        <v>41440.104641203703</v>
      </c>
      <c r="C1529">
        <v>80</v>
      </c>
      <c r="D1529">
        <v>79.951393127000003</v>
      </c>
      <c r="E1529">
        <v>50</v>
      </c>
      <c r="F1529">
        <v>46.421333312999998</v>
      </c>
      <c r="G1529">
        <v>1798.5157471</v>
      </c>
      <c r="H1529">
        <v>1671.8999022999999</v>
      </c>
      <c r="I1529">
        <v>895.42309569999998</v>
      </c>
      <c r="J1529">
        <v>699.56390381000006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1141.6754000000001</v>
      </c>
      <c r="B1530" s="1">
        <f>DATE(2013,6,15) + TIME(16,12,34)</f>
        <v>41440.675393518519</v>
      </c>
      <c r="C1530">
        <v>80</v>
      </c>
      <c r="D1530">
        <v>79.951385497999993</v>
      </c>
      <c r="E1530">
        <v>50</v>
      </c>
      <c r="F1530">
        <v>46.386905669999997</v>
      </c>
      <c r="G1530">
        <v>1798.6495361</v>
      </c>
      <c r="H1530">
        <v>1672.0350341999999</v>
      </c>
      <c r="I1530">
        <v>895.03570557</v>
      </c>
      <c r="J1530">
        <v>699.13348388999998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1142.816904</v>
      </c>
      <c r="B1531" s="1">
        <f>DATE(2013,6,16) + TIME(19,36,20)</f>
        <v>41441.81689814815</v>
      </c>
      <c r="C1531">
        <v>80</v>
      </c>
      <c r="D1531">
        <v>79.951507567999997</v>
      </c>
      <c r="E1531">
        <v>50</v>
      </c>
      <c r="F1531">
        <v>46.339450835999997</v>
      </c>
      <c r="G1531">
        <v>1798.9942627</v>
      </c>
      <c r="H1531">
        <v>1672.3811035000001</v>
      </c>
      <c r="I1531">
        <v>894.39593506000006</v>
      </c>
      <c r="J1531">
        <v>698.43090819999998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1143.9610170000001</v>
      </c>
      <c r="B1532" s="1">
        <f>DATE(2013,6,17) + TIME(23,3,51)</f>
        <v>41442.961006944446</v>
      </c>
      <c r="C1532">
        <v>80</v>
      </c>
      <c r="D1532">
        <v>79.951469420999999</v>
      </c>
      <c r="E1532">
        <v>50</v>
      </c>
      <c r="F1532">
        <v>46.280883789000001</v>
      </c>
      <c r="G1532">
        <v>1799.2464600000001</v>
      </c>
      <c r="H1532">
        <v>1672.635376</v>
      </c>
      <c r="I1532">
        <v>893.74108887</v>
      </c>
      <c r="J1532">
        <v>697.70178223000005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1145.123335</v>
      </c>
      <c r="B1533" s="1">
        <f>DATE(2013,6,19) + TIME(2,57,36)</f>
        <v>41444.123333333337</v>
      </c>
      <c r="C1533">
        <v>80</v>
      </c>
      <c r="D1533">
        <v>79.951400757000002</v>
      </c>
      <c r="E1533">
        <v>50</v>
      </c>
      <c r="F1533">
        <v>46.217369079999997</v>
      </c>
      <c r="G1533">
        <v>1799.4396973</v>
      </c>
      <c r="H1533">
        <v>1672.8308105000001</v>
      </c>
      <c r="I1533">
        <v>893.10510253999996</v>
      </c>
      <c r="J1533">
        <v>696.98126220999995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1146.3092610000001</v>
      </c>
      <c r="B1534" s="1">
        <f>DATE(2013,6,20) + TIME(7,25,20)</f>
        <v>41445.309259259258</v>
      </c>
      <c r="C1534">
        <v>80</v>
      </c>
      <c r="D1534">
        <v>79.951347350999995</v>
      </c>
      <c r="E1534">
        <v>50</v>
      </c>
      <c r="F1534">
        <v>46.151042938000003</v>
      </c>
      <c r="G1534">
        <v>1799.5904541</v>
      </c>
      <c r="H1534">
        <v>1672.9833983999999</v>
      </c>
      <c r="I1534">
        <v>892.48870850000003</v>
      </c>
      <c r="J1534">
        <v>696.27325439000003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1147.5251249999999</v>
      </c>
      <c r="B1535" s="1">
        <f>DATE(2013,6,21) + TIME(12,36,10)</f>
        <v>41446.52511574074</v>
      </c>
      <c r="C1535">
        <v>80</v>
      </c>
      <c r="D1535">
        <v>79.951301575000002</v>
      </c>
      <c r="E1535">
        <v>50</v>
      </c>
      <c r="F1535">
        <v>46.082553863999998</v>
      </c>
      <c r="G1535">
        <v>1799.7054443</v>
      </c>
      <c r="H1535">
        <v>1673.1002197</v>
      </c>
      <c r="I1535">
        <v>891.89013671999999</v>
      </c>
      <c r="J1535">
        <v>695.57666015999996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1148.772281</v>
      </c>
      <c r="B1536" s="1">
        <f>DATE(2013,6,22) + TIME(18,32,5)</f>
        <v>41447.772280092591</v>
      </c>
      <c r="C1536">
        <v>80</v>
      </c>
      <c r="D1536">
        <v>79.951271057</v>
      </c>
      <c r="E1536">
        <v>50</v>
      </c>
      <c r="F1536">
        <v>46.012050629000001</v>
      </c>
      <c r="G1536">
        <v>1799.7863769999999</v>
      </c>
      <c r="H1536">
        <v>1673.1828613</v>
      </c>
      <c r="I1536">
        <v>891.30792236000002</v>
      </c>
      <c r="J1536">
        <v>694.88989258000004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1150.050575</v>
      </c>
      <c r="B1537" s="1">
        <f>DATE(2013,6,24) + TIME(1,12,49)</f>
        <v>41449.050567129627</v>
      </c>
      <c r="C1537">
        <v>80</v>
      </c>
      <c r="D1537">
        <v>79.951248168999996</v>
      </c>
      <c r="E1537">
        <v>50</v>
      </c>
      <c r="F1537">
        <v>45.939552307</v>
      </c>
      <c r="G1537">
        <v>1799.8341064000001</v>
      </c>
      <c r="H1537">
        <v>1673.2321777</v>
      </c>
      <c r="I1537">
        <v>890.74096680000002</v>
      </c>
      <c r="J1537">
        <v>694.21160888999998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1151.367281</v>
      </c>
      <c r="B1538" s="1">
        <f>DATE(2013,6,25) + TIME(8,48,53)</f>
        <v>41450.367280092592</v>
      </c>
      <c r="C1538">
        <v>80</v>
      </c>
      <c r="D1538">
        <v>79.951232910000002</v>
      </c>
      <c r="E1538">
        <v>50</v>
      </c>
      <c r="F1538">
        <v>45.864898682000003</v>
      </c>
      <c r="G1538">
        <v>1799.8502197</v>
      </c>
      <c r="H1538">
        <v>1673.2498779</v>
      </c>
      <c r="I1538">
        <v>890.18634033000001</v>
      </c>
      <c r="J1538">
        <v>693.53826904000005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1152.698899</v>
      </c>
      <c r="B1539" s="1">
        <f>DATE(2013,6,26) + TIME(16,46,24)</f>
        <v>41451.698888888888</v>
      </c>
      <c r="C1539">
        <v>80</v>
      </c>
      <c r="D1539">
        <v>79.951225281000006</v>
      </c>
      <c r="E1539">
        <v>50</v>
      </c>
      <c r="F1539">
        <v>45.788391113000003</v>
      </c>
      <c r="G1539">
        <v>1799.8312988</v>
      </c>
      <c r="H1539">
        <v>1673.2325439000001</v>
      </c>
      <c r="I1539">
        <v>889.64685058999999</v>
      </c>
      <c r="J1539">
        <v>692.87274170000001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1154.034973</v>
      </c>
      <c r="B1540" s="1">
        <f>DATE(2013,6,28) + TIME(0,50,21)</f>
        <v>41453.03496527778</v>
      </c>
      <c r="C1540">
        <v>80</v>
      </c>
      <c r="D1540">
        <v>79.951217650999993</v>
      </c>
      <c r="E1540">
        <v>50</v>
      </c>
      <c r="F1540">
        <v>45.710700989000003</v>
      </c>
      <c r="G1540">
        <v>1799.7797852000001</v>
      </c>
      <c r="H1540">
        <v>1673.1824951000001</v>
      </c>
      <c r="I1540">
        <v>889.12487793000003</v>
      </c>
      <c r="J1540">
        <v>692.21820068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1155.3764470000001</v>
      </c>
      <c r="B1541" s="1">
        <f>DATE(2013,6,29) + TIME(9,2,4)</f>
        <v>41454.376435185186</v>
      </c>
      <c r="C1541">
        <v>80</v>
      </c>
      <c r="D1541">
        <v>79.951217650999993</v>
      </c>
      <c r="E1541">
        <v>50</v>
      </c>
      <c r="F1541">
        <v>45.632205962999997</v>
      </c>
      <c r="G1541">
        <v>1799.6998291</v>
      </c>
      <c r="H1541">
        <v>1673.1038818</v>
      </c>
      <c r="I1541">
        <v>888.61944579999999</v>
      </c>
      <c r="J1541">
        <v>691.57403564000003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1156.728437</v>
      </c>
      <c r="B1542" s="1">
        <f>DATE(2013,6,30) + TIME(17,28,56)</f>
        <v>41455.728425925925</v>
      </c>
      <c r="C1542">
        <v>80</v>
      </c>
      <c r="D1542">
        <v>79.951225281000006</v>
      </c>
      <c r="E1542">
        <v>50</v>
      </c>
      <c r="F1542">
        <v>45.552917479999998</v>
      </c>
      <c r="G1542">
        <v>1799.5946045000001</v>
      </c>
      <c r="H1542">
        <v>1672.9998779</v>
      </c>
      <c r="I1542">
        <v>888.12762451000003</v>
      </c>
      <c r="J1542">
        <v>690.93713378999996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1157</v>
      </c>
      <c r="B1543" s="1">
        <f>DATE(2013,7,1) + TIME(0,0,0)</f>
        <v>41456</v>
      </c>
      <c r="C1543">
        <v>80</v>
      </c>
      <c r="D1543">
        <v>79.951126099000007</v>
      </c>
      <c r="E1543">
        <v>50</v>
      </c>
      <c r="F1543">
        <v>45.520145415999998</v>
      </c>
      <c r="G1543">
        <v>1799.5286865</v>
      </c>
      <c r="H1543">
        <v>1672.9346923999999</v>
      </c>
      <c r="I1543">
        <v>887.89581298999997</v>
      </c>
      <c r="J1543">
        <v>690.64703368999994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1158.3688070000001</v>
      </c>
      <c r="B1544" s="1">
        <f>DATE(2013,7,2) + TIME(8,51,4)</f>
        <v>41457.368796296294</v>
      </c>
      <c r="C1544">
        <v>80</v>
      </c>
      <c r="D1544">
        <v>79.951210021999998</v>
      </c>
      <c r="E1544">
        <v>50</v>
      </c>
      <c r="F1544">
        <v>45.450363158999998</v>
      </c>
      <c r="G1544">
        <v>1799.4086914</v>
      </c>
      <c r="H1544">
        <v>1672.8154297000001</v>
      </c>
      <c r="I1544">
        <v>887.52801513999998</v>
      </c>
      <c r="J1544">
        <v>690.14135741999996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1159.7674050000001</v>
      </c>
      <c r="B1545" s="1">
        <f>DATE(2013,7,3) + TIME(18,25,3)</f>
        <v>41458.767395833333</v>
      </c>
      <c r="C1545">
        <v>80</v>
      </c>
      <c r="D1545">
        <v>79.951263428000004</v>
      </c>
      <c r="E1545">
        <v>50</v>
      </c>
      <c r="F1545">
        <v>45.372325897000003</v>
      </c>
      <c r="G1545">
        <v>1799.2685547000001</v>
      </c>
      <c r="H1545">
        <v>1672.6762695</v>
      </c>
      <c r="I1545">
        <v>887.06811522999999</v>
      </c>
      <c r="J1545">
        <v>689.52832031000003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1161.1983640000001</v>
      </c>
      <c r="B1546" s="1">
        <f>DATE(2013,7,5) + TIME(4,45,38)</f>
        <v>41460.19835648148</v>
      </c>
      <c r="C1546">
        <v>80</v>
      </c>
      <c r="D1546">
        <v>79.951293945000003</v>
      </c>
      <c r="E1546">
        <v>50</v>
      </c>
      <c r="F1546">
        <v>45.289855957</v>
      </c>
      <c r="G1546">
        <v>1799.0970459</v>
      </c>
      <c r="H1546">
        <v>1672.5058594</v>
      </c>
      <c r="I1546">
        <v>886.60015868999994</v>
      </c>
      <c r="J1546">
        <v>688.89282227000001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1162.668987</v>
      </c>
      <c r="B1547" s="1">
        <f>DATE(2013,7,6) + TIME(16,3,20)</f>
        <v>41461.668981481482</v>
      </c>
      <c r="C1547">
        <v>80</v>
      </c>
      <c r="D1547">
        <v>79.951316833000007</v>
      </c>
      <c r="E1547">
        <v>50</v>
      </c>
      <c r="F1547">
        <v>45.204135895</v>
      </c>
      <c r="G1547">
        <v>1798.8986815999999</v>
      </c>
      <c r="H1547">
        <v>1672.3084716999999</v>
      </c>
      <c r="I1547">
        <v>886.12780762</v>
      </c>
      <c r="J1547">
        <v>688.24053954999999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1164.180208</v>
      </c>
      <c r="B1548" s="1">
        <f>DATE(2013,7,8) + TIME(4,19,30)</f>
        <v>41463.180208333331</v>
      </c>
      <c r="C1548">
        <v>80</v>
      </c>
      <c r="D1548">
        <v>79.951339722</v>
      </c>
      <c r="E1548">
        <v>50</v>
      </c>
      <c r="F1548">
        <v>45.115409851000003</v>
      </c>
      <c r="G1548">
        <v>1798.6749268000001</v>
      </c>
      <c r="H1548">
        <v>1672.0856934000001</v>
      </c>
      <c r="I1548">
        <v>885.64965819999998</v>
      </c>
      <c r="J1548">
        <v>687.57019043000003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1165.693135</v>
      </c>
      <c r="B1549" s="1">
        <f>DATE(2013,7,9) + TIME(16,38,6)</f>
        <v>41464.693124999998</v>
      </c>
      <c r="C1549">
        <v>80</v>
      </c>
      <c r="D1549">
        <v>79.951370238999999</v>
      </c>
      <c r="E1549">
        <v>50</v>
      </c>
      <c r="F1549">
        <v>45.024497986</v>
      </c>
      <c r="G1549">
        <v>1798.4279785000001</v>
      </c>
      <c r="H1549">
        <v>1671.8397216999999</v>
      </c>
      <c r="I1549">
        <v>885.16754149999997</v>
      </c>
      <c r="J1549">
        <v>686.88476562000005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1167.2086469999999</v>
      </c>
      <c r="B1550" s="1">
        <f>DATE(2013,7,11) + TIME(5,0,27)</f>
        <v>41466.208645833336</v>
      </c>
      <c r="C1550">
        <v>80</v>
      </c>
      <c r="D1550">
        <v>79.951400757000002</v>
      </c>
      <c r="E1550">
        <v>50</v>
      </c>
      <c r="F1550">
        <v>44.932426452999998</v>
      </c>
      <c r="G1550">
        <v>1798.1622314000001</v>
      </c>
      <c r="H1550">
        <v>1671.574707</v>
      </c>
      <c r="I1550">
        <v>884.68646239999998</v>
      </c>
      <c r="J1550">
        <v>686.19128418000003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1168.7337150000001</v>
      </c>
      <c r="B1551" s="1">
        <f>DATE(2013,7,12) + TIME(17,36,32)</f>
        <v>41467.733703703707</v>
      </c>
      <c r="C1551">
        <v>80</v>
      </c>
      <c r="D1551">
        <v>79.951431274000001</v>
      </c>
      <c r="E1551">
        <v>50</v>
      </c>
      <c r="F1551">
        <v>44.839370727999999</v>
      </c>
      <c r="G1551">
        <v>1797.880249</v>
      </c>
      <c r="H1551">
        <v>1671.293457</v>
      </c>
      <c r="I1551">
        <v>884.20544433999999</v>
      </c>
      <c r="J1551">
        <v>685.48901366999996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1170.2753929999999</v>
      </c>
      <c r="B1552" s="1">
        <f>DATE(2013,7,14) + TIME(6,36,33)</f>
        <v>41469.275381944448</v>
      </c>
      <c r="C1552">
        <v>80</v>
      </c>
      <c r="D1552">
        <v>79.951477050999998</v>
      </c>
      <c r="E1552">
        <v>50</v>
      </c>
      <c r="F1552">
        <v>44.745113373000002</v>
      </c>
      <c r="G1552">
        <v>1797.5827637</v>
      </c>
      <c r="H1552">
        <v>1670.9967041</v>
      </c>
      <c r="I1552">
        <v>883.72186279000005</v>
      </c>
      <c r="J1552">
        <v>684.77465819999998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1171.8409610000001</v>
      </c>
      <c r="B1553" s="1">
        <f>DATE(2013,7,15) + TIME(20,10,59)</f>
        <v>41470.840960648151</v>
      </c>
      <c r="C1553">
        <v>80</v>
      </c>
      <c r="D1553">
        <v>79.951515197999996</v>
      </c>
      <c r="E1553">
        <v>50</v>
      </c>
      <c r="F1553">
        <v>44.649272918999998</v>
      </c>
      <c r="G1553">
        <v>1797.2696533000001</v>
      </c>
      <c r="H1553">
        <v>1670.6844481999999</v>
      </c>
      <c r="I1553">
        <v>883.23260498000002</v>
      </c>
      <c r="J1553">
        <v>684.04406738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1173.438723</v>
      </c>
      <c r="B1554" s="1">
        <f>DATE(2013,7,17) + TIME(10,31,45)</f>
        <v>41472.438715277778</v>
      </c>
      <c r="C1554">
        <v>80</v>
      </c>
      <c r="D1554">
        <v>79.951568604000002</v>
      </c>
      <c r="E1554">
        <v>50</v>
      </c>
      <c r="F1554">
        <v>44.551399230999998</v>
      </c>
      <c r="G1554">
        <v>1796.9404297000001</v>
      </c>
      <c r="H1554">
        <v>1670.3558350000001</v>
      </c>
      <c r="I1554">
        <v>882.73449706999997</v>
      </c>
      <c r="J1554">
        <v>683.29241943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1175.077362</v>
      </c>
      <c r="B1555" s="1">
        <f>DATE(2013,7,19) + TIME(1,51,24)</f>
        <v>41474.077361111114</v>
      </c>
      <c r="C1555">
        <v>80</v>
      </c>
      <c r="D1555">
        <v>79.951614379999995</v>
      </c>
      <c r="E1555">
        <v>50</v>
      </c>
      <c r="F1555">
        <v>44.450973511000001</v>
      </c>
      <c r="G1555">
        <v>1796.5938721</v>
      </c>
      <c r="H1555">
        <v>1670.0098877</v>
      </c>
      <c r="I1555">
        <v>882.22393798999997</v>
      </c>
      <c r="J1555">
        <v>682.51458739999998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1176.7485939999999</v>
      </c>
      <c r="B1556" s="1">
        <f>DATE(2013,7,20) + TIME(17,57,58)</f>
        <v>41475.74858796296</v>
      </c>
      <c r="C1556">
        <v>80</v>
      </c>
      <c r="D1556">
        <v>79.951667786000002</v>
      </c>
      <c r="E1556">
        <v>50</v>
      </c>
      <c r="F1556">
        <v>44.347793578999998</v>
      </c>
      <c r="G1556">
        <v>1796.2303466999999</v>
      </c>
      <c r="H1556">
        <v>1669.6469727000001</v>
      </c>
      <c r="I1556">
        <v>881.69781493999994</v>
      </c>
      <c r="J1556">
        <v>681.70629883000004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1178.446463</v>
      </c>
      <c r="B1557" s="1">
        <f>DATE(2013,7,22) + TIME(10,42,54)</f>
        <v>41477.446458333332</v>
      </c>
      <c r="C1557">
        <v>80</v>
      </c>
      <c r="D1557">
        <v>79.951721191000004</v>
      </c>
      <c r="E1557">
        <v>50</v>
      </c>
      <c r="F1557">
        <v>44.242092133</v>
      </c>
      <c r="G1557">
        <v>1795.8509521000001</v>
      </c>
      <c r="H1557">
        <v>1669.2681885</v>
      </c>
      <c r="I1557">
        <v>881.15673828000001</v>
      </c>
      <c r="J1557">
        <v>680.86822510000002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1180.153411</v>
      </c>
      <c r="B1558" s="1">
        <f>DATE(2013,7,24) + TIME(3,40,54)</f>
        <v>41479.153402777774</v>
      </c>
      <c r="C1558">
        <v>80</v>
      </c>
      <c r="D1558">
        <v>79.951774596999996</v>
      </c>
      <c r="E1558">
        <v>50</v>
      </c>
      <c r="F1558">
        <v>44.134414673000002</v>
      </c>
      <c r="G1558">
        <v>1795.4589844</v>
      </c>
      <c r="H1558">
        <v>1668.8767089999999</v>
      </c>
      <c r="I1558">
        <v>880.60186768000005</v>
      </c>
      <c r="J1558">
        <v>680.00262451000003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1181.867827</v>
      </c>
      <c r="B1559" s="1">
        <f>DATE(2013,7,25) + TIME(20,49,40)</f>
        <v>41480.867824074077</v>
      </c>
      <c r="C1559">
        <v>80</v>
      </c>
      <c r="D1559">
        <v>79.951828003000003</v>
      </c>
      <c r="E1559">
        <v>50</v>
      </c>
      <c r="F1559">
        <v>44.025394439999999</v>
      </c>
      <c r="G1559">
        <v>1795.0565185999999</v>
      </c>
      <c r="H1559">
        <v>1668.4747314000001</v>
      </c>
      <c r="I1559">
        <v>880.03674316000001</v>
      </c>
      <c r="J1559">
        <v>679.11474609000004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1183.597591</v>
      </c>
      <c r="B1560" s="1">
        <f>DATE(2013,7,27) + TIME(14,20,31)</f>
        <v>41482.597581018519</v>
      </c>
      <c r="C1560">
        <v>80</v>
      </c>
      <c r="D1560">
        <v>79.951889038000004</v>
      </c>
      <c r="E1560">
        <v>50</v>
      </c>
      <c r="F1560">
        <v>43.915134430000002</v>
      </c>
      <c r="G1560">
        <v>1794.644043</v>
      </c>
      <c r="H1560">
        <v>1668.0628661999999</v>
      </c>
      <c r="I1560">
        <v>879.46173095999995</v>
      </c>
      <c r="J1560">
        <v>678.20507812000005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1185.350864</v>
      </c>
      <c r="B1561" s="1">
        <f>DATE(2013,7,29) + TIME(8,25,14)</f>
        <v>41484.350856481484</v>
      </c>
      <c r="C1561">
        <v>80</v>
      </c>
      <c r="D1561">
        <v>79.951950073000006</v>
      </c>
      <c r="E1561">
        <v>50</v>
      </c>
      <c r="F1561">
        <v>43.803337096999996</v>
      </c>
      <c r="G1561">
        <v>1794.2213135</v>
      </c>
      <c r="H1561">
        <v>1667.6405029</v>
      </c>
      <c r="I1561">
        <v>878.87445068</v>
      </c>
      <c r="J1561">
        <v>677.27014159999999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1187.136242</v>
      </c>
      <c r="B1562" s="1">
        <f>DATE(2013,7,31) + TIME(3,16,11)</f>
        <v>41486.136238425926</v>
      </c>
      <c r="C1562">
        <v>80</v>
      </c>
      <c r="D1562">
        <v>79.952011107999994</v>
      </c>
      <c r="E1562">
        <v>50</v>
      </c>
      <c r="F1562">
        <v>43.689571381</v>
      </c>
      <c r="G1562">
        <v>1793.7869873</v>
      </c>
      <c r="H1562">
        <v>1667.2066649999999</v>
      </c>
      <c r="I1562">
        <v>878.27197265999996</v>
      </c>
      <c r="J1562">
        <v>676.30548095999995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1188</v>
      </c>
      <c r="B1563" s="1">
        <f>DATE(2013,8,1) + TIME(0,0,0)</f>
        <v>41487</v>
      </c>
      <c r="C1563">
        <v>80</v>
      </c>
      <c r="D1563">
        <v>79.951950073000006</v>
      </c>
      <c r="E1563">
        <v>50</v>
      </c>
      <c r="F1563">
        <v>43.602180480999998</v>
      </c>
      <c r="G1563">
        <v>1793.5162353999999</v>
      </c>
      <c r="H1563">
        <v>1666.9361572</v>
      </c>
      <c r="I1563">
        <v>877.71984863</v>
      </c>
      <c r="J1563">
        <v>675.46405029000005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1189.8106110000001</v>
      </c>
      <c r="B1564" s="1">
        <f>DATE(2013,8,2) + TIME(19,27,16)</f>
        <v>41488.810601851852</v>
      </c>
      <c r="C1564">
        <v>80</v>
      </c>
      <c r="D1564">
        <v>79.952095032000003</v>
      </c>
      <c r="E1564">
        <v>50</v>
      </c>
      <c r="F1564">
        <v>43.5078125</v>
      </c>
      <c r="G1564">
        <v>1793.0897216999999</v>
      </c>
      <c r="H1564">
        <v>1666.5100098</v>
      </c>
      <c r="I1564">
        <v>877.31188965000001</v>
      </c>
      <c r="J1564">
        <v>674.74853515999996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1191.669212</v>
      </c>
      <c r="B1565" s="1">
        <f>DATE(2013,8,4) + TIME(16,3,39)</f>
        <v>41490.66920138889</v>
      </c>
      <c r="C1565">
        <v>80</v>
      </c>
      <c r="D1565">
        <v>79.952186584000003</v>
      </c>
      <c r="E1565">
        <v>50</v>
      </c>
      <c r="F1565">
        <v>43.395931244000003</v>
      </c>
      <c r="G1565">
        <v>1792.6462402</v>
      </c>
      <c r="H1565">
        <v>1666.0668945</v>
      </c>
      <c r="I1565">
        <v>876.69696045000001</v>
      </c>
      <c r="J1565">
        <v>673.75640868999994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1193.5454830000001</v>
      </c>
      <c r="B1566" s="1">
        <f>DATE(2013,8,6) + TIME(13,5,29)</f>
        <v>41492.545474537037</v>
      </c>
      <c r="C1566">
        <v>80</v>
      </c>
      <c r="D1566">
        <v>79.952247619999994</v>
      </c>
      <c r="E1566">
        <v>50</v>
      </c>
      <c r="F1566">
        <v>43.276885986000003</v>
      </c>
      <c r="G1566">
        <v>1792.184082</v>
      </c>
      <c r="H1566">
        <v>1665.6051024999999</v>
      </c>
      <c r="I1566">
        <v>876.03881836000005</v>
      </c>
      <c r="J1566">
        <v>672.68762206999997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1195.4353309999999</v>
      </c>
      <c r="B1567" s="1">
        <f>DATE(2013,8,8) + TIME(10,26,52)</f>
        <v>41494.435324074075</v>
      </c>
      <c r="C1567">
        <v>80</v>
      </c>
      <c r="D1567">
        <v>79.952316284000005</v>
      </c>
      <c r="E1567">
        <v>50</v>
      </c>
      <c r="F1567">
        <v>43.154888153000002</v>
      </c>
      <c r="G1567">
        <v>1791.7099608999999</v>
      </c>
      <c r="H1567">
        <v>1665.1313477000001</v>
      </c>
      <c r="I1567">
        <v>875.36059569999998</v>
      </c>
      <c r="J1567">
        <v>671.57940673999997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1197.3461990000001</v>
      </c>
      <c r="B1568" s="1">
        <f>DATE(2013,8,10) + TIME(8,18,31)</f>
        <v>41496.346192129633</v>
      </c>
      <c r="C1568">
        <v>80</v>
      </c>
      <c r="D1568">
        <v>79.952377318999993</v>
      </c>
      <c r="E1568">
        <v>50</v>
      </c>
      <c r="F1568">
        <v>43.031223296999997</v>
      </c>
      <c r="G1568">
        <v>1791.2263184000001</v>
      </c>
      <c r="H1568">
        <v>1664.6480713000001</v>
      </c>
      <c r="I1568">
        <v>874.66766356999995</v>
      </c>
      <c r="J1568">
        <v>670.44134521000001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1199.2868370000001</v>
      </c>
      <c r="B1569" s="1">
        <f>DATE(2013,8,12) + TIME(6,53,2)</f>
        <v>41498.286828703705</v>
      </c>
      <c r="C1569">
        <v>80</v>
      </c>
      <c r="D1569">
        <v>79.952445983999993</v>
      </c>
      <c r="E1569">
        <v>50</v>
      </c>
      <c r="F1569">
        <v>42.906009674000003</v>
      </c>
      <c r="G1569">
        <v>1790.7332764</v>
      </c>
      <c r="H1569">
        <v>1664.1553954999999</v>
      </c>
      <c r="I1569">
        <v>873.95947265999996</v>
      </c>
      <c r="J1569">
        <v>669.27276611000002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1201.2539589999999</v>
      </c>
      <c r="B1570" s="1">
        <f>DATE(2013,8,14) + TIME(6,5,42)</f>
        <v>41500.253958333335</v>
      </c>
      <c r="C1570">
        <v>80</v>
      </c>
      <c r="D1570">
        <v>79.952522278000004</v>
      </c>
      <c r="E1570">
        <v>50</v>
      </c>
      <c r="F1570">
        <v>42.779170989999997</v>
      </c>
      <c r="G1570">
        <v>1790.2315673999999</v>
      </c>
      <c r="H1570">
        <v>1663.6539307</v>
      </c>
      <c r="I1570">
        <v>873.23388671999999</v>
      </c>
      <c r="J1570">
        <v>668.07110595999995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1203.2385180000001</v>
      </c>
      <c r="B1571" s="1">
        <f>DATE(2013,8,16) + TIME(5,43,27)</f>
        <v>41502.238506944443</v>
      </c>
      <c r="C1571">
        <v>80</v>
      </c>
      <c r="D1571">
        <v>79.952590942</v>
      </c>
      <c r="E1571">
        <v>50</v>
      </c>
      <c r="F1571">
        <v>42.651000977000002</v>
      </c>
      <c r="G1571">
        <v>1789.7232666</v>
      </c>
      <c r="H1571">
        <v>1663.145874</v>
      </c>
      <c r="I1571">
        <v>872.49249268000005</v>
      </c>
      <c r="J1571">
        <v>666.83874512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1205.249325</v>
      </c>
      <c r="B1572" s="1">
        <f>DATE(2013,8,18) + TIME(5,59,1)</f>
        <v>41504.24931712963</v>
      </c>
      <c r="C1572">
        <v>80</v>
      </c>
      <c r="D1572">
        <v>79.952659607000001</v>
      </c>
      <c r="E1572">
        <v>50</v>
      </c>
      <c r="F1572">
        <v>42.521778107000003</v>
      </c>
      <c r="G1572">
        <v>1789.2073975000001</v>
      </c>
      <c r="H1572">
        <v>1662.6303711</v>
      </c>
      <c r="I1572">
        <v>871.73846435999997</v>
      </c>
      <c r="J1572">
        <v>665.58001708999996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1207.295059</v>
      </c>
      <c r="B1573" s="1">
        <f>DATE(2013,8,20) + TIME(7,4,53)</f>
        <v>41506.295057870368</v>
      </c>
      <c r="C1573">
        <v>80</v>
      </c>
      <c r="D1573">
        <v>79.952735900999997</v>
      </c>
      <c r="E1573">
        <v>50</v>
      </c>
      <c r="F1573">
        <v>42.391292571999998</v>
      </c>
      <c r="G1573">
        <v>1788.6831055</v>
      </c>
      <c r="H1573">
        <v>1662.1063231999999</v>
      </c>
      <c r="I1573">
        <v>870.97021484000004</v>
      </c>
      <c r="J1573">
        <v>664.29217529000005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1209.3501590000001</v>
      </c>
      <c r="B1574" s="1">
        <f>DATE(2013,8,22) + TIME(8,24,13)</f>
        <v>41508.35015046296</v>
      </c>
      <c r="C1574">
        <v>80</v>
      </c>
      <c r="D1574">
        <v>79.952812195000007</v>
      </c>
      <c r="E1574">
        <v>50</v>
      </c>
      <c r="F1574">
        <v>42.259822845000002</v>
      </c>
      <c r="G1574">
        <v>1788.1542969</v>
      </c>
      <c r="H1574">
        <v>1661.5777588000001</v>
      </c>
      <c r="I1574">
        <v>870.18634033000001</v>
      </c>
      <c r="J1574">
        <v>662.97460937999995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1211.422163</v>
      </c>
      <c r="B1575" s="1">
        <f>DATE(2013,8,24) + TIME(10,7,54)</f>
        <v>41510.422152777777</v>
      </c>
      <c r="C1575">
        <v>80</v>
      </c>
      <c r="D1575">
        <v>79.952888489000003</v>
      </c>
      <c r="E1575">
        <v>50</v>
      </c>
      <c r="F1575">
        <v>42.128154754999997</v>
      </c>
      <c r="G1575">
        <v>1787.6208495999999</v>
      </c>
      <c r="H1575">
        <v>1661.0445557</v>
      </c>
      <c r="I1575">
        <v>869.39550781000003</v>
      </c>
      <c r="J1575">
        <v>661.63934326000003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1213.5188450000001</v>
      </c>
      <c r="B1576" s="1">
        <f>DATE(2013,8,26) + TIME(12,27,8)</f>
        <v>41512.518842592595</v>
      </c>
      <c r="C1576">
        <v>80</v>
      </c>
      <c r="D1576">
        <v>79.952964782999999</v>
      </c>
      <c r="E1576">
        <v>50</v>
      </c>
      <c r="F1576">
        <v>41.996292113999999</v>
      </c>
      <c r="G1576">
        <v>1787.0819091999999</v>
      </c>
      <c r="H1576">
        <v>1660.5057373</v>
      </c>
      <c r="I1576">
        <v>868.59729003999996</v>
      </c>
      <c r="J1576">
        <v>660.28619385000002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1215.6498710000001</v>
      </c>
      <c r="B1577" s="1">
        <f>DATE(2013,8,28) + TIME(15,35,48)</f>
        <v>41514.649861111109</v>
      </c>
      <c r="C1577">
        <v>80</v>
      </c>
      <c r="D1577">
        <v>79.953041076999995</v>
      </c>
      <c r="E1577">
        <v>50</v>
      </c>
      <c r="F1577">
        <v>41.864036560000002</v>
      </c>
      <c r="G1577">
        <v>1786.5356445</v>
      </c>
      <c r="H1577">
        <v>1659.9598389</v>
      </c>
      <c r="I1577">
        <v>867.79052734000004</v>
      </c>
      <c r="J1577">
        <v>658.91278076000003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1217.8138489999999</v>
      </c>
      <c r="B1578" s="1">
        <f>DATE(2013,8,30) + TIME(19,31,56)</f>
        <v>41516.813842592594</v>
      </c>
      <c r="C1578">
        <v>80</v>
      </c>
      <c r="D1578">
        <v>79.953117371000005</v>
      </c>
      <c r="E1578">
        <v>50</v>
      </c>
      <c r="F1578">
        <v>41.731262207</v>
      </c>
      <c r="G1578">
        <v>1785.9822998</v>
      </c>
      <c r="H1578">
        <v>1659.4066161999999</v>
      </c>
      <c r="I1578">
        <v>866.97332763999998</v>
      </c>
      <c r="J1578">
        <v>657.51684569999998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1219</v>
      </c>
      <c r="B1579" s="1">
        <f>DATE(2013,9,1) + TIME(0,0,0)</f>
        <v>41518</v>
      </c>
      <c r="C1579">
        <v>80</v>
      </c>
      <c r="D1579">
        <v>79.953094481999997</v>
      </c>
      <c r="E1579">
        <v>50</v>
      </c>
      <c r="F1579">
        <v>41.622093200999998</v>
      </c>
      <c r="G1579">
        <v>1785.6265868999999</v>
      </c>
      <c r="H1579">
        <v>1659.0510254000001</v>
      </c>
      <c r="I1579">
        <v>866.19628906000003</v>
      </c>
      <c r="J1579">
        <v>656.24719238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1221.186115</v>
      </c>
      <c r="B1580" s="1">
        <f>DATE(2013,9,3) + TIME(4,28,0)</f>
        <v>41520.186111111114</v>
      </c>
      <c r="C1580">
        <v>80</v>
      </c>
      <c r="D1580">
        <v>79.953239440999994</v>
      </c>
      <c r="E1580">
        <v>50</v>
      </c>
      <c r="F1580">
        <v>41.516910553000002</v>
      </c>
      <c r="G1580">
        <v>1785.0844727000001</v>
      </c>
      <c r="H1580">
        <v>1658.5090332</v>
      </c>
      <c r="I1580">
        <v>865.66528319999998</v>
      </c>
      <c r="J1580">
        <v>655.25402831999997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1223.4196959999999</v>
      </c>
      <c r="B1581" s="1">
        <f>DATE(2013,9,5) + TIME(10,4,21)</f>
        <v>41522.419687499998</v>
      </c>
      <c r="C1581">
        <v>80</v>
      </c>
      <c r="D1581">
        <v>79.953330993999998</v>
      </c>
      <c r="E1581">
        <v>50</v>
      </c>
      <c r="F1581">
        <v>41.392536163000003</v>
      </c>
      <c r="G1581">
        <v>1784.5318603999999</v>
      </c>
      <c r="H1581">
        <v>1657.9566649999999</v>
      </c>
      <c r="I1581">
        <v>864.87030029000005</v>
      </c>
      <c r="J1581">
        <v>653.89129638999998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1225.664939</v>
      </c>
      <c r="B1582" s="1">
        <f>DATE(2013,9,7) + TIME(15,57,30)</f>
        <v>41524.664930555555</v>
      </c>
      <c r="C1582">
        <v>80</v>
      </c>
      <c r="D1582">
        <v>79.953414917000003</v>
      </c>
      <c r="E1582">
        <v>50</v>
      </c>
      <c r="F1582">
        <v>41.263378142999997</v>
      </c>
      <c r="G1582">
        <v>1783.9685059000001</v>
      </c>
      <c r="H1582">
        <v>1657.3935547000001</v>
      </c>
      <c r="I1582">
        <v>864.04455566000001</v>
      </c>
      <c r="J1582">
        <v>652.46655272999999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1227.926839</v>
      </c>
      <c r="B1583" s="1">
        <f>DATE(2013,9,9) + TIME(22,14,38)</f>
        <v>41526.926828703705</v>
      </c>
      <c r="C1583">
        <v>80</v>
      </c>
      <c r="D1583">
        <v>79.953483582000004</v>
      </c>
      <c r="E1583">
        <v>50</v>
      </c>
      <c r="F1583">
        <v>41.134700774999999</v>
      </c>
      <c r="G1583">
        <v>1783.3981934000001</v>
      </c>
      <c r="H1583">
        <v>1656.8233643000001</v>
      </c>
      <c r="I1583">
        <v>863.22082520000004</v>
      </c>
      <c r="J1583">
        <v>651.03607178000004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1230.213808</v>
      </c>
      <c r="B1584" s="1">
        <f>DATE(2013,9,12) + TIME(5,7,52)</f>
        <v>41529.213796296295</v>
      </c>
      <c r="C1584">
        <v>80</v>
      </c>
      <c r="D1584">
        <v>79.953567504999995</v>
      </c>
      <c r="E1584">
        <v>50</v>
      </c>
      <c r="F1584">
        <v>41.007915496999999</v>
      </c>
      <c r="G1584">
        <v>1782.8218993999999</v>
      </c>
      <c r="H1584">
        <v>1656.2471923999999</v>
      </c>
      <c r="I1584">
        <v>862.40429687999995</v>
      </c>
      <c r="J1584">
        <v>649.61138916000004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1232.533952</v>
      </c>
      <c r="B1585" s="1">
        <f>DATE(2013,9,14) + TIME(12,48,53)</f>
        <v>41531.533946759257</v>
      </c>
      <c r="C1585">
        <v>80</v>
      </c>
      <c r="D1585">
        <v>79.953643799000005</v>
      </c>
      <c r="E1585">
        <v>50</v>
      </c>
      <c r="F1585">
        <v>40.883419037000003</v>
      </c>
      <c r="G1585">
        <v>1782.2390137</v>
      </c>
      <c r="H1585">
        <v>1655.6645507999999</v>
      </c>
      <c r="I1585">
        <v>861.59588623000002</v>
      </c>
      <c r="J1585">
        <v>648.19482421999999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1234.873347</v>
      </c>
      <c r="B1586" s="1">
        <f>DATE(2013,9,16) + TIME(20,57,37)</f>
        <v>41533.873344907406</v>
      </c>
      <c r="C1586">
        <v>80</v>
      </c>
      <c r="D1586">
        <v>79.953727721999996</v>
      </c>
      <c r="E1586">
        <v>50</v>
      </c>
      <c r="F1586">
        <v>40.761714935000001</v>
      </c>
      <c r="G1586">
        <v>1781.6523437999999</v>
      </c>
      <c r="H1586">
        <v>1655.0778809000001</v>
      </c>
      <c r="I1586">
        <v>860.79620361000002</v>
      </c>
      <c r="J1586">
        <v>646.78930663999995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1237.2400090000001</v>
      </c>
      <c r="B1587" s="1">
        <f>DATE(2013,9,19) + TIME(5,45,36)</f>
        <v>41536.239999999998</v>
      </c>
      <c r="C1587">
        <v>80</v>
      </c>
      <c r="D1587">
        <v>79.953811646000005</v>
      </c>
      <c r="E1587">
        <v>50</v>
      </c>
      <c r="F1587">
        <v>40.643672942999999</v>
      </c>
      <c r="G1587">
        <v>1781.0607910000001</v>
      </c>
      <c r="H1587">
        <v>1654.4865723</v>
      </c>
      <c r="I1587">
        <v>860.01239013999998</v>
      </c>
      <c r="J1587">
        <v>645.40594481999995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1239.6423589999999</v>
      </c>
      <c r="B1588" s="1">
        <f>DATE(2013,9,21) + TIME(15,24,59)</f>
        <v>41538.64234953704</v>
      </c>
      <c r="C1588">
        <v>80</v>
      </c>
      <c r="D1588">
        <v>79.953895568999997</v>
      </c>
      <c r="E1588">
        <v>50</v>
      </c>
      <c r="F1588">
        <v>40.529720306000002</v>
      </c>
      <c r="G1588">
        <v>1780.4631348</v>
      </c>
      <c r="H1588">
        <v>1653.8890381000001</v>
      </c>
      <c r="I1588">
        <v>859.24560546999999</v>
      </c>
      <c r="J1588">
        <v>644.04779053000004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1242.088753</v>
      </c>
      <c r="B1589" s="1">
        <f>DATE(2013,9,24) + TIME(2,7,48)</f>
        <v>41541.088750000003</v>
      </c>
      <c r="C1589">
        <v>80</v>
      </c>
      <c r="D1589">
        <v>79.953979492000002</v>
      </c>
      <c r="E1589">
        <v>50</v>
      </c>
      <c r="F1589">
        <v>40.420269011999999</v>
      </c>
      <c r="G1589">
        <v>1779.8577881000001</v>
      </c>
      <c r="H1589">
        <v>1653.2838135</v>
      </c>
      <c r="I1589">
        <v>858.49676513999998</v>
      </c>
      <c r="J1589">
        <v>642.71716308999999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1244.54737</v>
      </c>
      <c r="B1590" s="1">
        <f>DATE(2013,9,26) + TIME(13,8,12)</f>
        <v>41543.547361111108</v>
      </c>
      <c r="C1590">
        <v>80</v>
      </c>
      <c r="D1590">
        <v>79.954063415999997</v>
      </c>
      <c r="E1590">
        <v>50</v>
      </c>
      <c r="F1590">
        <v>40.316249847000002</v>
      </c>
      <c r="G1590">
        <v>1779.2502440999999</v>
      </c>
      <c r="H1590">
        <v>1652.6763916</v>
      </c>
      <c r="I1590">
        <v>857.76751708999996</v>
      </c>
      <c r="J1590">
        <v>641.41943359000004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1247.02674</v>
      </c>
      <c r="B1591" s="1">
        <f>DATE(2013,9,29) + TIME(0,38,30)</f>
        <v>41546.026736111111</v>
      </c>
      <c r="C1591">
        <v>80</v>
      </c>
      <c r="D1591">
        <v>79.954147339000002</v>
      </c>
      <c r="E1591">
        <v>50</v>
      </c>
      <c r="F1591">
        <v>40.219169616999999</v>
      </c>
      <c r="G1591">
        <v>1778.6396483999999</v>
      </c>
      <c r="H1591">
        <v>1652.065918</v>
      </c>
      <c r="I1591">
        <v>857.06982421999999</v>
      </c>
      <c r="J1591">
        <v>640.17449951000003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1249</v>
      </c>
      <c r="B1592" s="1">
        <f>DATE(2013,10,1) + TIME(0,0,0)</f>
        <v>41548</v>
      </c>
      <c r="C1592">
        <v>80</v>
      </c>
      <c r="D1592">
        <v>79.954185486</v>
      </c>
      <c r="E1592">
        <v>50</v>
      </c>
      <c r="F1592">
        <v>40.135108948000003</v>
      </c>
      <c r="G1592">
        <v>1778.1251221</v>
      </c>
      <c r="H1592">
        <v>1651.5515137</v>
      </c>
      <c r="I1592">
        <v>856.40893555000002</v>
      </c>
      <c r="J1592">
        <v>639.01708984000004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1251.5085979999999</v>
      </c>
      <c r="B1593" s="1">
        <f>DATE(2013,10,3) + TIME(12,12,22)</f>
        <v>41550.508587962962</v>
      </c>
      <c r="C1593">
        <v>80</v>
      </c>
      <c r="D1593">
        <v>79.954292296999995</v>
      </c>
      <c r="E1593">
        <v>50</v>
      </c>
      <c r="F1593">
        <v>40.063007355000003</v>
      </c>
      <c r="G1593">
        <v>1777.5206298999999</v>
      </c>
      <c r="H1593">
        <v>1650.9471435999999</v>
      </c>
      <c r="I1593">
        <v>855.90020751999998</v>
      </c>
      <c r="J1593">
        <v>638.07543944999998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1254.05033</v>
      </c>
      <c r="B1594" s="1">
        <f>DATE(2013,10,6) + TIME(1,12,28)</f>
        <v>41553.050324074073</v>
      </c>
      <c r="C1594">
        <v>80</v>
      </c>
      <c r="D1594">
        <v>79.954383849999999</v>
      </c>
      <c r="E1594">
        <v>50</v>
      </c>
      <c r="F1594">
        <v>39.992473601999997</v>
      </c>
      <c r="G1594">
        <v>1776.9106445</v>
      </c>
      <c r="H1594">
        <v>1650.3372803</v>
      </c>
      <c r="I1594">
        <v>855.31591796999999</v>
      </c>
      <c r="J1594">
        <v>637.03570557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1256.621613</v>
      </c>
      <c r="B1595" s="1">
        <f>DATE(2013,10,8) + TIME(14,55,7)</f>
        <v>41555.621608796297</v>
      </c>
      <c r="C1595">
        <v>80</v>
      </c>
      <c r="D1595">
        <v>79.954467773000005</v>
      </c>
      <c r="E1595">
        <v>50</v>
      </c>
      <c r="F1595">
        <v>39.930164337000001</v>
      </c>
      <c r="G1595">
        <v>1776.2930908000001</v>
      </c>
      <c r="H1595">
        <v>1649.7198486</v>
      </c>
      <c r="I1595">
        <v>854.76031493999994</v>
      </c>
      <c r="J1595">
        <v>636.04852295000001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1259.231522</v>
      </c>
      <c r="B1596" s="1">
        <f>DATE(2013,10,11) + TIME(5,33,23)</f>
        <v>41558.231516203705</v>
      </c>
      <c r="C1596">
        <v>80</v>
      </c>
      <c r="D1596">
        <v>79.954559325999995</v>
      </c>
      <c r="E1596">
        <v>50</v>
      </c>
      <c r="F1596">
        <v>39.878551483000003</v>
      </c>
      <c r="G1596">
        <v>1775.6682129000001</v>
      </c>
      <c r="H1596">
        <v>1649.0949707</v>
      </c>
      <c r="I1596">
        <v>854.24511718999997</v>
      </c>
      <c r="J1596">
        <v>635.13696288999995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1261.8748599999999</v>
      </c>
      <c r="B1597" s="1">
        <f>DATE(2013,10,13) + TIME(20,59,47)</f>
        <v>41560.874849537038</v>
      </c>
      <c r="C1597">
        <v>80</v>
      </c>
      <c r="D1597">
        <v>79.954643250000004</v>
      </c>
      <c r="E1597">
        <v>50</v>
      </c>
      <c r="F1597">
        <v>39.838989257999998</v>
      </c>
      <c r="G1597">
        <v>1775.0377197</v>
      </c>
      <c r="H1597">
        <v>1648.4647216999999</v>
      </c>
      <c r="I1597">
        <v>853.77239989999998</v>
      </c>
      <c r="J1597">
        <v>634.30822753999996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1264.5422000000001</v>
      </c>
      <c r="B1598" s="1">
        <f>DATE(2013,10,16) + TIME(13,0,46)</f>
        <v>41563.542199074072</v>
      </c>
      <c r="C1598">
        <v>80</v>
      </c>
      <c r="D1598">
        <v>79.954727172999995</v>
      </c>
      <c r="E1598">
        <v>50</v>
      </c>
      <c r="F1598">
        <v>39.812736510999997</v>
      </c>
      <c r="G1598">
        <v>1774.4041748</v>
      </c>
      <c r="H1598">
        <v>1647.8312988</v>
      </c>
      <c r="I1598">
        <v>853.34527588000003</v>
      </c>
      <c r="J1598">
        <v>633.57025146000001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1267.242645</v>
      </c>
      <c r="B1599" s="1">
        <f>DATE(2013,10,19) + TIME(5,49,24)</f>
        <v>41566.242638888885</v>
      </c>
      <c r="C1599">
        <v>80</v>
      </c>
      <c r="D1599">
        <v>79.954818725999999</v>
      </c>
      <c r="E1599">
        <v>50</v>
      </c>
      <c r="F1599">
        <v>39.800811768000003</v>
      </c>
      <c r="G1599">
        <v>1773.7664795000001</v>
      </c>
      <c r="H1599">
        <v>1647.1937256000001</v>
      </c>
      <c r="I1599">
        <v>852.96673583999996</v>
      </c>
      <c r="J1599">
        <v>632.92987060999997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1269.9786650000001</v>
      </c>
      <c r="B1600" s="1">
        <f>DATE(2013,10,21) + TIME(23,29,16)</f>
        <v>41568.97865740741</v>
      </c>
      <c r="C1600">
        <v>80</v>
      </c>
      <c r="D1600">
        <v>79.954902649000005</v>
      </c>
      <c r="E1600">
        <v>50</v>
      </c>
      <c r="F1600">
        <v>39.804096221999998</v>
      </c>
      <c r="G1600">
        <v>1773.1246338000001</v>
      </c>
      <c r="H1600">
        <v>1646.5518798999999</v>
      </c>
      <c r="I1600">
        <v>852.63598633000004</v>
      </c>
      <c r="J1600">
        <v>632.38830566000001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1272.730063</v>
      </c>
      <c r="B1601" s="1">
        <f>DATE(2013,10,24) + TIME(17,31,17)</f>
        <v>41571.730057870373</v>
      </c>
      <c r="C1601">
        <v>80</v>
      </c>
      <c r="D1601">
        <v>79.954994201999995</v>
      </c>
      <c r="E1601">
        <v>50</v>
      </c>
      <c r="F1601">
        <v>39.823406218999999</v>
      </c>
      <c r="G1601">
        <v>1772.4822998</v>
      </c>
      <c r="H1601">
        <v>1645.909668</v>
      </c>
      <c r="I1601">
        <v>852.35247803000004</v>
      </c>
      <c r="J1601">
        <v>631.94696045000001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1275.5052310000001</v>
      </c>
      <c r="B1602" s="1">
        <f>DATE(2013,10,27) + TIME(12,7,31)</f>
        <v>41574.505219907405</v>
      </c>
      <c r="C1602">
        <v>80</v>
      </c>
      <c r="D1602">
        <v>79.955078125</v>
      </c>
      <c r="E1602">
        <v>50</v>
      </c>
      <c r="F1602">
        <v>39.859149932999998</v>
      </c>
      <c r="G1602">
        <v>1771.8388672000001</v>
      </c>
      <c r="H1602">
        <v>1645.2663574000001</v>
      </c>
      <c r="I1602">
        <v>852.11755371000004</v>
      </c>
      <c r="J1602">
        <v>631.60882568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1278.313005</v>
      </c>
      <c r="B1603" s="1">
        <f>DATE(2013,10,30) + TIME(7,30,43)</f>
        <v>41577.312997685185</v>
      </c>
      <c r="C1603">
        <v>80</v>
      </c>
      <c r="D1603">
        <v>79.955169678000004</v>
      </c>
      <c r="E1603">
        <v>50</v>
      </c>
      <c r="F1603">
        <v>39.911666869999998</v>
      </c>
      <c r="G1603">
        <v>1771.1932373</v>
      </c>
      <c r="H1603">
        <v>1644.6207274999999</v>
      </c>
      <c r="I1603">
        <v>851.92852783000001</v>
      </c>
      <c r="J1603">
        <v>631.37042236000002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1280</v>
      </c>
      <c r="B1604" s="1">
        <f>DATE(2013,11,1) + TIME(0,0,0)</f>
        <v>41579</v>
      </c>
      <c r="C1604">
        <v>80</v>
      </c>
      <c r="D1604">
        <v>79.955177307</v>
      </c>
      <c r="E1604">
        <v>50</v>
      </c>
      <c r="F1604">
        <v>39.972915649000001</v>
      </c>
      <c r="G1604">
        <v>1770.7646483999999</v>
      </c>
      <c r="H1604">
        <v>1644.1921387</v>
      </c>
      <c r="I1604">
        <v>851.76947021000001</v>
      </c>
      <c r="J1604">
        <v>631.20214843999997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1280.0000010000001</v>
      </c>
      <c r="B1605" s="1">
        <f>DATE(2013,11,1) + TIME(0,0,0)</f>
        <v>41579</v>
      </c>
      <c r="C1605">
        <v>80</v>
      </c>
      <c r="D1605">
        <v>79.955146790000001</v>
      </c>
      <c r="E1605">
        <v>50</v>
      </c>
      <c r="F1605">
        <v>39.972938538000001</v>
      </c>
      <c r="G1605">
        <v>1644.1821289</v>
      </c>
      <c r="H1605">
        <v>1517.6107178</v>
      </c>
      <c r="I1605">
        <v>1072.5874022999999</v>
      </c>
      <c r="J1605">
        <v>851.77893066000001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1280.000004</v>
      </c>
      <c r="B1606" s="1">
        <f>DATE(2013,11,1) + TIME(0,0,0)</f>
        <v>41579</v>
      </c>
      <c r="C1606">
        <v>80</v>
      </c>
      <c r="D1606">
        <v>79.955055236999996</v>
      </c>
      <c r="E1606">
        <v>50</v>
      </c>
      <c r="F1606">
        <v>39.973014831999997</v>
      </c>
      <c r="G1606">
        <v>1644.1520995999999</v>
      </c>
      <c r="H1606">
        <v>1517.5805664</v>
      </c>
      <c r="I1606">
        <v>1072.6166992000001</v>
      </c>
      <c r="J1606">
        <v>851.80737305000002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1280.0000130000001</v>
      </c>
      <c r="B1607" s="1">
        <f>DATE(2013,11,1) + TIME(0,0,1)</f>
        <v>41579.000011574077</v>
      </c>
      <c r="C1607">
        <v>80</v>
      </c>
      <c r="D1607">
        <v>79.954780579000001</v>
      </c>
      <c r="E1607">
        <v>50</v>
      </c>
      <c r="F1607">
        <v>39.973236084</v>
      </c>
      <c r="G1607">
        <v>1644.0620117000001</v>
      </c>
      <c r="H1607">
        <v>1517.4899902</v>
      </c>
      <c r="I1607">
        <v>1072.7043457</v>
      </c>
      <c r="J1607">
        <v>851.89276123000002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1280.0000399999999</v>
      </c>
      <c r="B1608" s="1">
        <f>DATE(2013,11,1) + TIME(0,0,3)</f>
        <v>41579.000034722223</v>
      </c>
      <c r="C1608">
        <v>80</v>
      </c>
      <c r="D1608">
        <v>79.953948975000003</v>
      </c>
      <c r="E1608">
        <v>50</v>
      </c>
      <c r="F1608">
        <v>39.973907470999997</v>
      </c>
      <c r="G1608">
        <v>1643.7923584</v>
      </c>
      <c r="H1608">
        <v>1517.2189940999999</v>
      </c>
      <c r="I1608">
        <v>1072.9671631000001</v>
      </c>
      <c r="J1608">
        <v>852.14868163999995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1280.000121</v>
      </c>
      <c r="B1609" s="1">
        <f>DATE(2013,11,1) + TIME(0,0,10)</f>
        <v>41579.000115740739</v>
      </c>
      <c r="C1609">
        <v>80</v>
      </c>
      <c r="D1609">
        <v>79.951484679999993</v>
      </c>
      <c r="E1609">
        <v>50</v>
      </c>
      <c r="F1609">
        <v>39.975921630999999</v>
      </c>
      <c r="G1609">
        <v>1642.9881591999999</v>
      </c>
      <c r="H1609">
        <v>1516.4106445</v>
      </c>
      <c r="I1609">
        <v>1073.7528076000001</v>
      </c>
      <c r="J1609">
        <v>852.91491699000005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1280.000364</v>
      </c>
      <c r="B1610" s="1">
        <f>DATE(2013,11,1) + TIME(0,0,31)</f>
        <v>41579.000358796293</v>
      </c>
      <c r="C1610">
        <v>80</v>
      </c>
      <c r="D1610">
        <v>79.944206238000007</v>
      </c>
      <c r="E1610">
        <v>50</v>
      </c>
      <c r="F1610">
        <v>39.981956482000001</v>
      </c>
      <c r="G1610">
        <v>1640.6169434000001</v>
      </c>
      <c r="H1610">
        <v>1514.0275879000001</v>
      </c>
      <c r="I1610">
        <v>1076.0866699000001</v>
      </c>
      <c r="J1610">
        <v>855.20007324000005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1280.0010930000001</v>
      </c>
      <c r="B1611" s="1">
        <f>DATE(2013,11,1) + TIME(0,1,34)</f>
        <v>41579.001087962963</v>
      </c>
      <c r="C1611">
        <v>80</v>
      </c>
      <c r="D1611">
        <v>79.923431395999998</v>
      </c>
      <c r="E1611">
        <v>50</v>
      </c>
      <c r="F1611">
        <v>39.999931334999999</v>
      </c>
      <c r="G1611">
        <v>1633.854126</v>
      </c>
      <c r="H1611">
        <v>1507.2315673999999</v>
      </c>
      <c r="I1611">
        <v>1082.8875731999999</v>
      </c>
      <c r="J1611">
        <v>861.92175293000003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1280.0032799999999</v>
      </c>
      <c r="B1612" s="1">
        <f>DATE(2013,11,1) + TIME(0,4,43)</f>
        <v>41579.003275462965</v>
      </c>
      <c r="C1612">
        <v>80</v>
      </c>
      <c r="D1612">
        <v>79.869163513000004</v>
      </c>
      <c r="E1612">
        <v>50</v>
      </c>
      <c r="F1612">
        <v>40.052425384999999</v>
      </c>
      <c r="G1612">
        <v>1616.1865233999999</v>
      </c>
      <c r="H1612">
        <v>1489.4798584</v>
      </c>
      <c r="I1612">
        <v>1101.6767577999999</v>
      </c>
      <c r="J1612">
        <v>880.79559326000003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1280.0098410000001</v>
      </c>
      <c r="B1613" s="1">
        <f>DATE(2013,11,1) + TIME(0,14,10)</f>
        <v>41579.009837962964</v>
      </c>
      <c r="C1613">
        <v>80</v>
      </c>
      <c r="D1613">
        <v>79.752227782999995</v>
      </c>
      <c r="E1613">
        <v>50</v>
      </c>
      <c r="F1613">
        <v>40.196891784999998</v>
      </c>
      <c r="G1613">
        <v>1578.1545410000001</v>
      </c>
      <c r="H1613">
        <v>1451.2728271000001</v>
      </c>
      <c r="I1613">
        <v>1147.1975098</v>
      </c>
      <c r="J1613">
        <v>927.24871826000003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1280.029524</v>
      </c>
      <c r="B1614" s="1">
        <f>DATE(2013,11,1) + TIME(0,42,30)</f>
        <v>41579.029513888891</v>
      </c>
      <c r="C1614">
        <v>80</v>
      </c>
      <c r="D1614">
        <v>79.568359375</v>
      </c>
      <c r="E1614">
        <v>50</v>
      </c>
      <c r="F1614">
        <v>40.551670074</v>
      </c>
      <c r="G1614">
        <v>1517.949707</v>
      </c>
      <c r="H1614">
        <v>1390.8050536999999</v>
      </c>
      <c r="I1614">
        <v>1232.4438477000001</v>
      </c>
      <c r="J1614">
        <v>1014.6172485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1280.077931</v>
      </c>
      <c r="B1615" s="1">
        <f>DATE(2013,11,1) + TIME(1,52,13)</f>
        <v>41579.077928240738</v>
      </c>
      <c r="C1615">
        <v>80</v>
      </c>
      <c r="D1615">
        <v>79.384490967000005</v>
      </c>
      <c r="E1615">
        <v>50</v>
      </c>
      <c r="F1615">
        <v>41.230304717999999</v>
      </c>
      <c r="G1615">
        <v>1454.4361572</v>
      </c>
      <c r="H1615">
        <v>1327.0338135</v>
      </c>
      <c r="I1615">
        <v>1334.3681641000001</v>
      </c>
      <c r="J1615">
        <v>1119.0299072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1280.135534</v>
      </c>
      <c r="B1616" s="1">
        <f>DATE(2013,11,1) + TIME(3,15,10)</f>
        <v>41579.13553240741</v>
      </c>
      <c r="C1616">
        <v>80</v>
      </c>
      <c r="D1616">
        <v>79.276847838999998</v>
      </c>
      <c r="E1616">
        <v>50</v>
      </c>
      <c r="F1616">
        <v>41.904010773000003</v>
      </c>
      <c r="G1616">
        <v>1414.5014647999999</v>
      </c>
      <c r="H1616">
        <v>1286.9505615</v>
      </c>
      <c r="I1616">
        <v>1400.7037353999999</v>
      </c>
      <c r="J1616">
        <v>1187.2539062000001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1280.2015140000001</v>
      </c>
      <c r="B1617" s="1">
        <f>DATE(2013,11,1) + TIME(4,50,10)</f>
        <v>41579.201504629629</v>
      </c>
      <c r="C1617">
        <v>80</v>
      </c>
      <c r="D1617">
        <v>79.205917357999994</v>
      </c>
      <c r="E1617">
        <v>50</v>
      </c>
      <c r="F1617">
        <v>42.575794219999999</v>
      </c>
      <c r="G1617">
        <v>1385.9824219</v>
      </c>
      <c r="H1617">
        <v>1258.3413086</v>
      </c>
      <c r="I1617">
        <v>1447.8215332</v>
      </c>
      <c r="J1617">
        <v>1236.1329346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1280.2749329999999</v>
      </c>
      <c r="B1618" s="1">
        <f>DATE(2013,11,1) + TIME(6,35,54)</f>
        <v>41579.274930555555</v>
      </c>
      <c r="C1618">
        <v>80</v>
      </c>
      <c r="D1618">
        <v>79.155006408999995</v>
      </c>
      <c r="E1618">
        <v>50</v>
      </c>
      <c r="F1618">
        <v>43.237518311000002</v>
      </c>
      <c r="G1618">
        <v>1363.8979492000001</v>
      </c>
      <c r="H1618">
        <v>1236.197876</v>
      </c>
      <c r="I1618">
        <v>1483.7894286999999</v>
      </c>
      <c r="J1618">
        <v>1273.8187256000001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1280.3556900000001</v>
      </c>
      <c r="B1619" s="1">
        <f>DATE(2013,11,1) + TIME(8,32,11)</f>
        <v>41579.355682870373</v>
      </c>
      <c r="C1619">
        <v>80</v>
      </c>
      <c r="D1619">
        <v>79.115821838000002</v>
      </c>
      <c r="E1619">
        <v>50</v>
      </c>
      <c r="F1619">
        <v>43.884563446000001</v>
      </c>
      <c r="G1619">
        <v>1345.7728271000001</v>
      </c>
      <c r="H1619">
        <v>1218.0324707</v>
      </c>
      <c r="I1619">
        <v>1512.9091797000001</v>
      </c>
      <c r="J1619">
        <v>1304.6175536999999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1280.444297</v>
      </c>
      <c r="B1620" s="1">
        <f>DATE(2013,11,1) + TIME(10,39,47)</f>
        <v>41579.444293981483</v>
      </c>
      <c r="C1620">
        <v>80</v>
      </c>
      <c r="D1620">
        <v>79.083786011000001</v>
      </c>
      <c r="E1620">
        <v>50</v>
      </c>
      <c r="F1620">
        <v>44.514404296999999</v>
      </c>
      <c r="G1620">
        <v>1330.2404785000001</v>
      </c>
      <c r="H1620">
        <v>1202.4714355000001</v>
      </c>
      <c r="I1620">
        <v>1537.5822754000001</v>
      </c>
      <c r="J1620">
        <v>1330.9238281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1280.5417399999999</v>
      </c>
      <c r="B1621" s="1">
        <f>DATE(2013,11,1) + TIME(13,0,6)</f>
        <v>41579.54173611111</v>
      </c>
      <c r="C1621">
        <v>80</v>
      </c>
      <c r="D1621">
        <v>79.056106567</v>
      </c>
      <c r="E1621">
        <v>50</v>
      </c>
      <c r="F1621">
        <v>45.125320434999999</v>
      </c>
      <c r="G1621">
        <v>1316.4750977000001</v>
      </c>
      <c r="H1621">
        <v>1188.6850586</v>
      </c>
      <c r="I1621">
        <v>1559.2530518000001</v>
      </c>
      <c r="J1621">
        <v>1354.1757812000001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1280.649494</v>
      </c>
      <c r="B1622" s="1">
        <f>DATE(2013,11,1) + TIME(15,35,16)</f>
        <v>41579.64949074074</v>
      </c>
      <c r="C1622">
        <v>80</v>
      </c>
      <c r="D1622">
        <v>79.030906677000004</v>
      </c>
      <c r="E1622">
        <v>50</v>
      </c>
      <c r="F1622">
        <v>45.715915680000002</v>
      </c>
      <c r="G1622">
        <v>1303.9323730000001</v>
      </c>
      <c r="H1622">
        <v>1176.1265868999999</v>
      </c>
      <c r="I1622">
        <v>1578.8652344</v>
      </c>
      <c r="J1622">
        <v>1375.3117675999999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1280.7696060000001</v>
      </c>
      <c r="B1623" s="1">
        <f>DATE(2013,11,1) + TIME(18,28,13)</f>
        <v>41579.769594907404</v>
      </c>
      <c r="C1623">
        <v>80</v>
      </c>
      <c r="D1623">
        <v>79.006767272999994</v>
      </c>
      <c r="E1623">
        <v>50</v>
      </c>
      <c r="F1623">
        <v>46.284683227999999</v>
      </c>
      <c r="G1623">
        <v>1292.2261963000001</v>
      </c>
      <c r="H1623">
        <v>1164.4077147999999</v>
      </c>
      <c r="I1623">
        <v>1597.0826416</v>
      </c>
      <c r="J1623">
        <v>1394.9921875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1280.9049560000001</v>
      </c>
      <c r="B1624" s="1">
        <f>DATE(2013,11,1) + TIME(21,43,8)</f>
        <v>41579.904953703706</v>
      </c>
      <c r="C1624">
        <v>80</v>
      </c>
      <c r="D1624">
        <v>78.982521057</v>
      </c>
      <c r="E1624">
        <v>50</v>
      </c>
      <c r="F1624">
        <v>46.830036163000003</v>
      </c>
      <c r="G1624">
        <v>1281.0524902</v>
      </c>
      <c r="H1624">
        <v>1153.2233887</v>
      </c>
      <c r="I1624">
        <v>1614.418457</v>
      </c>
      <c r="J1624">
        <v>1413.7271728999999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1281.0596350000001</v>
      </c>
      <c r="B1625" s="1">
        <f>DATE(2013,11,2) + TIME(1,25,52)</f>
        <v>41580.059629629628</v>
      </c>
      <c r="C1625">
        <v>80</v>
      </c>
      <c r="D1625">
        <v>78.957038878999995</v>
      </c>
      <c r="E1625">
        <v>50</v>
      </c>
      <c r="F1625">
        <v>47.350028991999999</v>
      </c>
      <c r="G1625">
        <v>1270.1499022999999</v>
      </c>
      <c r="H1625">
        <v>1142.3106689000001</v>
      </c>
      <c r="I1625">
        <v>1631.3055420000001</v>
      </c>
      <c r="J1625">
        <v>1431.9468993999999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1281.239624</v>
      </c>
      <c r="B1626" s="1">
        <f>DATE(2013,11,2) + TIME(5,45,3)</f>
        <v>41580.239618055559</v>
      </c>
      <c r="C1626">
        <v>80</v>
      </c>
      <c r="D1626">
        <v>78.929153442</v>
      </c>
      <c r="E1626">
        <v>50</v>
      </c>
      <c r="F1626">
        <v>47.842121124000002</v>
      </c>
      <c r="G1626">
        <v>1259.2662353999999</v>
      </c>
      <c r="H1626">
        <v>1131.4167480000001</v>
      </c>
      <c r="I1626">
        <v>1648.1523437999999</v>
      </c>
      <c r="J1626">
        <v>1450.0561522999999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1281.4540649999999</v>
      </c>
      <c r="B1627" s="1">
        <f>DATE(2013,11,2) + TIME(10,53,51)</f>
        <v>41580.454062500001</v>
      </c>
      <c r="C1627">
        <v>80</v>
      </c>
      <c r="D1627">
        <v>78.897438049000002</v>
      </c>
      <c r="E1627">
        <v>50</v>
      </c>
      <c r="F1627">
        <v>48.302906036000003</v>
      </c>
      <c r="G1627">
        <v>1248.1273193</v>
      </c>
      <c r="H1627">
        <v>1120.2661132999999</v>
      </c>
      <c r="I1627">
        <v>1665.3920897999999</v>
      </c>
      <c r="J1627">
        <v>1468.4829102000001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1281.6963840000001</v>
      </c>
      <c r="B1628" s="1">
        <f>DATE(2013,11,2) + TIME(16,42,47)</f>
        <v>41580.696377314816</v>
      </c>
      <c r="C1628">
        <v>80</v>
      </c>
      <c r="D1628">
        <v>78.862060546999999</v>
      </c>
      <c r="E1628">
        <v>50</v>
      </c>
      <c r="F1628">
        <v>48.701251984000002</v>
      </c>
      <c r="G1628">
        <v>1237.2305908000001</v>
      </c>
      <c r="H1628">
        <v>1109.3558350000001</v>
      </c>
      <c r="I1628">
        <v>1682.2255858999999</v>
      </c>
      <c r="J1628">
        <v>1486.3502197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1281.9468750000001</v>
      </c>
      <c r="B1629" s="1">
        <f>DATE(2013,11,2) + TIME(22,43,30)</f>
        <v>41580.946875000001</v>
      </c>
      <c r="C1629">
        <v>80</v>
      </c>
      <c r="D1629">
        <v>78.824714661000002</v>
      </c>
      <c r="E1629">
        <v>50</v>
      </c>
      <c r="F1629">
        <v>49.013874053999999</v>
      </c>
      <c r="G1629">
        <v>1227.3223877</v>
      </c>
      <c r="H1629">
        <v>1099.4327393000001</v>
      </c>
      <c r="I1629">
        <v>1697.4649658000001</v>
      </c>
      <c r="J1629">
        <v>1502.4117432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1282.205475</v>
      </c>
      <c r="B1630" s="1">
        <f>DATE(2013,11,3) + TIME(4,55,53)</f>
        <v>41581.205474537041</v>
      </c>
      <c r="C1630">
        <v>80</v>
      </c>
      <c r="D1630">
        <v>78.785675049000005</v>
      </c>
      <c r="E1630">
        <v>50</v>
      </c>
      <c r="F1630">
        <v>49.257118224999999</v>
      </c>
      <c r="G1630">
        <v>1218.2166748</v>
      </c>
      <c r="H1630">
        <v>1090.3104248</v>
      </c>
      <c r="I1630">
        <v>1711.4182129000001</v>
      </c>
      <c r="J1630">
        <v>1517.0163574000001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1282.4757609999999</v>
      </c>
      <c r="B1631" s="1">
        <f>DATE(2013,11,3) + TIME(11,25,5)</f>
        <v>41581.475752314815</v>
      </c>
      <c r="C1631">
        <v>80</v>
      </c>
      <c r="D1631">
        <v>78.744842528999996</v>
      </c>
      <c r="E1631">
        <v>50</v>
      </c>
      <c r="F1631">
        <v>49.446666718000003</v>
      </c>
      <c r="G1631">
        <v>1209.6740723</v>
      </c>
      <c r="H1631">
        <v>1081.7495117000001</v>
      </c>
      <c r="I1631">
        <v>1724.4605713000001</v>
      </c>
      <c r="J1631">
        <v>1530.5776367000001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1282.7612630000001</v>
      </c>
      <c r="B1632" s="1">
        <f>DATE(2013,11,3) + TIME(18,16,13)</f>
        <v>41581.761261574073</v>
      </c>
      <c r="C1632">
        <v>80</v>
      </c>
      <c r="D1632">
        <v>78.702041625999996</v>
      </c>
      <c r="E1632">
        <v>50</v>
      </c>
      <c r="F1632">
        <v>49.593830109000002</v>
      </c>
      <c r="G1632">
        <v>1201.5285644999999</v>
      </c>
      <c r="H1632">
        <v>1073.5847168</v>
      </c>
      <c r="I1632">
        <v>1736.8414307</v>
      </c>
      <c r="J1632">
        <v>1543.3726807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1283.066026</v>
      </c>
      <c r="B1633" s="1">
        <f>DATE(2013,11,4) + TIME(1,35,4)</f>
        <v>41582.066018518519</v>
      </c>
      <c r="C1633">
        <v>80</v>
      </c>
      <c r="D1633">
        <v>78.656990050999994</v>
      </c>
      <c r="E1633">
        <v>50</v>
      </c>
      <c r="F1633">
        <v>49.707214354999998</v>
      </c>
      <c r="G1633">
        <v>1193.6523437999999</v>
      </c>
      <c r="H1633">
        <v>1065.6877440999999</v>
      </c>
      <c r="I1633">
        <v>1748.7489014</v>
      </c>
      <c r="J1633">
        <v>1555.6105957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1283.394982</v>
      </c>
      <c r="B1634" s="1">
        <f>DATE(2013,11,4) + TIME(9,28,46)</f>
        <v>41582.394976851851</v>
      </c>
      <c r="C1634">
        <v>80</v>
      </c>
      <c r="D1634">
        <v>78.609313964999998</v>
      </c>
      <c r="E1634">
        <v>50</v>
      </c>
      <c r="F1634">
        <v>49.793544769</v>
      </c>
      <c r="G1634">
        <v>1185.9383545000001</v>
      </c>
      <c r="H1634">
        <v>1057.9519043</v>
      </c>
      <c r="I1634">
        <v>1760.3359375</v>
      </c>
      <c r="J1634">
        <v>1567.4604492000001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1283.754361</v>
      </c>
      <c r="B1635" s="1">
        <f>DATE(2013,11,4) + TIME(18,6,16)</f>
        <v>41582.754351851851</v>
      </c>
      <c r="C1635">
        <v>80</v>
      </c>
      <c r="D1635">
        <v>78.558502196999996</v>
      </c>
      <c r="E1635">
        <v>50</v>
      </c>
      <c r="F1635">
        <v>49.858188628999997</v>
      </c>
      <c r="G1635">
        <v>1178.2907714999999</v>
      </c>
      <c r="H1635">
        <v>1050.2813721</v>
      </c>
      <c r="I1635">
        <v>1771.7355957</v>
      </c>
      <c r="J1635">
        <v>1579.0686035000001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1284.152274</v>
      </c>
      <c r="B1636" s="1">
        <f>DATE(2013,11,5) + TIME(3,39,16)</f>
        <v>41583.152268518519</v>
      </c>
      <c r="C1636">
        <v>80</v>
      </c>
      <c r="D1636">
        <v>78.503837584999999</v>
      </c>
      <c r="E1636">
        <v>50</v>
      </c>
      <c r="F1636">
        <v>49.905479431000003</v>
      </c>
      <c r="G1636">
        <v>1170.6181641000001</v>
      </c>
      <c r="H1636">
        <v>1042.5842285000001</v>
      </c>
      <c r="I1636">
        <v>1783.0705565999999</v>
      </c>
      <c r="J1636">
        <v>1590.5681152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1284.599747</v>
      </c>
      <c r="B1637" s="1">
        <f>DATE(2013,11,5) + TIME(14,23,38)</f>
        <v>41583.599745370368</v>
      </c>
      <c r="C1637">
        <v>80</v>
      </c>
      <c r="D1637">
        <v>78.444366454999994</v>
      </c>
      <c r="E1637">
        <v>50</v>
      </c>
      <c r="F1637">
        <v>49.938980102999999</v>
      </c>
      <c r="G1637">
        <v>1162.8233643000001</v>
      </c>
      <c r="H1637">
        <v>1034.7631836</v>
      </c>
      <c r="I1637">
        <v>1794.465332</v>
      </c>
      <c r="J1637">
        <v>1602.0924072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1285.10005</v>
      </c>
      <c r="B1638" s="1">
        <f>DATE(2013,11,6) + TIME(2,24,4)</f>
        <v>41584.100046296298</v>
      </c>
      <c r="C1638">
        <v>80</v>
      </c>
      <c r="D1638">
        <v>78.379661560000002</v>
      </c>
      <c r="E1638">
        <v>50</v>
      </c>
      <c r="F1638">
        <v>49.961318970000001</v>
      </c>
      <c r="G1638">
        <v>1154.9692382999999</v>
      </c>
      <c r="H1638">
        <v>1026.8812256000001</v>
      </c>
      <c r="I1638">
        <v>1805.7954102000001</v>
      </c>
      <c r="J1638">
        <v>1613.5236815999999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1285.605266</v>
      </c>
      <c r="B1639" s="1">
        <f>DATE(2013,11,6) + TIME(14,31,35)</f>
        <v>41584.605266203704</v>
      </c>
      <c r="C1639">
        <v>80</v>
      </c>
      <c r="D1639">
        <v>78.313095093000001</v>
      </c>
      <c r="E1639">
        <v>50</v>
      </c>
      <c r="F1639">
        <v>49.974418640000003</v>
      </c>
      <c r="G1639">
        <v>1147.769043</v>
      </c>
      <c r="H1639">
        <v>1019.6536255</v>
      </c>
      <c r="I1639">
        <v>1815.9862060999999</v>
      </c>
      <c r="J1639">
        <v>1623.7910156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1286.1237880000001</v>
      </c>
      <c r="B1640" s="1">
        <f>DATE(2013,11,7) + TIME(2,58,15)</f>
        <v>41585.123784722222</v>
      </c>
      <c r="C1640">
        <v>80</v>
      </c>
      <c r="D1640">
        <v>78.244934082</v>
      </c>
      <c r="E1640">
        <v>50</v>
      </c>
      <c r="F1640">
        <v>49.981914519999997</v>
      </c>
      <c r="G1640">
        <v>1141.0361327999999</v>
      </c>
      <c r="H1640">
        <v>1012.8927002</v>
      </c>
      <c r="I1640">
        <v>1825.380249</v>
      </c>
      <c r="J1640">
        <v>1633.2430420000001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1286.6642280000001</v>
      </c>
      <c r="B1641" s="1">
        <f>DATE(2013,11,7) + TIME(15,56,29)</f>
        <v>41585.664224537039</v>
      </c>
      <c r="C1641">
        <v>80</v>
      </c>
      <c r="D1641">
        <v>78.174903869999994</v>
      </c>
      <c r="E1641">
        <v>50</v>
      </c>
      <c r="F1641">
        <v>49.985931395999998</v>
      </c>
      <c r="G1641">
        <v>1134.6276855000001</v>
      </c>
      <c r="H1641">
        <v>1006.4556885</v>
      </c>
      <c r="I1641">
        <v>1834.1998291</v>
      </c>
      <c r="J1641">
        <v>1642.1081543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1287.235115</v>
      </c>
      <c r="B1642" s="1">
        <f>DATE(2013,11,8) + TIME(5,38,33)</f>
        <v>41586.23510416667</v>
      </c>
      <c r="C1642">
        <v>80</v>
      </c>
      <c r="D1642">
        <v>78.102439880000006</v>
      </c>
      <c r="E1642">
        <v>50</v>
      </c>
      <c r="F1642">
        <v>49.987770081000001</v>
      </c>
      <c r="G1642">
        <v>1128.4395752</v>
      </c>
      <c r="H1642">
        <v>1000.2385254</v>
      </c>
      <c r="I1642">
        <v>1842.5959473</v>
      </c>
      <c r="J1642">
        <v>1650.541626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1287.8463979999999</v>
      </c>
      <c r="B1643" s="1">
        <f>DATE(2013,11,8) + TIME(20,18,48)</f>
        <v>41586.846388888887</v>
      </c>
      <c r="C1643">
        <v>80</v>
      </c>
      <c r="D1643">
        <v>78.026748656999999</v>
      </c>
      <c r="E1643">
        <v>50</v>
      </c>
      <c r="F1643">
        <v>49.988243103000002</v>
      </c>
      <c r="G1643">
        <v>1122.3850098</v>
      </c>
      <c r="H1643">
        <v>994.15386963000003</v>
      </c>
      <c r="I1643">
        <v>1850.6898193</v>
      </c>
      <c r="J1643">
        <v>1658.6672363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1288.510141</v>
      </c>
      <c r="B1644" s="1">
        <f>DATE(2013,11,9) + TIME(12,14,36)</f>
        <v>41587.510138888887</v>
      </c>
      <c r="C1644">
        <v>80</v>
      </c>
      <c r="D1644">
        <v>77.946800232000001</v>
      </c>
      <c r="E1644">
        <v>50</v>
      </c>
      <c r="F1644">
        <v>49.987873077000003</v>
      </c>
      <c r="G1644">
        <v>1116.3873291</v>
      </c>
      <c r="H1644">
        <v>988.12493896000001</v>
      </c>
      <c r="I1644">
        <v>1858.5817870999999</v>
      </c>
      <c r="J1644">
        <v>1666.5874022999999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1289.2348039999999</v>
      </c>
      <c r="B1645" s="1">
        <f>DATE(2013,11,10) + TIME(5,38,7)</f>
        <v>41588.234803240739</v>
      </c>
      <c r="C1645">
        <v>80</v>
      </c>
      <c r="D1645">
        <v>77.861679077000005</v>
      </c>
      <c r="E1645">
        <v>50</v>
      </c>
      <c r="F1645">
        <v>49.987003326</v>
      </c>
      <c r="G1645">
        <v>1110.4256591999999</v>
      </c>
      <c r="H1645">
        <v>982.13043213000003</v>
      </c>
      <c r="I1645">
        <v>1866.2912598</v>
      </c>
      <c r="J1645">
        <v>1674.3225098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1290.0283770000001</v>
      </c>
      <c r="B1646" s="1">
        <f>DATE(2013,11,11) + TIME(0,40,51)</f>
        <v>41589.028368055559</v>
      </c>
      <c r="C1646">
        <v>80</v>
      </c>
      <c r="D1646">
        <v>77.770523071</v>
      </c>
      <c r="E1646">
        <v>50</v>
      </c>
      <c r="F1646">
        <v>49.985866547000001</v>
      </c>
      <c r="G1646">
        <v>1104.4958495999999</v>
      </c>
      <c r="H1646">
        <v>976.16601562000005</v>
      </c>
      <c r="I1646">
        <v>1873.8156738</v>
      </c>
      <c r="J1646">
        <v>1681.8710937999999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1290.851369</v>
      </c>
      <c r="B1647" s="1">
        <f>DATE(2013,11,11) + TIME(20,25,58)</f>
        <v>41589.851365740738</v>
      </c>
      <c r="C1647">
        <v>80</v>
      </c>
      <c r="D1647">
        <v>77.675048828000001</v>
      </c>
      <c r="E1647">
        <v>50</v>
      </c>
      <c r="F1647">
        <v>49.984664917000003</v>
      </c>
      <c r="G1647">
        <v>1098.8928223</v>
      </c>
      <c r="H1647">
        <v>970.52734375</v>
      </c>
      <c r="I1647">
        <v>1880.7604980000001</v>
      </c>
      <c r="J1647">
        <v>1688.8387451000001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1291.68886</v>
      </c>
      <c r="B1648" s="1">
        <f>DATE(2013,11,12) + TIME(16,31,57)</f>
        <v>41590.688854166663</v>
      </c>
      <c r="C1648">
        <v>80</v>
      </c>
      <c r="D1648">
        <v>77.577148437999995</v>
      </c>
      <c r="E1648">
        <v>50</v>
      </c>
      <c r="F1648">
        <v>49.983512877999999</v>
      </c>
      <c r="G1648">
        <v>1093.6796875</v>
      </c>
      <c r="H1648">
        <v>965.27783203000001</v>
      </c>
      <c r="I1648">
        <v>1887.0806885</v>
      </c>
      <c r="J1648">
        <v>1695.1794434000001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1292.5539040000001</v>
      </c>
      <c r="B1649" s="1">
        <f>DATE(2013,11,13) + TIME(13,17,37)</f>
        <v>41591.553900462961</v>
      </c>
      <c r="C1649">
        <v>80</v>
      </c>
      <c r="D1649">
        <v>77.477172851999995</v>
      </c>
      <c r="E1649">
        <v>50</v>
      </c>
      <c r="F1649">
        <v>49.982452393000003</v>
      </c>
      <c r="G1649">
        <v>1088.7489014</v>
      </c>
      <c r="H1649">
        <v>960.30993651999995</v>
      </c>
      <c r="I1649">
        <v>1892.9422606999999</v>
      </c>
      <c r="J1649">
        <v>1701.0593262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1293.459642</v>
      </c>
      <c r="B1650" s="1">
        <f>DATE(2013,11,14) + TIME(11,1,53)</f>
        <v>41592.459641203706</v>
      </c>
      <c r="C1650">
        <v>80</v>
      </c>
      <c r="D1650">
        <v>77.374549865999995</v>
      </c>
      <c r="E1650">
        <v>50</v>
      </c>
      <c r="F1650">
        <v>49.981479645</v>
      </c>
      <c r="G1650">
        <v>1084.0189209</v>
      </c>
      <c r="H1650">
        <v>955.54168701000003</v>
      </c>
      <c r="I1650">
        <v>1898.4554443</v>
      </c>
      <c r="J1650">
        <v>1706.5889893000001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1294.420586</v>
      </c>
      <c r="B1651" s="1">
        <f>DATE(2013,11,15) + TIME(10,5,38)</f>
        <v>41593.420578703706</v>
      </c>
      <c r="C1651">
        <v>80</v>
      </c>
      <c r="D1651">
        <v>77.268241881999998</v>
      </c>
      <c r="E1651">
        <v>50</v>
      </c>
      <c r="F1651">
        <v>49.980579376000001</v>
      </c>
      <c r="G1651">
        <v>1079.4237060999999</v>
      </c>
      <c r="H1651">
        <v>950.90710449000005</v>
      </c>
      <c r="I1651">
        <v>1903.7017822</v>
      </c>
      <c r="J1651">
        <v>1711.8505858999999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1295.4542859999999</v>
      </c>
      <c r="B1652" s="1">
        <f>DATE(2013,11,16) + TIME(10,54,10)</f>
        <v>41594.454282407409</v>
      </c>
      <c r="C1652">
        <v>80</v>
      </c>
      <c r="D1652">
        <v>77.156852721999996</v>
      </c>
      <c r="E1652">
        <v>50</v>
      </c>
      <c r="F1652">
        <v>49.979747772000003</v>
      </c>
      <c r="G1652">
        <v>1074.9060059000001</v>
      </c>
      <c r="H1652">
        <v>946.34808350000003</v>
      </c>
      <c r="I1652">
        <v>1908.7470702999999</v>
      </c>
      <c r="J1652">
        <v>1716.9100341999999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1296.5829839999999</v>
      </c>
      <c r="B1653" s="1">
        <f>DATE(2013,11,17) + TIME(13,59,29)</f>
        <v>41595.582974537036</v>
      </c>
      <c r="C1653">
        <v>80</v>
      </c>
      <c r="D1653">
        <v>77.038612365999995</v>
      </c>
      <c r="E1653">
        <v>50</v>
      </c>
      <c r="F1653">
        <v>49.978973388999997</v>
      </c>
      <c r="G1653">
        <v>1070.4121094</v>
      </c>
      <c r="H1653">
        <v>941.81030272999999</v>
      </c>
      <c r="I1653">
        <v>1913.6466064000001</v>
      </c>
      <c r="J1653">
        <v>1721.8229980000001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1297.7926849999999</v>
      </c>
      <c r="B1654" s="1">
        <f>DATE(2013,11,18) + TIME(19,1,27)</f>
        <v>41596.792673611111</v>
      </c>
      <c r="C1654">
        <v>80</v>
      </c>
      <c r="D1654">
        <v>76.912979125999996</v>
      </c>
      <c r="E1654">
        <v>50</v>
      </c>
      <c r="F1654">
        <v>49.978260040000002</v>
      </c>
      <c r="G1654">
        <v>1066.0279541</v>
      </c>
      <c r="H1654">
        <v>937.37951659999999</v>
      </c>
      <c r="I1654">
        <v>1918.2879639</v>
      </c>
      <c r="J1654">
        <v>1726.4771728999999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1299.016521</v>
      </c>
      <c r="B1655" s="1">
        <f>DATE(2013,11,20) + TIME(0,23,47)</f>
        <v>41598.016516203701</v>
      </c>
      <c r="C1655">
        <v>80</v>
      </c>
      <c r="D1655">
        <v>76.782730103000006</v>
      </c>
      <c r="E1655">
        <v>50</v>
      </c>
      <c r="F1655">
        <v>49.977634430000002</v>
      </c>
      <c r="G1655">
        <v>1061.9703368999999</v>
      </c>
      <c r="H1655">
        <v>933.27355956999997</v>
      </c>
      <c r="I1655">
        <v>1922.4317627</v>
      </c>
      <c r="J1655">
        <v>1730.6329346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1300.2729549999999</v>
      </c>
      <c r="B1656" s="1">
        <f>DATE(2013,11,21) + TIME(6,33,3)</f>
        <v>41599.272951388892</v>
      </c>
      <c r="C1656">
        <v>80</v>
      </c>
      <c r="D1656">
        <v>76.650047302000004</v>
      </c>
      <c r="E1656">
        <v>50</v>
      </c>
      <c r="F1656">
        <v>49.977092743</v>
      </c>
      <c r="G1656">
        <v>1058.1589355000001</v>
      </c>
      <c r="H1656">
        <v>929.41192626999998</v>
      </c>
      <c r="I1656">
        <v>1926.2050781</v>
      </c>
      <c r="J1656">
        <v>1734.4168701000001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1301.5814760000001</v>
      </c>
      <c r="B1657" s="1">
        <f>DATE(2013,11,22) + TIME(13,57,19)</f>
        <v>41600.581469907411</v>
      </c>
      <c r="C1657">
        <v>80</v>
      </c>
      <c r="D1657">
        <v>76.514564514</v>
      </c>
      <c r="E1657">
        <v>50</v>
      </c>
      <c r="F1657">
        <v>49.976615905999999</v>
      </c>
      <c r="G1657">
        <v>1054.5277100000001</v>
      </c>
      <c r="H1657">
        <v>925.72863770000004</v>
      </c>
      <c r="I1657">
        <v>1929.6885986</v>
      </c>
      <c r="J1657">
        <v>1737.909668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1302.963109</v>
      </c>
      <c r="B1658" s="1">
        <f>DATE(2013,11,23) + TIME(23,6,52)</f>
        <v>41601.963101851848</v>
      </c>
      <c r="C1658">
        <v>80</v>
      </c>
      <c r="D1658">
        <v>76.374916076999995</v>
      </c>
      <c r="E1658">
        <v>50</v>
      </c>
      <c r="F1658">
        <v>49.976188659999998</v>
      </c>
      <c r="G1658">
        <v>1051.0249022999999</v>
      </c>
      <c r="H1658">
        <v>922.17095946999996</v>
      </c>
      <c r="I1658">
        <v>1932.9368896000001</v>
      </c>
      <c r="J1658">
        <v>1741.1665039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1304.4431850000001</v>
      </c>
      <c r="B1659" s="1">
        <f>DATE(2013,11,25) + TIME(10,38,11)</f>
        <v>41603.443182870367</v>
      </c>
      <c r="C1659">
        <v>80</v>
      </c>
      <c r="D1659">
        <v>76.229209900000001</v>
      </c>
      <c r="E1659">
        <v>50</v>
      </c>
      <c r="F1659">
        <v>49.975803374999998</v>
      </c>
      <c r="G1659">
        <v>1047.6052245999999</v>
      </c>
      <c r="H1659">
        <v>918.69311522999999</v>
      </c>
      <c r="I1659">
        <v>1935.9908447</v>
      </c>
      <c r="J1659">
        <v>1744.2282714999999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1306.0347340000001</v>
      </c>
      <c r="B1660" s="1">
        <f>DATE(2013,11,27) + TIME(0,50,0)</f>
        <v>41605.034722222219</v>
      </c>
      <c r="C1660">
        <v>80</v>
      </c>
      <c r="D1660">
        <v>76.075637817</v>
      </c>
      <c r="E1660">
        <v>50</v>
      </c>
      <c r="F1660">
        <v>49.975452423</v>
      </c>
      <c r="G1660">
        <v>1044.2619629000001</v>
      </c>
      <c r="H1660">
        <v>915.28692626999998</v>
      </c>
      <c r="I1660">
        <v>1938.8477783000001</v>
      </c>
      <c r="J1660">
        <v>1747.0922852000001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1307.6907819999999</v>
      </c>
      <c r="B1661" s="1">
        <f>DATE(2013,11,28) + TIME(16,34,43)</f>
        <v>41606.690775462965</v>
      </c>
      <c r="C1661">
        <v>80</v>
      </c>
      <c r="D1661">
        <v>75.914642334000007</v>
      </c>
      <c r="E1661">
        <v>50</v>
      </c>
      <c r="F1661">
        <v>49.975139618</v>
      </c>
      <c r="G1661">
        <v>1041.0897216999999</v>
      </c>
      <c r="H1661">
        <v>912.04693603999999</v>
      </c>
      <c r="I1661">
        <v>1941.4102783000001</v>
      </c>
      <c r="J1661">
        <v>1749.6616211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1309.36789</v>
      </c>
      <c r="B1662" s="1">
        <f>DATE(2013,11,30) + TIME(8,49,45)</f>
        <v>41608.367881944447</v>
      </c>
      <c r="C1662">
        <v>80</v>
      </c>
      <c r="D1662">
        <v>75.749450683999996</v>
      </c>
      <c r="E1662">
        <v>50</v>
      </c>
      <c r="F1662">
        <v>49.974868774000001</v>
      </c>
      <c r="G1662">
        <v>1038.1481934000001</v>
      </c>
      <c r="H1662">
        <v>909.03344727000001</v>
      </c>
      <c r="I1662">
        <v>1943.6414795000001</v>
      </c>
      <c r="J1662">
        <v>1751.8989257999999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1310</v>
      </c>
      <c r="B1663" s="1">
        <f>DATE(2013,12,1) + TIME(0,0,0)</f>
        <v>41609</v>
      </c>
      <c r="C1663">
        <v>80</v>
      </c>
      <c r="D1663">
        <v>75.639991760000001</v>
      </c>
      <c r="E1663">
        <v>50</v>
      </c>
      <c r="F1663">
        <v>49.974674225000001</v>
      </c>
      <c r="G1663">
        <v>1036.9691161999999</v>
      </c>
      <c r="H1663">
        <v>907.81024170000001</v>
      </c>
      <c r="I1663">
        <v>1944.3157959</v>
      </c>
      <c r="J1663">
        <v>1752.578125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1311.7224799999999</v>
      </c>
      <c r="B1664" s="1">
        <f>DATE(2013,12,2) + TIME(17,20,22)</f>
        <v>41610.72247685185</v>
      </c>
      <c r="C1664">
        <v>80</v>
      </c>
      <c r="D1664">
        <v>75.504821777000004</v>
      </c>
      <c r="E1664">
        <v>50</v>
      </c>
      <c r="F1664">
        <v>49.974567413000003</v>
      </c>
      <c r="G1664">
        <v>1034.3699951000001</v>
      </c>
      <c r="H1664">
        <v>905.13964843999997</v>
      </c>
      <c r="I1664">
        <v>1946.2593993999999</v>
      </c>
      <c r="J1664">
        <v>1754.5238036999999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1313.551379</v>
      </c>
      <c r="B1665" s="1">
        <f>DATE(2013,12,4) + TIME(13,13,59)</f>
        <v>41612.551377314812</v>
      </c>
      <c r="C1665">
        <v>80</v>
      </c>
      <c r="D1665">
        <v>75.34375</v>
      </c>
      <c r="E1665">
        <v>50</v>
      </c>
      <c r="F1665">
        <v>49.974391937</v>
      </c>
      <c r="G1665">
        <v>1031.7899170000001</v>
      </c>
      <c r="H1665">
        <v>902.48266602000001</v>
      </c>
      <c r="I1665">
        <v>1947.9746094</v>
      </c>
      <c r="J1665">
        <v>1756.2434082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1315.4890969999999</v>
      </c>
      <c r="B1666" s="1">
        <f>DATE(2013,12,6) + TIME(11,44,17)</f>
        <v>41614.489085648151</v>
      </c>
      <c r="C1666">
        <v>80</v>
      </c>
      <c r="D1666">
        <v>75.168502808</v>
      </c>
      <c r="E1666">
        <v>50</v>
      </c>
      <c r="F1666">
        <v>49.974224091000004</v>
      </c>
      <c r="G1666">
        <v>1029.2823486</v>
      </c>
      <c r="H1666">
        <v>899.88610840000001</v>
      </c>
      <c r="I1666">
        <v>1949.4879149999999</v>
      </c>
      <c r="J1666">
        <v>1757.7607422000001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1317.4670799999999</v>
      </c>
      <c r="B1667" s="1">
        <f>DATE(2013,12,8) + TIME(11,12,35)</f>
        <v>41616.46707175926</v>
      </c>
      <c r="C1667">
        <v>80</v>
      </c>
      <c r="D1667">
        <v>74.984588622999993</v>
      </c>
      <c r="E1667">
        <v>50</v>
      </c>
      <c r="F1667">
        <v>49.974079132</v>
      </c>
      <c r="G1667">
        <v>1026.918457</v>
      </c>
      <c r="H1667">
        <v>897.42346191000001</v>
      </c>
      <c r="I1667">
        <v>1950.7630615</v>
      </c>
      <c r="J1667">
        <v>1759.0395507999999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1319.482289</v>
      </c>
      <c r="B1668" s="1">
        <f>DATE(2013,12,10) + TIME(11,34,29)</f>
        <v>41618.48228009259</v>
      </c>
      <c r="C1668">
        <v>80</v>
      </c>
      <c r="D1668">
        <v>74.796440125000004</v>
      </c>
      <c r="E1668">
        <v>50</v>
      </c>
      <c r="F1668">
        <v>49.973964690999999</v>
      </c>
      <c r="G1668">
        <v>1024.6915283000001</v>
      </c>
      <c r="H1668">
        <v>895.08917236000002</v>
      </c>
      <c r="I1668">
        <v>1951.8320312000001</v>
      </c>
      <c r="J1668">
        <v>1760.1118164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1321.5595229999999</v>
      </c>
      <c r="B1669" s="1">
        <f>DATE(2013,12,12) + TIME(13,25,42)</f>
        <v>41620.559513888889</v>
      </c>
      <c r="C1669">
        <v>80</v>
      </c>
      <c r="D1669">
        <v>74.604957580999994</v>
      </c>
      <c r="E1669">
        <v>50</v>
      </c>
      <c r="F1669">
        <v>49.973869323999999</v>
      </c>
      <c r="G1669">
        <v>1022.5678711</v>
      </c>
      <c r="H1669">
        <v>892.84924316000001</v>
      </c>
      <c r="I1669">
        <v>1952.7312012</v>
      </c>
      <c r="J1669">
        <v>1761.0137939000001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1323.7238339999999</v>
      </c>
      <c r="B1670" s="1">
        <f>DATE(2013,12,14) + TIME(17,22,19)</f>
        <v>41622.72383101852</v>
      </c>
      <c r="C1670">
        <v>80</v>
      </c>
      <c r="D1670">
        <v>74.408729553000001</v>
      </c>
      <c r="E1670">
        <v>50</v>
      </c>
      <c r="F1670">
        <v>49.973800658999998</v>
      </c>
      <c r="G1670">
        <v>1020.5172119</v>
      </c>
      <c r="H1670">
        <v>890.67163086000005</v>
      </c>
      <c r="I1670">
        <v>1953.4825439000001</v>
      </c>
      <c r="J1670">
        <v>1761.7675781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1325.910883</v>
      </c>
      <c r="B1671" s="1">
        <f>DATE(2013,12,16) + TIME(21,51,40)</f>
        <v>41624.910879629628</v>
      </c>
      <c r="C1671">
        <v>80</v>
      </c>
      <c r="D1671">
        <v>74.207672118999994</v>
      </c>
      <c r="E1671">
        <v>50</v>
      </c>
      <c r="F1671">
        <v>49.973743439000003</v>
      </c>
      <c r="G1671">
        <v>1018.5704956</v>
      </c>
      <c r="H1671">
        <v>888.58624268000005</v>
      </c>
      <c r="I1671">
        <v>1954.0712891000001</v>
      </c>
      <c r="J1671">
        <v>1762.3586425999999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1328.134779</v>
      </c>
      <c r="B1672" s="1">
        <f>DATE(2013,12,19) + TIME(3,14,4)</f>
        <v>41627.134768518517</v>
      </c>
      <c r="C1672">
        <v>80</v>
      </c>
      <c r="D1672">
        <v>74.004112243999998</v>
      </c>
      <c r="E1672">
        <v>50</v>
      </c>
      <c r="F1672">
        <v>49.973701476999999</v>
      </c>
      <c r="G1672">
        <v>1016.7095947</v>
      </c>
      <c r="H1672">
        <v>886.57513428000004</v>
      </c>
      <c r="I1672">
        <v>1954.5270995999999</v>
      </c>
      <c r="J1672">
        <v>1762.8165283000001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1330.4195460000001</v>
      </c>
      <c r="B1673" s="1">
        <f>DATE(2013,12,21) + TIME(10,4,8)</f>
        <v>41629.419537037036</v>
      </c>
      <c r="C1673">
        <v>80</v>
      </c>
      <c r="D1673">
        <v>73.797340392999999</v>
      </c>
      <c r="E1673">
        <v>50</v>
      </c>
      <c r="F1673">
        <v>49.973674774000003</v>
      </c>
      <c r="G1673">
        <v>1014.9075928</v>
      </c>
      <c r="H1673">
        <v>884.61004638999998</v>
      </c>
      <c r="I1673">
        <v>1954.8710937999999</v>
      </c>
      <c r="J1673">
        <v>1763.1622314000001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1332.7906129999999</v>
      </c>
      <c r="B1674" s="1">
        <f>DATE(2013,12,23) + TIME(18,58,28)</f>
        <v>41631.790601851855</v>
      </c>
      <c r="C1674">
        <v>80</v>
      </c>
      <c r="D1674">
        <v>73.585411071999999</v>
      </c>
      <c r="E1674">
        <v>50</v>
      </c>
      <c r="F1674">
        <v>49.973663330000001</v>
      </c>
      <c r="G1674">
        <v>1013.138916</v>
      </c>
      <c r="H1674">
        <v>882.66284180000002</v>
      </c>
      <c r="I1674">
        <v>1955.1166992000001</v>
      </c>
      <c r="J1674">
        <v>1763.4094238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1335.193262</v>
      </c>
      <c r="B1675" s="1">
        <f>DATE(2013,12,26) + TIME(4,38,17)</f>
        <v>41634.193252314813</v>
      </c>
      <c r="C1675">
        <v>80</v>
      </c>
      <c r="D1675">
        <v>73.367706299000005</v>
      </c>
      <c r="E1675">
        <v>50</v>
      </c>
      <c r="F1675">
        <v>49.973659515000001</v>
      </c>
      <c r="G1675">
        <v>1011.4164429</v>
      </c>
      <c r="H1675">
        <v>880.74438477000001</v>
      </c>
      <c r="I1675">
        <v>1955.2633057</v>
      </c>
      <c r="J1675">
        <v>1763.5574951000001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1337.6352899999999</v>
      </c>
      <c r="B1676" s="1">
        <f>DATE(2013,12,28) + TIME(15,14,49)</f>
        <v>41636.635289351849</v>
      </c>
      <c r="C1676">
        <v>80</v>
      </c>
      <c r="D1676">
        <v>73.146194457999997</v>
      </c>
      <c r="E1676">
        <v>50</v>
      </c>
      <c r="F1676">
        <v>49.973667145</v>
      </c>
      <c r="G1676">
        <v>1009.7319336</v>
      </c>
      <c r="H1676">
        <v>878.84674071999996</v>
      </c>
      <c r="I1676">
        <v>1955.3282471</v>
      </c>
      <c r="J1676">
        <v>1763.6236572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1340.140697</v>
      </c>
      <c r="B1677" s="1">
        <f>DATE(2013,12,31) + TIME(3,22,36)</f>
        <v>41639.140694444446</v>
      </c>
      <c r="C1677">
        <v>80</v>
      </c>
      <c r="D1677">
        <v>72.920394896999994</v>
      </c>
      <c r="E1677">
        <v>50</v>
      </c>
      <c r="F1677">
        <v>49.973682404000002</v>
      </c>
      <c r="G1677">
        <v>1008.0654297</v>
      </c>
      <c r="H1677">
        <v>876.94848633000004</v>
      </c>
      <c r="I1677">
        <v>1955.3245850000001</v>
      </c>
      <c r="J1677">
        <v>1763.6210937999999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1341</v>
      </c>
      <c r="B1678" s="1">
        <f>DATE(2014,1,1) + TIME(0,0,0)</f>
        <v>41640</v>
      </c>
      <c r="C1678">
        <v>80</v>
      </c>
      <c r="D1678">
        <v>72.762306213000002</v>
      </c>
      <c r="E1678">
        <v>50</v>
      </c>
      <c r="F1678">
        <v>49.973625183000003</v>
      </c>
      <c r="G1678">
        <v>1007.1765137</v>
      </c>
      <c r="H1678">
        <v>875.88208008000004</v>
      </c>
      <c r="I1678">
        <v>1955.2320557</v>
      </c>
      <c r="J1678">
        <v>1763.5292969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1343.5941809999999</v>
      </c>
      <c r="B1679" s="1">
        <f>DATE(2014,1,3) + TIME(14,15,37)</f>
        <v>41642.594178240739</v>
      </c>
      <c r="C1679">
        <v>80</v>
      </c>
      <c r="D1679">
        <v>72.589698791999993</v>
      </c>
      <c r="E1679">
        <v>50</v>
      </c>
      <c r="F1679">
        <v>49.973720551</v>
      </c>
      <c r="G1679">
        <v>1005.7709351</v>
      </c>
      <c r="H1679">
        <v>874.28381348000005</v>
      </c>
      <c r="I1679">
        <v>1955.2025146000001</v>
      </c>
      <c r="J1679">
        <v>1763.5004882999999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1346.2303300000001</v>
      </c>
      <c r="B1680" s="1">
        <f>DATE(2014,1,6) + TIME(5,31,40)</f>
        <v>41645.230324074073</v>
      </c>
      <c r="C1680">
        <v>80</v>
      </c>
      <c r="D1680">
        <v>72.364288329999994</v>
      </c>
      <c r="E1680">
        <v>50</v>
      </c>
      <c r="F1680">
        <v>49.973754882999998</v>
      </c>
      <c r="G1680">
        <v>1004.1467285</v>
      </c>
      <c r="H1680">
        <v>872.39239501999998</v>
      </c>
      <c r="I1680">
        <v>1955.0860596</v>
      </c>
      <c r="J1680">
        <v>1763.3848877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1348.9196219999999</v>
      </c>
      <c r="B1681" s="1">
        <f>DATE(2014,1,8) + TIME(22,4,15)</f>
        <v>41647.919618055559</v>
      </c>
      <c r="C1681">
        <v>80</v>
      </c>
      <c r="D1681">
        <v>72.122100829999994</v>
      </c>
      <c r="E1681">
        <v>50</v>
      </c>
      <c r="F1681">
        <v>49.973789214999996</v>
      </c>
      <c r="G1681">
        <v>1002.4890746999999</v>
      </c>
      <c r="H1681">
        <v>870.42840576000003</v>
      </c>
      <c r="I1681">
        <v>1954.9112548999999</v>
      </c>
      <c r="J1681">
        <v>1763.2108154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1351.6865009999999</v>
      </c>
      <c r="B1682" s="1">
        <f>DATE(2014,1,11) + TIME(16,28,33)</f>
        <v>41650.686493055553</v>
      </c>
      <c r="C1682">
        <v>80</v>
      </c>
      <c r="D1682">
        <v>71.870460510000001</v>
      </c>
      <c r="E1682">
        <v>50</v>
      </c>
      <c r="F1682">
        <v>49.973831177000001</v>
      </c>
      <c r="G1682">
        <v>1000.8001709</v>
      </c>
      <c r="H1682">
        <v>868.40197753999996</v>
      </c>
      <c r="I1682">
        <v>1954.6953125</v>
      </c>
      <c r="J1682">
        <v>1762.9956055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1354.511857</v>
      </c>
      <c r="B1683" s="1">
        <f>DATE(2014,1,14) + TIME(12,17,4)</f>
        <v>41653.51185185185</v>
      </c>
      <c r="C1683">
        <v>80</v>
      </c>
      <c r="D1683">
        <v>71.609802246000001</v>
      </c>
      <c r="E1683">
        <v>50</v>
      </c>
      <c r="F1683">
        <v>49.973876953000001</v>
      </c>
      <c r="G1683">
        <v>999.07720946999996</v>
      </c>
      <c r="H1683">
        <v>866.30895996000004</v>
      </c>
      <c r="I1683">
        <v>1954.4456786999999</v>
      </c>
      <c r="J1683">
        <v>1762.746582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1357.3736280000001</v>
      </c>
      <c r="B1684" s="1">
        <f>DATE(2014,1,17) + TIME(8,58,1)</f>
        <v>41656.373622685183</v>
      </c>
      <c r="C1684">
        <v>80</v>
      </c>
      <c r="D1684">
        <v>71.341224670000003</v>
      </c>
      <c r="E1684">
        <v>50</v>
      </c>
      <c r="F1684">
        <v>49.973926544000001</v>
      </c>
      <c r="G1684">
        <v>997.32373046999999</v>
      </c>
      <c r="H1684">
        <v>864.15264893000005</v>
      </c>
      <c r="I1684">
        <v>1954.1696777</v>
      </c>
      <c r="J1684">
        <v>1762.4711914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1360.2968060000001</v>
      </c>
      <c r="B1685" s="1">
        <f>DATE(2014,1,20) + TIME(7,7,24)</f>
        <v>41659.296805555554</v>
      </c>
      <c r="C1685">
        <v>80</v>
      </c>
      <c r="D1685">
        <v>71.065216063999998</v>
      </c>
      <c r="E1685">
        <v>50</v>
      </c>
      <c r="F1685">
        <v>49.97397995</v>
      </c>
      <c r="G1685">
        <v>995.53240966999999</v>
      </c>
      <c r="H1685">
        <v>861.92510986000002</v>
      </c>
      <c r="I1685">
        <v>1953.8729248</v>
      </c>
      <c r="J1685">
        <v>1762.1750488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1363.3071379999999</v>
      </c>
      <c r="B1686" s="1">
        <f>DATE(2014,1,23) + TIME(7,22,16)</f>
        <v>41662.307129629633</v>
      </c>
      <c r="C1686">
        <v>80</v>
      </c>
      <c r="D1686">
        <v>70.779716492000006</v>
      </c>
      <c r="E1686">
        <v>50</v>
      </c>
      <c r="F1686">
        <v>49.974040985000002</v>
      </c>
      <c r="G1686">
        <v>993.68530272999999</v>
      </c>
      <c r="H1686">
        <v>859.60369873000002</v>
      </c>
      <c r="I1686">
        <v>1953.5573730000001</v>
      </c>
      <c r="J1686">
        <v>1761.8598632999999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1366.349164</v>
      </c>
      <c r="B1687" s="1">
        <f>DATE(2014,1,26) + TIME(8,22,47)</f>
        <v>41665.34915509259</v>
      </c>
      <c r="C1687">
        <v>80</v>
      </c>
      <c r="D1687">
        <v>70.483192443999997</v>
      </c>
      <c r="E1687">
        <v>50</v>
      </c>
      <c r="F1687">
        <v>49.974098206000001</v>
      </c>
      <c r="G1687">
        <v>991.78186034999999</v>
      </c>
      <c r="H1687">
        <v>857.18334961000005</v>
      </c>
      <c r="I1687">
        <v>1953.2274170000001</v>
      </c>
      <c r="J1687">
        <v>1761.5303954999999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1369.4392849999999</v>
      </c>
      <c r="B1688" s="1">
        <f>DATE(2014,1,29) + TIME(10,32,34)</f>
        <v>41668.439282407409</v>
      </c>
      <c r="C1688">
        <v>80</v>
      </c>
      <c r="D1688">
        <v>70.177536011000001</v>
      </c>
      <c r="E1688">
        <v>50</v>
      </c>
      <c r="F1688">
        <v>49.974159241000002</v>
      </c>
      <c r="G1688">
        <v>989.82659911999997</v>
      </c>
      <c r="H1688">
        <v>854.67071533000001</v>
      </c>
      <c r="I1688">
        <v>1952.8875731999999</v>
      </c>
      <c r="J1688">
        <v>1761.190918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1372</v>
      </c>
      <c r="B1689" s="1">
        <f>DATE(2014,2,1) + TIME(0,0,0)</f>
        <v>41671</v>
      </c>
      <c r="C1689">
        <v>80</v>
      </c>
      <c r="D1689">
        <v>69.875045775999993</v>
      </c>
      <c r="E1689">
        <v>50</v>
      </c>
      <c r="F1689">
        <v>49.974201202000003</v>
      </c>
      <c r="G1689">
        <v>987.95422363</v>
      </c>
      <c r="H1689">
        <v>852.22021484000004</v>
      </c>
      <c r="I1689">
        <v>1952.5732422000001</v>
      </c>
      <c r="J1689">
        <v>1760.8769531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1375.163908</v>
      </c>
      <c r="B1690" s="1">
        <f>DATE(2014,2,4) + TIME(3,56,1)</f>
        <v>41674.163900462961</v>
      </c>
      <c r="C1690">
        <v>80</v>
      </c>
      <c r="D1690">
        <v>69.585662842000005</v>
      </c>
      <c r="E1690">
        <v>50</v>
      </c>
      <c r="F1690">
        <v>49.974281310999999</v>
      </c>
      <c r="G1690">
        <v>986.07360840000001</v>
      </c>
      <c r="H1690">
        <v>849.77020263999998</v>
      </c>
      <c r="I1690">
        <v>1952.2430420000001</v>
      </c>
      <c r="J1690">
        <v>1760.5471190999999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1378.4145189999999</v>
      </c>
      <c r="B1691" s="1">
        <f>DATE(2014,2,7) + TIME(9,56,54)</f>
        <v>41677.414513888885</v>
      </c>
      <c r="C1691">
        <v>80</v>
      </c>
      <c r="D1691">
        <v>69.256965636999993</v>
      </c>
      <c r="E1691">
        <v>50</v>
      </c>
      <c r="F1691">
        <v>49.974346161</v>
      </c>
      <c r="G1691">
        <v>983.96240234000004</v>
      </c>
      <c r="H1691">
        <v>846.98864746000004</v>
      </c>
      <c r="I1691">
        <v>1951.8944091999999</v>
      </c>
      <c r="J1691">
        <v>1760.1987305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1381.723252</v>
      </c>
      <c r="B1692" s="1">
        <f>DATE(2014,2,10) + TIME(17,21,29)</f>
        <v>41680.723252314812</v>
      </c>
      <c r="C1692">
        <v>80</v>
      </c>
      <c r="D1692">
        <v>68.907485961999996</v>
      </c>
      <c r="E1692">
        <v>50</v>
      </c>
      <c r="F1692">
        <v>49.974411011000001</v>
      </c>
      <c r="G1692">
        <v>981.74328613</v>
      </c>
      <c r="H1692">
        <v>844.03009033000001</v>
      </c>
      <c r="I1692">
        <v>1951.5358887</v>
      </c>
      <c r="J1692">
        <v>1759.8405762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1385.1160540000001</v>
      </c>
      <c r="B1693" s="1">
        <f>DATE(2014,2,14) + TIME(2,47,7)</f>
        <v>41684.116053240738</v>
      </c>
      <c r="C1693">
        <v>80</v>
      </c>
      <c r="D1693">
        <v>68.541824340999995</v>
      </c>
      <c r="E1693">
        <v>50</v>
      </c>
      <c r="F1693">
        <v>49.974479674999998</v>
      </c>
      <c r="G1693">
        <v>979.42797852000001</v>
      </c>
      <c r="H1693">
        <v>840.91479491999996</v>
      </c>
      <c r="I1693">
        <v>1951.1719971</v>
      </c>
      <c r="J1693">
        <v>1759.4769286999999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1388.5340450000001</v>
      </c>
      <c r="B1694" s="1">
        <f>DATE(2014,2,17) + TIME(12,49,1)</f>
        <v>41687.534039351849</v>
      </c>
      <c r="C1694">
        <v>80</v>
      </c>
      <c r="D1694">
        <v>68.159469603999995</v>
      </c>
      <c r="E1694">
        <v>50</v>
      </c>
      <c r="F1694">
        <v>49.974548339999998</v>
      </c>
      <c r="G1694">
        <v>977.01702881000006</v>
      </c>
      <c r="H1694">
        <v>837.64007568</v>
      </c>
      <c r="I1694">
        <v>1950.8074951000001</v>
      </c>
      <c r="J1694">
        <v>1759.1126709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1392.0042330000001</v>
      </c>
      <c r="B1695" s="1">
        <f>DATE(2014,2,21) + TIME(0,6,5)</f>
        <v>41691.004224537035</v>
      </c>
      <c r="C1695">
        <v>80</v>
      </c>
      <c r="D1695">
        <v>67.763023376000007</v>
      </c>
      <c r="E1695">
        <v>50</v>
      </c>
      <c r="F1695">
        <v>49.974620819000002</v>
      </c>
      <c r="G1695">
        <v>974.52465819999998</v>
      </c>
      <c r="H1695">
        <v>834.22595215000001</v>
      </c>
      <c r="I1695">
        <v>1950.4437256000001</v>
      </c>
      <c r="J1695">
        <v>1758.7491454999999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1395.5532229999999</v>
      </c>
      <c r="B1696" s="1">
        <f>DATE(2014,2,24) + TIME(13,16,38)</f>
        <v>41694.553217592591</v>
      </c>
      <c r="C1696">
        <v>80</v>
      </c>
      <c r="D1696">
        <v>67.349876404</v>
      </c>
      <c r="E1696">
        <v>50</v>
      </c>
      <c r="F1696">
        <v>49.974689484000002</v>
      </c>
      <c r="G1696">
        <v>971.93408203000001</v>
      </c>
      <c r="H1696">
        <v>830.64916991999996</v>
      </c>
      <c r="I1696">
        <v>1950.0798339999999</v>
      </c>
      <c r="J1696">
        <v>1758.385376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1399.1316119999999</v>
      </c>
      <c r="B1697" s="1">
        <f>DATE(2014,2,28) + TIME(3,9,31)</f>
        <v>41698.131608796299</v>
      </c>
      <c r="C1697">
        <v>80</v>
      </c>
      <c r="D1697">
        <v>66.917633057000003</v>
      </c>
      <c r="E1697">
        <v>50</v>
      </c>
      <c r="F1697">
        <v>49.974761962999999</v>
      </c>
      <c r="G1697">
        <v>969.23883057</v>
      </c>
      <c r="H1697">
        <v>826.89654541000004</v>
      </c>
      <c r="I1697">
        <v>1949.7176514</v>
      </c>
      <c r="J1697">
        <v>1758.0234375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1400</v>
      </c>
      <c r="B1698" s="1">
        <f>DATE(2014,3,1) + TIME(0,0,0)</f>
        <v>41699</v>
      </c>
      <c r="C1698">
        <v>80</v>
      </c>
      <c r="D1698">
        <v>66.626945496000005</v>
      </c>
      <c r="E1698">
        <v>50</v>
      </c>
      <c r="F1698">
        <v>49.974739075000002</v>
      </c>
      <c r="G1698">
        <v>967.36645508000004</v>
      </c>
      <c r="H1698">
        <v>824.25726318</v>
      </c>
      <c r="I1698">
        <v>1949.5787353999999</v>
      </c>
      <c r="J1698">
        <v>1757.8845214999999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1403.627698</v>
      </c>
      <c r="B1699" s="1">
        <f>DATE(2014,3,4) + TIME(15,3,53)</f>
        <v>41702.627696759257</v>
      </c>
      <c r="C1699">
        <v>80</v>
      </c>
      <c r="D1699">
        <v>66.323020935000002</v>
      </c>
      <c r="E1699">
        <v>50</v>
      </c>
      <c r="F1699">
        <v>49.974849700999997</v>
      </c>
      <c r="G1699">
        <v>965.63781738</v>
      </c>
      <c r="H1699">
        <v>821.79431151999995</v>
      </c>
      <c r="I1699">
        <v>1949.2481689000001</v>
      </c>
      <c r="J1699">
        <v>1757.5541992000001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1407.3009219999999</v>
      </c>
      <c r="B1700" s="1">
        <f>DATE(2014,3,8) + TIME(7,13,19)</f>
        <v>41706.30091435185</v>
      </c>
      <c r="C1700">
        <v>80</v>
      </c>
      <c r="D1700">
        <v>65.880256653000004</v>
      </c>
      <c r="E1700">
        <v>50</v>
      </c>
      <c r="F1700">
        <v>49.974925995</v>
      </c>
      <c r="G1700">
        <v>962.83258057</v>
      </c>
      <c r="H1700">
        <v>817.85913086000005</v>
      </c>
      <c r="I1700">
        <v>1948.9088135</v>
      </c>
      <c r="J1700">
        <v>1757.2149658000001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1411.0158919999999</v>
      </c>
      <c r="B1701" s="1">
        <f>DATE(2014,3,12) + TIME(0,22,53)</f>
        <v>41710.0158912037</v>
      </c>
      <c r="C1701">
        <v>80</v>
      </c>
      <c r="D1701">
        <v>65.394264221</v>
      </c>
      <c r="E1701">
        <v>50</v>
      </c>
      <c r="F1701">
        <v>49.974994658999996</v>
      </c>
      <c r="G1701">
        <v>959.85388183999999</v>
      </c>
      <c r="H1701">
        <v>813.61334228999999</v>
      </c>
      <c r="I1701">
        <v>1948.5604248</v>
      </c>
      <c r="J1701">
        <v>1756.8666992000001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1414.757147</v>
      </c>
      <c r="B1702" s="1">
        <f>DATE(2014,3,15) + TIME(18,10,17)</f>
        <v>41713.757141203707</v>
      </c>
      <c r="C1702">
        <v>80</v>
      </c>
      <c r="D1702">
        <v>64.886085510000001</v>
      </c>
      <c r="E1702">
        <v>50</v>
      </c>
      <c r="F1702">
        <v>49.975063323999997</v>
      </c>
      <c r="G1702">
        <v>956.76812743999994</v>
      </c>
      <c r="H1702">
        <v>809.17767333999996</v>
      </c>
      <c r="I1702">
        <v>1948.2119141000001</v>
      </c>
      <c r="J1702">
        <v>1756.5183105000001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1418.526404</v>
      </c>
      <c r="B1703" s="1">
        <f>DATE(2014,3,19) + TIME(12,38,1)</f>
        <v>41717.526400462964</v>
      </c>
      <c r="C1703">
        <v>80</v>
      </c>
      <c r="D1703">
        <v>64.358993530000006</v>
      </c>
      <c r="E1703">
        <v>50</v>
      </c>
      <c r="F1703">
        <v>49.975131988999998</v>
      </c>
      <c r="G1703">
        <v>953.59155272999999</v>
      </c>
      <c r="H1703">
        <v>804.57861328000001</v>
      </c>
      <c r="I1703">
        <v>1947.8659668</v>
      </c>
      <c r="J1703">
        <v>1756.1724853999999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1422.3308919999999</v>
      </c>
      <c r="B1704" s="1">
        <f>DATE(2014,3,23) + TIME(7,56,29)</f>
        <v>41721.330891203703</v>
      </c>
      <c r="C1704">
        <v>80</v>
      </c>
      <c r="D1704">
        <v>63.813770294000001</v>
      </c>
      <c r="E1704">
        <v>50</v>
      </c>
      <c r="F1704">
        <v>49.975200653000002</v>
      </c>
      <c r="G1704">
        <v>950.32690430000002</v>
      </c>
      <c r="H1704">
        <v>799.82055663999995</v>
      </c>
      <c r="I1704">
        <v>1947.5227050999999</v>
      </c>
      <c r="J1704">
        <v>1755.8293457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1426.177657</v>
      </c>
      <c r="B1705" s="1">
        <f>DATE(2014,3,27) + TIME(4,15,49)</f>
        <v>41725.17765046296</v>
      </c>
      <c r="C1705">
        <v>80</v>
      </c>
      <c r="D1705">
        <v>63.249134064000003</v>
      </c>
      <c r="E1705">
        <v>50</v>
      </c>
      <c r="F1705">
        <v>49.975273131999998</v>
      </c>
      <c r="G1705">
        <v>946.96997069999998</v>
      </c>
      <c r="H1705">
        <v>794.89575194999998</v>
      </c>
      <c r="I1705">
        <v>1947.1815185999999</v>
      </c>
      <c r="J1705">
        <v>1755.4882812000001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1430.060614</v>
      </c>
      <c r="B1706" s="1">
        <f>DATE(2014,3,31) + TIME(1,27,17)</f>
        <v>41729.060613425929</v>
      </c>
      <c r="C1706">
        <v>80</v>
      </c>
      <c r="D1706">
        <v>62.664844512999998</v>
      </c>
      <c r="E1706">
        <v>50</v>
      </c>
      <c r="F1706">
        <v>49.975341796999999</v>
      </c>
      <c r="G1706">
        <v>943.51928711000005</v>
      </c>
      <c r="H1706">
        <v>789.80041503999996</v>
      </c>
      <c r="I1706">
        <v>1946.8420410000001</v>
      </c>
      <c r="J1706">
        <v>1755.1489257999999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1431</v>
      </c>
      <c r="B1707" s="1">
        <f>DATE(2014,4,1) + TIME(0,0,0)</f>
        <v>41730</v>
      </c>
      <c r="C1707">
        <v>80</v>
      </c>
      <c r="D1707">
        <v>62.263099670000003</v>
      </c>
      <c r="E1707">
        <v>50</v>
      </c>
      <c r="F1707">
        <v>49.975330352999997</v>
      </c>
      <c r="G1707">
        <v>940.94738770000004</v>
      </c>
      <c r="H1707">
        <v>786.04443359000004</v>
      </c>
      <c r="I1707">
        <v>1946.7185059000001</v>
      </c>
      <c r="J1707">
        <v>1755.0252685999999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1434.9099060000001</v>
      </c>
      <c r="B1708" s="1">
        <f>DATE(2014,4,4) + TIME(21,50,15)</f>
        <v>41733.909895833334</v>
      </c>
      <c r="C1708">
        <v>80</v>
      </c>
      <c r="D1708">
        <v>61.869461059999999</v>
      </c>
      <c r="E1708">
        <v>50</v>
      </c>
      <c r="F1708">
        <v>49.975429535000004</v>
      </c>
      <c r="G1708">
        <v>938.96398925999995</v>
      </c>
      <c r="H1708">
        <v>782.95697021000001</v>
      </c>
      <c r="I1708">
        <v>1946.4011230000001</v>
      </c>
      <c r="J1708">
        <v>1754.7081298999999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1438.865781</v>
      </c>
      <c r="B1709" s="1">
        <f>DATE(2014,4,8) + TIME(20,46,43)</f>
        <v>41737.86577546296</v>
      </c>
      <c r="C1709">
        <v>80</v>
      </c>
      <c r="D1709">
        <v>61.283267975000001</v>
      </c>
      <c r="E1709">
        <v>50</v>
      </c>
      <c r="F1709">
        <v>49.975502014</v>
      </c>
      <c r="G1709">
        <v>935.45056151999995</v>
      </c>
      <c r="H1709">
        <v>777.75677489999998</v>
      </c>
      <c r="I1709">
        <v>1946.0797118999999</v>
      </c>
      <c r="J1709">
        <v>1754.3868408000001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1442.866233</v>
      </c>
      <c r="B1710" s="1">
        <f>DATE(2014,4,12) + TIME(20,47,22)</f>
        <v>41741.866226851853</v>
      </c>
      <c r="C1710">
        <v>80</v>
      </c>
      <c r="D1710">
        <v>60.64547348</v>
      </c>
      <c r="E1710">
        <v>50</v>
      </c>
      <c r="F1710">
        <v>49.975566864000001</v>
      </c>
      <c r="G1710">
        <v>931.75134276999995</v>
      </c>
      <c r="H1710">
        <v>772.19183350000003</v>
      </c>
      <c r="I1710">
        <v>1945.7486572</v>
      </c>
      <c r="J1710">
        <v>1754.0557861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1446.905908</v>
      </c>
      <c r="B1711" s="1">
        <f>DATE(2014,4,16) + TIME(21,44,30)</f>
        <v>41745.905902777777</v>
      </c>
      <c r="C1711">
        <v>80</v>
      </c>
      <c r="D1711">
        <v>59.987625121999997</v>
      </c>
      <c r="E1711">
        <v>50</v>
      </c>
      <c r="F1711">
        <v>49.975635529000002</v>
      </c>
      <c r="G1711">
        <v>927.95477295000001</v>
      </c>
      <c r="H1711">
        <v>766.44000243999994</v>
      </c>
      <c r="I1711">
        <v>1945.4138184000001</v>
      </c>
      <c r="J1711">
        <v>1753.7210693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1450.9818310000001</v>
      </c>
      <c r="B1712" s="1">
        <f>DATE(2014,4,20) + TIME(23,33,50)</f>
        <v>41749.981828703705</v>
      </c>
      <c r="C1712">
        <v>80</v>
      </c>
      <c r="D1712">
        <v>59.310939789000003</v>
      </c>
      <c r="E1712">
        <v>50</v>
      </c>
      <c r="F1712">
        <v>49.975704192999999</v>
      </c>
      <c r="G1712">
        <v>924.07666015999996</v>
      </c>
      <c r="H1712">
        <v>760.52880859000004</v>
      </c>
      <c r="I1712">
        <v>1945.0773925999999</v>
      </c>
      <c r="J1712">
        <v>1753.3847656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1455.088471</v>
      </c>
      <c r="B1713" s="1">
        <f>DATE(2014,4,25) + TIME(2,7,23)</f>
        <v>41754.088460648149</v>
      </c>
      <c r="C1713">
        <v>80</v>
      </c>
      <c r="D1713">
        <v>58.62179184</v>
      </c>
      <c r="E1713">
        <v>50</v>
      </c>
      <c r="F1713">
        <v>49.975772857999999</v>
      </c>
      <c r="G1713">
        <v>920.13195800999995</v>
      </c>
      <c r="H1713">
        <v>754.48431396000001</v>
      </c>
      <c r="I1713">
        <v>1944.7399902</v>
      </c>
      <c r="J1713">
        <v>1753.0472411999999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1459.2398270000001</v>
      </c>
      <c r="B1714" s="1">
        <f>DATE(2014,4,29) + TIME(5,45,21)</f>
        <v>41758.23982638889</v>
      </c>
      <c r="C1714">
        <v>80</v>
      </c>
      <c r="D1714">
        <v>57.920074462999999</v>
      </c>
      <c r="E1714">
        <v>50</v>
      </c>
      <c r="F1714">
        <v>49.975837708</v>
      </c>
      <c r="G1714">
        <v>916.12536621000004</v>
      </c>
      <c r="H1714">
        <v>748.31091308999999</v>
      </c>
      <c r="I1714">
        <v>1944.4005127</v>
      </c>
      <c r="J1714">
        <v>1752.7080077999999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1461</v>
      </c>
      <c r="B1715" s="1">
        <f>DATE(2014,5,1) + TIME(0,0,0)</f>
        <v>41760</v>
      </c>
      <c r="C1715">
        <v>80</v>
      </c>
      <c r="D1715">
        <v>57.328796386999997</v>
      </c>
      <c r="E1715">
        <v>50</v>
      </c>
      <c r="F1715">
        <v>49.975845337000003</v>
      </c>
      <c r="G1715">
        <v>912.64660645000004</v>
      </c>
      <c r="H1715">
        <v>742.96801758000004</v>
      </c>
      <c r="I1715">
        <v>1944.2100829999999</v>
      </c>
      <c r="J1715">
        <v>1752.5174560999999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1461.0000010000001</v>
      </c>
      <c r="B1716" s="1">
        <f>DATE(2014,5,1) + TIME(0,0,0)</f>
        <v>41760</v>
      </c>
      <c r="C1716">
        <v>80</v>
      </c>
      <c r="D1716">
        <v>57.328845977999997</v>
      </c>
      <c r="E1716">
        <v>50</v>
      </c>
      <c r="F1716">
        <v>49.975830078000001</v>
      </c>
      <c r="G1716">
        <v>1082.1932373</v>
      </c>
      <c r="H1716">
        <v>912.65637206999997</v>
      </c>
      <c r="I1716">
        <v>1752.5075684000001</v>
      </c>
      <c r="J1716">
        <v>1560.8120117000001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1461.000004</v>
      </c>
      <c r="B1717" s="1">
        <f>DATE(2014,5,1) + TIME(0,0,0)</f>
        <v>41760</v>
      </c>
      <c r="C1717">
        <v>80</v>
      </c>
      <c r="D1717">
        <v>57.328998566000003</v>
      </c>
      <c r="E1717">
        <v>50</v>
      </c>
      <c r="F1717">
        <v>49.975784302000001</v>
      </c>
      <c r="G1717">
        <v>1082.2226562000001</v>
      </c>
      <c r="H1717">
        <v>912.68572998000002</v>
      </c>
      <c r="I1717">
        <v>1752.4781493999999</v>
      </c>
      <c r="J1717">
        <v>1560.7823486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1461.0000130000001</v>
      </c>
      <c r="B1718" s="1">
        <f>DATE(2014,5,1) + TIME(0,0,1)</f>
        <v>41760.000011574077</v>
      </c>
      <c r="C1718">
        <v>80</v>
      </c>
      <c r="D1718">
        <v>57.329456329000003</v>
      </c>
      <c r="E1718">
        <v>50</v>
      </c>
      <c r="F1718">
        <v>49.975650786999999</v>
      </c>
      <c r="G1718">
        <v>1082.3106689000001</v>
      </c>
      <c r="H1718">
        <v>912.77374268000005</v>
      </c>
      <c r="I1718">
        <v>1752.3897704999999</v>
      </c>
      <c r="J1718">
        <v>1560.6934814000001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1461.0000399999999</v>
      </c>
      <c r="B1719" s="1">
        <f>DATE(2014,5,1) + TIME(0,0,3)</f>
        <v>41760.000034722223</v>
      </c>
      <c r="C1719">
        <v>80</v>
      </c>
      <c r="D1719">
        <v>57.330821991000001</v>
      </c>
      <c r="E1719">
        <v>50</v>
      </c>
      <c r="F1719">
        <v>49.975250244000001</v>
      </c>
      <c r="G1719">
        <v>1082.5745850000001</v>
      </c>
      <c r="H1719">
        <v>913.03759765999996</v>
      </c>
      <c r="I1719">
        <v>1752.1248779</v>
      </c>
      <c r="J1719">
        <v>1560.4273682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1461.000121</v>
      </c>
      <c r="B1720" s="1">
        <f>DATE(2014,5,1) + TIME(0,0,10)</f>
        <v>41760.000115740739</v>
      </c>
      <c r="C1720">
        <v>80</v>
      </c>
      <c r="D1720">
        <v>57.334922790999997</v>
      </c>
      <c r="E1720">
        <v>50</v>
      </c>
      <c r="F1720">
        <v>49.974052428999997</v>
      </c>
      <c r="G1720">
        <v>1083.3625488</v>
      </c>
      <c r="H1720">
        <v>913.82678223000005</v>
      </c>
      <c r="I1720">
        <v>1751.333374</v>
      </c>
      <c r="J1720">
        <v>1559.6319579999999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1461.000364</v>
      </c>
      <c r="B1721" s="1">
        <f>DATE(2014,5,1) + TIME(0,0,31)</f>
        <v>41760.000358796293</v>
      </c>
      <c r="C1721">
        <v>80</v>
      </c>
      <c r="D1721">
        <v>57.347190857000001</v>
      </c>
      <c r="E1721">
        <v>50</v>
      </c>
      <c r="F1721">
        <v>49.970504761000001</v>
      </c>
      <c r="G1721">
        <v>1085.6961670000001</v>
      </c>
      <c r="H1721">
        <v>916.17230225000003</v>
      </c>
      <c r="I1721">
        <v>1748.9855957</v>
      </c>
      <c r="J1721">
        <v>1557.2725829999999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1461.0010930000001</v>
      </c>
      <c r="B1722" s="1">
        <f>DATE(2014,5,1) + TIME(0,1,34)</f>
        <v>41760.001087962963</v>
      </c>
      <c r="C1722">
        <v>80</v>
      </c>
      <c r="D1722">
        <v>57.383628844999997</v>
      </c>
      <c r="E1722">
        <v>50</v>
      </c>
      <c r="F1722">
        <v>49.960212708</v>
      </c>
      <c r="G1722">
        <v>1092.4360352000001</v>
      </c>
      <c r="H1722">
        <v>923.00170897999999</v>
      </c>
      <c r="I1722">
        <v>1742.1733397999999</v>
      </c>
      <c r="J1722">
        <v>1550.427124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1461.0032799999999</v>
      </c>
      <c r="B1723" s="1">
        <f>DATE(2014,5,1) + TIME(0,4,43)</f>
        <v>41760.003275462965</v>
      </c>
      <c r="C1723">
        <v>80</v>
      </c>
      <c r="D1723">
        <v>57.488933563000003</v>
      </c>
      <c r="E1723">
        <v>50</v>
      </c>
      <c r="F1723">
        <v>49.932083130000002</v>
      </c>
      <c r="G1723">
        <v>1110.6228027</v>
      </c>
      <c r="H1723">
        <v>941.64434814000003</v>
      </c>
      <c r="I1723">
        <v>1723.5695800999999</v>
      </c>
      <c r="J1723">
        <v>1531.7342529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1461.0098410000001</v>
      </c>
      <c r="B1724" s="1">
        <f>DATE(2014,5,1) + TIME(0,14,10)</f>
        <v>41760.009837962964</v>
      </c>
      <c r="C1724">
        <v>80</v>
      </c>
      <c r="D1724">
        <v>57.776664734000001</v>
      </c>
      <c r="E1724">
        <v>50</v>
      </c>
      <c r="F1724">
        <v>49.865711212000001</v>
      </c>
      <c r="G1724">
        <v>1152.4367675999999</v>
      </c>
      <c r="H1724">
        <v>984.80194091999999</v>
      </c>
      <c r="I1724">
        <v>1679.6679687999999</v>
      </c>
      <c r="J1724">
        <v>1487.6258545000001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1461.029524</v>
      </c>
      <c r="B1725" s="1">
        <f>DATE(2014,5,1) + TIME(0,42,30)</f>
        <v>41760.029513888891</v>
      </c>
      <c r="C1725">
        <v>80</v>
      </c>
      <c r="D1725">
        <v>58.503841399999999</v>
      </c>
      <c r="E1725">
        <v>50</v>
      </c>
      <c r="F1725">
        <v>49.746364593999999</v>
      </c>
      <c r="G1725">
        <v>1224.3905029</v>
      </c>
      <c r="H1725">
        <v>1059.0092772999999</v>
      </c>
      <c r="I1725">
        <v>1600.4984131000001</v>
      </c>
      <c r="J1725">
        <v>1408.0922852000001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1461.0549140000001</v>
      </c>
      <c r="B1726" s="1">
        <f>DATE(2014,5,1) + TIME(1,19,4)</f>
        <v>41760.054907407408</v>
      </c>
      <c r="C1726">
        <v>80</v>
      </c>
      <c r="D1726">
        <v>59.31710434</v>
      </c>
      <c r="E1726">
        <v>50</v>
      </c>
      <c r="F1726">
        <v>49.654972076</v>
      </c>
      <c r="G1726">
        <v>1278.0151367000001</v>
      </c>
      <c r="H1726">
        <v>1114.3936768000001</v>
      </c>
      <c r="I1726">
        <v>1538.7950439000001</v>
      </c>
      <c r="J1726">
        <v>1346.1147461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1461.0831450000001</v>
      </c>
      <c r="B1727" s="1">
        <f>DATE(2014,5,1) + TIME(1,59,43)</f>
        <v>41760.083136574074</v>
      </c>
      <c r="C1727">
        <v>80</v>
      </c>
      <c r="D1727">
        <v>60.135448455999999</v>
      </c>
      <c r="E1727">
        <v>50</v>
      </c>
      <c r="F1727">
        <v>49.591033936000002</v>
      </c>
      <c r="G1727">
        <v>1315.4283447</v>
      </c>
      <c r="H1727">
        <v>1153.3532714999999</v>
      </c>
      <c r="I1727">
        <v>1494.1516113</v>
      </c>
      <c r="J1727">
        <v>1301.2821045000001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1461.1137000000001</v>
      </c>
      <c r="B1728" s="1">
        <f>DATE(2014,5,1) + TIME(2,43,43)</f>
        <v>41760.113692129627</v>
      </c>
      <c r="C1728">
        <v>80</v>
      </c>
      <c r="D1728">
        <v>60.955894469999997</v>
      </c>
      <c r="E1728">
        <v>50</v>
      </c>
      <c r="F1728">
        <v>49.544582366999997</v>
      </c>
      <c r="G1728">
        <v>1343.0437012</v>
      </c>
      <c r="H1728">
        <v>1182.4813231999999</v>
      </c>
      <c r="I1728">
        <v>1460.2342529</v>
      </c>
      <c r="J1728">
        <v>1267.2294922000001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1461.1461810000001</v>
      </c>
      <c r="B1729" s="1">
        <f>DATE(2014,5,1) + TIME(3,30,30)</f>
        <v>41760.146180555559</v>
      </c>
      <c r="C1729">
        <v>80</v>
      </c>
      <c r="D1729">
        <v>61.773818970000001</v>
      </c>
      <c r="E1729">
        <v>50</v>
      </c>
      <c r="F1729">
        <v>49.50945282</v>
      </c>
      <c r="G1729">
        <v>1364.5068358999999</v>
      </c>
      <c r="H1729">
        <v>1205.4537353999999</v>
      </c>
      <c r="I1729">
        <v>1433.2397461</v>
      </c>
      <c r="J1729">
        <v>1240.1347656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1461.1803769999999</v>
      </c>
      <c r="B1730" s="1">
        <f>DATE(2014,5,1) + TIME(4,19,44)</f>
        <v>41760.18037037037</v>
      </c>
      <c r="C1730">
        <v>80</v>
      </c>
      <c r="D1730">
        <v>62.585903168000002</v>
      </c>
      <c r="E1730">
        <v>50</v>
      </c>
      <c r="F1730">
        <v>49.481891632</v>
      </c>
      <c r="G1730">
        <v>1381.9193115</v>
      </c>
      <c r="H1730">
        <v>1224.3682861</v>
      </c>
      <c r="I1730">
        <v>1410.8861084</v>
      </c>
      <c r="J1730">
        <v>1217.7044678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1461.216197</v>
      </c>
      <c r="B1731" s="1">
        <f>DATE(2014,5,1) + TIME(5,11,19)</f>
        <v>41760.216192129628</v>
      </c>
      <c r="C1731">
        <v>80</v>
      </c>
      <c r="D1731">
        <v>63.390155792000002</v>
      </c>
      <c r="E1731">
        <v>50</v>
      </c>
      <c r="F1731">
        <v>49.459606170999997</v>
      </c>
      <c r="G1731">
        <v>1396.5288086</v>
      </c>
      <c r="H1731">
        <v>1240.4641113</v>
      </c>
      <c r="I1731">
        <v>1391.7845459</v>
      </c>
      <c r="J1731">
        <v>1198.5426024999999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1461.253631</v>
      </c>
      <c r="B1732" s="1">
        <f>DATE(2014,5,1) + TIME(6,5,13)</f>
        <v>41760.253622685188</v>
      </c>
      <c r="C1732">
        <v>80</v>
      </c>
      <c r="D1732">
        <v>64.185363769999995</v>
      </c>
      <c r="E1732">
        <v>50</v>
      </c>
      <c r="F1732">
        <v>49.441143036</v>
      </c>
      <c r="G1732">
        <v>1409.1137695</v>
      </c>
      <c r="H1732">
        <v>1254.5128173999999</v>
      </c>
      <c r="I1732">
        <v>1375.0576172000001</v>
      </c>
      <c r="J1732">
        <v>1181.7673339999999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1461.292715</v>
      </c>
      <c r="B1733" s="1">
        <f>DATE(2014,5,1) + TIME(7,1,30)</f>
        <v>41760.292708333334</v>
      </c>
      <c r="C1733">
        <v>80</v>
      </c>
      <c r="D1733">
        <v>64.970733643000003</v>
      </c>
      <c r="E1733">
        <v>50</v>
      </c>
      <c r="F1733">
        <v>49.425533295000001</v>
      </c>
      <c r="G1733">
        <v>1420.1865233999999</v>
      </c>
      <c r="H1733">
        <v>1267.0217285000001</v>
      </c>
      <c r="I1733">
        <v>1360.125</v>
      </c>
      <c r="J1733">
        <v>1166.7954102000001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1461.333519</v>
      </c>
      <c r="B1734" s="1">
        <f>DATE(2014,5,1) + TIME(8,0,16)</f>
        <v>41760.333518518521</v>
      </c>
      <c r="C1734">
        <v>80</v>
      </c>
      <c r="D1734">
        <v>65.745841979999994</v>
      </c>
      <c r="E1734">
        <v>50</v>
      </c>
      <c r="F1734">
        <v>49.412117004000002</v>
      </c>
      <c r="G1734">
        <v>1430.0997314000001</v>
      </c>
      <c r="H1734">
        <v>1278.3405762</v>
      </c>
      <c r="I1734">
        <v>1346.5859375</v>
      </c>
      <c r="J1734">
        <v>1153.2241211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1461.376143</v>
      </c>
      <c r="B1735" s="1">
        <f>DATE(2014,5,1) + TIME(9,1,38)</f>
        <v>41760.376134259262</v>
      </c>
      <c r="C1735">
        <v>80</v>
      </c>
      <c r="D1735">
        <v>66.510047912999994</v>
      </c>
      <c r="E1735">
        <v>50</v>
      </c>
      <c r="F1735">
        <v>49.400409697999997</v>
      </c>
      <c r="G1735">
        <v>1439.1064452999999</v>
      </c>
      <c r="H1735">
        <v>1288.7197266000001</v>
      </c>
      <c r="I1735">
        <v>1334.1529541</v>
      </c>
      <c r="J1735">
        <v>1140.7644043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1461.4207060000001</v>
      </c>
      <c r="B1736" s="1">
        <f>DATE(2014,5,1) + TIME(10,5,49)</f>
        <v>41760.420706018522</v>
      </c>
      <c r="C1736">
        <v>80</v>
      </c>
      <c r="D1736">
        <v>67.262847899999997</v>
      </c>
      <c r="E1736">
        <v>50</v>
      </c>
      <c r="F1736">
        <v>49.390048981</v>
      </c>
      <c r="G1736">
        <v>1447.3935547000001</v>
      </c>
      <c r="H1736">
        <v>1298.3450928</v>
      </c>
      <c r="I1736">
        <v>1322.6131591999999</v>
      </c>
      <c r="J1736">
        <v>1129.2023925999999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1461.4673660000001</v>
      </c>
      <c r="B1737" s="1">
        <f>DATE(2014,5,1) + TIME(11,13,0)</f>
        <v>41760.467361111114</v>
      </c>
      <c r="C1737">
        <v>80</v>
      </c>
      <c r="D1737">
        <v>68.003982543999996</v>
      </c>
      <c r="E1737">
        <v>50</v>
      </c>
      <c r="F1737">
        <v>49.380756378000001</v>
      </c>
      <c r="G1737">
        <v>1455.1065673999999</v>
      </c>
      <c r="H1737">
        <v>1307.3612060999999</v>
      </c>
      <c r="I1737">
        <v>1311.8007812000001</v>
      </c>
      <c r="J1737">
        <v>1118.3713379000001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1461.5163359999999</v>
      </c>
      <c r="B1738" s="1">
        <f>DATE(2014,5,1) + TIME(12,23,31)</f>
        <v>41760.516331018516</v>
      </c>
      <c r="C1738">
        <v>80</v>
      </c>
      <c r="D1738">
        <v>68.733543396000002</v>
      </c>
      <c r="E1738">
        <v>50</v>
      </c>
      <c r="F1738">
        <v>49.372310638000002</v>
      </c>
      <c r="G1738">
        <v>1462.3630370999999</v>
      </c>
      <c r="H1738">
        <v>1315.8865966999999</v>
      </c>
      <c r="I1738">
        <v>1301.5800781</v>
      </c>
      <c r="J1738">
        <v>1108.1351318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1461.567804</v>
      </c>
      <c r="B1739" s="1">
        <f>DATE(2014,5,1) + TIME(13,37,38)</f>
        <v>41760.567800925928</v>
      </c>
      <c r="C1739">
        <v>80</v>
      </c>
      <c r="D1739">
        <v>69.450752257999994</v>
      </c>
      <c r="E1739">
        <v>50</v>
      </c>
      <c r="F1739">
        <v>49.364524840999998</v>
      </c>
      <c r="G1739">
        <v>1469.2501221</v>
      </c>
      <c r="H1739">
        <v>1324.0076904</v>
      </c>
      <c r="I1739">
        <v>1291.8529053</v>
      </c>
      <c r="J1739">
        <v>1098.3948975000001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1461.622024</v>
      </c>
      <c r="B1740" s="1">
        <f>DATE(2014,5,1) + TIME(14,55,42)</f>
        <v>41760.622013888889</v>
      </c>
      <c r="C1740">
        <v>80</v>
      </c>
      <c r="D1740">
        <v>70.155158997000001</v>
      </c>
      <c r="E1740">
        <v>50</v>
      </c>
      <c r="F1740">
        <v>49.357257842999999</v>
      </c>
      <c r="G1740">
        <v>1475.8441161999999</v>
      </c>
      <c r="H1740">
        <v>1331.8013916</v>
      </c>
      <c r="I1740">
        <v>1282.5321045000001</v>
      </c>
      <c r="J1740">
        <v>1089.0629882999999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1461.679298</v>
      </c>
      <c r="B1741" s="1">
        <f>DATE(2014,5,1) + TIME(16,18,11)</f>
        <v>41760.679293981484</v>
      </c>
      <c r="C1741">
        <v>80</v>
      </c>
      <c r="D1741">
        <v>70.846137999999996</v>
      </c>
      <c r="E1741">
        <v>50</v>
      </c>
      <c r="F1741">
        <v>49.350368500000002</v>
      </c>
      <c r="G1741">
        <v>1482.2102050999999</v>
      </c>
      <c r="H1741">
        <v>1339.3328856999999</v>
      </c>
      <c r="I1741">
        <v>1273.5435791</v>
      </c>
      <c r="J1741">
        <v>1080.0650635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1461.7399829999999</v>
      </c>
      <c r="B1742" s="1">
        <f>DATE(2014,5,1) + TIME(17,45,34)</f>
        <v>41760.739976851852</v>
      </c>
      <c r="C1742">
        <v>80</v>
      </c>
      <c r="D1742">
        <v>71.523651122999993</v>
      </c>
      <c r="E1742">
        <v>50</v>
      </c>
      <c r="F1742">
        <v>49.343738555999998</v>
      </c>
      <c r="G1742">
        <v>1488.4051514</v>
      </c>
      <c r="H1742">
        <v>1346.659668</v>
      </c>
      <c r="I1742">
        <v>1264.8227539</v>
      </c>
      <c r="J1742">
        <v>1071.3364257999999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1461.8044930000001</v>
      </c>
      <c r="B1743" s="1">
        <f>DATE(2014,5,1) + TIME(19,18,28)</f>
        <v>41760.804490740738</v>
      </c>
      <c r="C1743">
        <v>80</v>
      </c>
      <c r="D1743">
        <v>72.187126160000005</v>
      </c>
      <c r="E1743">
        <v>50</v>
      </c>
      <c r="F1743">
        <v>49.337265015</v>
      </c>
      <c r="G1743">
        <v>1494.4792480000001</v>
      </c>
      <c r="H1743">
        <v>1353.8322754000001</v>
      </c>
      <c r="I1743">
        <v>1256.3135986</v>
      </c>
      <c r="J1743">
        <v>1062.8203125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1461.8733500000001</v>
      </c>
      <c r="B1744" s="1">
        <f>DATE(2014,5,1) + TIME(20,57,37)</f>
        <v>41760.873344907406</v>
      </c>
      <c r="C1744">
        <v>80</v>
      </c>
      <c r="D1744">
        <v>72.836189270000006</v>
      </c>
      <c r="E1744">
        <v>50</v>
      </c>
      <c r="F1744">
        <v>49.330841063999998</v>
      </c>
      <c r="G1744">
        <v>1500.4812012</v>
      </c>
      <c r="H1744">
        <v>1360.9002685999999</v>
      </c>
      <c r="I1744">
        <v>1247.9610596</v>
      </c>
      <c r="J1744">
        <v>1054.4617920000001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1461.947185</v>
      </c>
      <c r="B1745" s="1">
        <f>DATE(2014,5,1) + TIME(22,43,56)</f>
        <v>41760.947175925925</v>
      </c>
      <c r="C1745">
        <v>80</v>
      </c>
      <c r="D1745">
        <v>73.470321655000006</v>
      </c>
      <c r="E1745">
        <v>50</v>
      </c>
      <c r="F1745">
        <v>49.324363708</v>
      </c>
      <c r="G1745">
        <v>1506.4578856999999</v>
      </c>
      <c r="H1745">
        <v>1367.9106445</v>
      </c>
      <c r="I1745">
        <v>1239.713501</v>
      </c>
      <c r="J1745">
        <v>1046.2088623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1462.0267679999999</v>
      </c>
      <c r="B1746" s="1">
        <f>DATE(2014,5,2) + TIME(0,38,32)</f>
        <v>41761.026759259257</v>
      </c>
      <c r="C1746">
        <v>80</v>
      </c>
      <c r="D1746">
        <v>74.088874817000004</v>
      </c>
      <c r="E1746">
        <v>50</v>
      </c>
      <c r="F1746">
        <v>49.317726135000001</v>
      </c>
      <c r="G1746">
        <v>1512.4560547000001</v>
      </c>
      <c r="H1746">
        <v>1374.9105225000001</v>
      </c>
      <c r="I1746">
        <v>1231.5200195</v>
      </c>
      <c r="J1746">
        <v>1038.010376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1462.1130639999999</v>
      </c>
      <c r="B1747" s="1">
        <f>DATE(2014,5,2) + TIME(2,42,48)</f>
        <v>41761.113055555557</v>
      </c>
      <c r="C1747">
        <v>80</v>
      </c>
      <c r="D1747">
        <v>74.691116332999997</v>
      </c>
      <c r="E1747">
        <v>50</v>
      </c>
      <c r="F1747">
        <v>49.310817718999999</v>
      </c>
      <c r="G1747">
        <v>1518.5245361</v>
      </c>
      <c r="H1747">
        <v>1381.9490966999999</v>
      </c>
      <c r="I1747">
        <v>1223.3278809000001</v>
      </c>
      <c r="J1747">
        <v>1029.8135986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1462.2073310000001</v>
      </c>
      <c r="B1748" s="1">
        <f>DATE(2014,5,2) + TIME(4,58,33)</f>
        <v>41761.207326388889</v>
      </c>
      <c r="C1748">
        <v>80</v>
      </c>
      <c r="D1748">
        <v>75.276153563999998</v>
      </c>
      <c r="E1748">
        <v>50</v>
      </c>
      <c r="F1748">
        <v>49.303504943999997</v>
      </c>
      <c r="G1748">
        <v>1524.7188721</v>
      </c>
      <c r="H1748">
        <v>1389.0823975000001</v>
      </c>
      <c r="I1748">
        <v>1215.0778809000001</v>
      </c>
      <c r="J1748">
        <v>1021.5588379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1462.3111730000001</v>
      </c>
      <c r="B1749" s="1">
        <f>DATE(2014,5,2) + TIME(7,28,5)</f>
        <v>41761.311168981483</v>
      </c>
      <c r="C1749">
        <v>80</v>
      </c>
      <c r="D1749">
        <v>75.842903136999993</v>
      </c>
      <c r="E1749">
        <v>50</v>
      </c>
      <c r="F1749">
        <v>49.295646667</v>
      </c>
      <c r="G1749">
        <v>1531.1005858999999</v>
      </c>
      <c r="H1749">
        <v>1396.3718262</v>
      </c>
      <c r="I1749">
        <v>1206.7056885</v>
      </c>
      <c r="J1749">
        <v>1013.1817017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1462.4266500000001</v>
      </c>
      <c r="B1750" s="1">
        <f>DATE(2014,5,2) + TIME(10,14,22)</f>
        <v>41761.42664351852</v>
      </c>
      <c r="C1750">
        <v>80</v>
      </c>
      <c r="D1750">
        <v>76.390060425000001</v>
      </c>
      <c r="E1750">
        <v>50</v>
      </c>
      <c r="F1750">
        <v>49.287071228000002</v>
      </c>
      <c r="G1750">
        <v>1537.7390137</v>
      </c>
      <c r="H1750">
        <v>1403.8862305</v>
      </c>
      <c r="I1750">
        <v>1198.1400146000001</v>
      </c>
      <c r="J1750">
        <v>1004.6106567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1462.5566060000001</v>
      </c>
      <c r="B1751" s="1">
        <f>DATE(2014,5,2) + TIME(13,21,30)</f>
        <v>41761.556597222225</v>
      </c>
      <c r="C1751">
        <v>80</v>
      </c>
      <c r="D1751">
        <v>76.915992736999996</v>
      </c>
      <c r="E1751">
        <v>50</v>
      </c>
      <c r="F1751">
        <v>49.277553558000001</v>
      </c>
      <c r="G1751">
        <v>1544.7229004000001</v>
      </c>
      <c r="H1751">
        <v>1411.713501</v>
      </c>
      <c r="I1751">
        <v>1189.2902832</v>
      </c>
      <c r="J1751">
        <v>995.75482178000004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1462.6888650000001</v>
      </c>
      <c r="B1752" s="1">
        <f>DATE(2014,5,2) + TIME(16,31,57)</f>
        <v>41761.688854166663</v>
      </c>
      <c r="C1752">
        <v>80</v>
      </c>
      <c r="D1752">
        <v>77.371940613000007</v>
      </c>
      <c r="E1752">
        <v>50</v>
      </c>
      <c r="F1752">
        <v>49.267719268999997</v>
      </c>
      <c r="G1752">
        <v>1551.3791504000001</v>
      </c>
      <c r="H1752">
        <v>1419.1021728999999</v>
      </c>
      <c r="I1752">
        <v>1180.9741211</v>
      </c>
      <c r="J1752">
        <v>987.43206786999997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1462.8221530000001</v>
      </c>
      <c r="B1753" s="1">
        <f>DATE(2014,5,2) + TIME(19,43,54)</f>
        <v>41761.822152777779</v>
      </c>
      <c r="C1753">
        <v>80</v>
      </c>
      <c r="D1753">
        <v>77.762962341000005</v>
      </c>
      <c r="E1753">
        <v>50</v>
      </c>
      <c r="F1753">
        <v>49.257652282999999</v>
      </c>
      <c r="G1753">
        <v>1557.6947021000001</v>
      </c>
      <c r="H1753">
        <v>1426.0507812000001</v>
      </c>
      <c r="I1753">
        <v>1173.1943358999999</v>
      </c>
      <c r="J1753">
        <v>979.64514159999999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1462.9572909999999</v>
      </c>
      <c r="B1754" s="1">
        <f>DATE(2014,5,2) + TIME(22,58,29)</f>
        <v>41761.957280092596</v>
      </c>
      <c r="C1754">
        <v>80</v>
      </c>
      <c r="D1754">
        <v>78.099693298000005</v>
      </c>
      <c r="E1754">
        <v>50</v>
      </c>
      <c r="F1754">
        <v>49.247322083</v>
      </c>
      <c r="G1754">
        <v>1563.7503661999999</v>
      </c>
      <c r="H1754">
        <v>1432.6572266000001</v>
      </c>
      <c r="I1754">
        <v>1165.8410644999999</v>
      </c>
      <c r="J1754">
        <v>972.28405762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1463.0949519999999</v>
      </c>
      <c r="B1755" s="1">
        <f>DATE(2014,5,3) + TIME(2,16,43)</f>
        <v>41762.094942129632</v>
      </c>
      <c r="C1755">
        <v>80</v>
      </c>
      <c r="D1755">
        <v>78.390266417999996</v>
      </c>
      <c r="E1755">
        <v>50</v>
      </c>
      <c r="F1755">
        <v>49.236713408999996</v>
      </c>
      <c r="G1755">
        <v>1569.6016846</v>
      </c>
      <c r="H1755">
        <v>1438.9898682</v>
      </c>
      <c r="I1755">
        <v>1158.8332519999999</v>
      </c>
      <c r="J1755">
        <v>965.26776123000002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1463.235813</v>
      </c>
      <c r="B1756" s="1">
        <f>DATE(2014,5,3) + TIME(5,39,34)</f>
        <v>41762.235810185186</v>
      </c>
      <c r="C1756">
        <v>80</v>
      </c>
      <c r="D1756">
        <v>78.641273498999993</v>
      </c>
      <c r="E1756">
        <v>50</v>
      </c>
      <c r="F1756">
        <v>49.225799561000002</v>
      </c>
      <c r="G1756">
        <v>1575.2929687999999</v>
      </c>
      <c r="H1756">
        <v>1445.1030272999999</v>
      </c>
      <c r="I1756">
        <v>1152.1053466999999</v>
      </c>
      <c r="J1756">
        <v>958.53088378999996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1463.3802559999999</v>
      </c>
      <c r="B1757" s="1">
        <f>DATE(2014,5,3) + TIME(9,7,34)</f>
        <v>41762.380254629628</v>
      </c>
      <c r="C1757">
        <v>80</v>
      </c>
      <c r="D1757">
        <v>78.857719420999999</v>
      </c>
      <c r="E1757">
        <v>50</v>
      </c>
      <c r="F1757">
        <v>49.214576721</v>
      </c>
      <c r="G1757">
        <v>1580.8480225000001</v>
      </c>
      <c r="H1757">
        <v>1451.0284423999999</v>
      </c>
      <c r="I1757">
        <v>1145.6165771000001</v>
      </c>
      <c r="J1757">
        <v>952.03247069999998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1463.5287410000001</v>
      </c>
      <c r="B1758" s="1">
        <f>DATE(2014,5,3) + TIME(12,41,23)</f>
        <v>41762.528738425928</v>
      </c>
      <c r="C1758">
        <v>80</v>
      </c>
      <c r="D1758">
        <v>79.043998717999997</v>
      </c>
      <c r="E1758">
        <v>50</v>
      </c>
      <c r="F1758">
        <v>49.203033447000003</v>
      </c>
      <c r="G1758">
        <v>1586.2895507999999</v>
      </c>
      <c r="H1758">
        <v>1456.7951660000001</v>
      </c>
      <c r="I1758">
        <v>1139.3299560999999</v>
      </c>
      <c r="J1758">
        <v>945.73583984000004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1463.68202</v>
      </c>
      <c r="B1759" s="1">
        <f>DATE(2014,5,3) + TIME(16,22,6)</f>
        <v>41762.682013888887</v>
      </c>
      <c r="C1759">
        <v>80</v>
      </c>
      <c r="D1759">
        <v>79.204162597999996</v>
      </c>
      <c r="E1759">
        <v>50</v>
      </c>
      <c r="F1759">
        <v>49.191139221</v>
      </c>
      <c r="G1759">
        <v>1591.6459961</v>
      </c>
      <c r="H1759">
        <v>1462.4379882999999</v>
      </c>
      <c r="I1759">
        <v>1133.2041016000001</v>
      </c>
      <c r="J1759">
        <v>939.59942626999998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1463.8407729999999</v>
      </c>
      <c r="B1760" s="1">
        <f>DATE(2014,5,3) + TIME(20,10,42)</f>
        <v>41762.840763888889</v>
      </c>
      <c r="C1760">
        <v>80</v>
      </c>
      <c r="D1760">
        <v>79.341491699000002</v>
      </c>
      <c r="E1760">
        <v>50</v>
      </c>
      <c r="F1760">
        <v>49.178867339999996</v>
      </c>
      <c r="G1760">
        <v>1596.9378661999999</v>
      </c>
      <c r="H1760">
        <v>1467.9820557</v>
      </c>
      <c r="I1760">
        <v>1127.2075195</v>
      </c>
      <c r="J1760">
        <v>933.59191895000004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1464.005772</v>
      </c>
      <c r="B1761" s="1">
        <f>DATE(2014,5,4) + TIME(0,8,18)</f>
        <v>41763.00576388889</v>
      </c>
      <c r="C1761">
        <v>80</v>
      </c>
      <c r="D1761">
        <v>79.458862304999997</v>
      </c>
      <c r="E1761">
        <v>50</v>
      </c>
      <c r="F1761">
        <v>49.166187286000003</v>
      </c>
      <c r="G1761">
        <v>1602.1843262</v>
      </c>
      <c r="H1761">
        <v>1473.4508057</v>
      </c>
      <c r="I1761">
        <v>1121.3116454999999</v>
      </c>
      <c r="J1761">
        <v>927.68457031000003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1464.177919</v>
      </c>
      <c r="B1762" s="1">
        <f>DATE(2014,5,4) + TIME(4,16,12)</f>
        <v>41763.177916666667</v>
      </c>
      <c r="C1762">
        <v>80</v>
      </c>
      <c r="D1762">
        <v>79.558753967000001</v>
      </c>
      <c r="E1762">
        <v>50</v>
      </c>
      <c r="F1762">
        <v>49.153053284000002</v>
      </c>
      <c r="G1762">
        <v>1607.4040527</v>
      </c>
      <c r="H1762">
        <v>1478.8669434000001</v>
      </c>
      <c r="I1762">
        <v>1115.4891356999999</v>
      </c>
      <c r="J1762">
        <v>921.85015868999994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1464.3582429999999</v>
      </c>
      <c r="B1763" s="1">
        <f>DATE(2014,5,4) + TIME(8,35,52)</f>
        <v>41763.358240740738</v>
      </c>
      <c r="C1763">
        <v>80</v>
      </c>
      <c r="D1763">
        <v>79.643348693999997</v>
      </c>
      <c r="E1763">
        <v>50</v>
      </c>
      <c r="F1763">
        <v>49.139423370000003</v>
      </c>
      <c r="G1763">
        <v>1612.6152344</v>
      </c>
      <c r="H1763">
        <v>1484.2515868999999</v>
      </c>
      <c r="I1763">
        <v>1109.7143555</v>
      </c>
      <c r="J1763">
        <v>916.06304932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1464.5479069999999</v>
      </c>
      <c r="B1764" s="1">
        <f>DATE(2014,5,4) + TIME(13,8,59)</f>
        <v>41763.547905092593</v>
      </c>
      <c r="C1764">
        <v>80</v>
      </c>
      <c r="D1764">
        <v>79.714546204000001</v>
      </c>
      <c r="E1764">
        <v>50</v>
      </c>
      <c r="F1764">
        <v>49.125240325999997</v>
      </c>
      <c r="G1764">
        <v>1617.8350829999999</v>
      </c>
      <c r="H1764">
        <v>1489.6246338000001</v>
      </c>
      <c r="I1764">
        <v>1103.9632568</v>
      </c>
      <c r="J1764">
        <v>910.29919433999999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1464.7483050000001</v>
      </c>
      <c r="B1765" s="1">
        <f>DATE(2014,5,4) + TIME(17,57,33)</f>
        <v>41763.748298611114</v>
      </c>
      <c r="C1765">
        <v>80</v>
      </c>
      <c r="D1765">
        <v>79.774017334000007</v>
      </c>
      <c r="E1765">
        <v>50</v>
      </c>
      <c r="F1765">
        <v>49.110427856000001</v>
      </c>
      <c r="G1765">
        <v>1623.0816649999999</v>
      </c>
      <c r="H1765">
        <v>1495.0068358999999</v>
      </c>
      <c r="I1765">
        <v>1098.2114257999999</v>
      </c>
      <c r="J1765">
        <v>904.53411864999998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1464.9611170000001</v>
      </c>
      <c r="B1766" s="1">
        <f>DATE(2014,5,4) + TIME(23,4,0)</f>
        <v>41763.961111111108</v>
      </c>
      <c r="C1766">
        <v>80</v>
      </c>
      <c r="D1766">
        <v>79.823257446</v>
      </c>
      <c r="E1766">
        <v>50</v>
      </c>
      <c r="F1766">
        <v>49.094905853</v>
      </c>
      <c r="G1766">
        <v>1628.3745117000001</v>
      </c>
      <c r="H1766">
        <v>1500.4199219</v>
      </c>
      <c r="I1766">
        <v>1092.4333495999999</v>
      </c>
      <c r="J1766">
        <v>898.74212646000001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1465.188339</v>
      </c>
      <c r="B1767" s="1">
        <f>DATE(2014,5,5) + TIME(4,31,12)</f>
        <v>41764.188333333332</v>
      </c>
      <c r="C1767">
        <v>80</v>
      </c>
      <c r="D1767">
        <v>79.863586425999998</v>
      </c>
      <c r="E1767">
        <v>50</v>
      </c>
      <c r="F1767">
        <v>49.078575133999998</v>
      </c>
      <c r="G1767">
        <v>1633.7338867000001</v>
      </c>
      <c r="H1767">
        <v>1505.8861084</v>
      </c>
      <c r="I1767">
        <v>1086.6025391000001</v>
      </c>
      <c r="J1767">
        <v>892.89703368999994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1465.432421</v>
      </c>
      <c r="B1768" s="1">
        <f>DATE(2014,5,5) + TIME(10,22,41)</f>
        <v>41764.43241898148</v>
      </c>
      <c r="C1768">
        <v>80</v>
      </c>
      <c r="D1768">
        <v>79.896163939999994</v>
      </c>
      <c r="E1768">
        <v>50</v>
      </c>
      <c r="F1768">
        <v>49.061309813999998</v>
      </c>
      <c r="G1768">
        <v>1639.1826172000001</v>
      </c>
      <c r="H1768">
        <v>1511.4300536999999</v>
      </c>
      <c r="I1768">
        <v>1080.6907959</v>
      </c>
      <c r="J1768">
        <v>886.97027588000003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1465.6964419999999</v>
      </c>
      <c r="B1769" s="1">
        <f>DATE(2014,5,5) + TIME(16,42,52)</f>
        <v>41764.696435185186</v>
      </c>
      <c r="C1769">
        <v>80</v>
      </c>
      <c r="D1769">
        <v>79.922058105000005</v>
      </c>
      <c r="E1769">
        <v>50</v>
      </c>
      <c r="F1769">
        <v>49.042957305999998</v>
      </c>
      <c r="G1769">
        <v>1644.7470702999999</v>
      </c>
      <c r="H1769">
        <v>1517.0797118999999</v>
      </c>
      <c r="I1769">
        <v>1074.6655272999999</v>
      </c>
      <c r="J1769">
        <v>880.92932128999996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1465.9618660000001</v>
      </c>
      <c r="B1770" s="1">
        <f>DATE(2014,5,5) + TIME(23,5,5)</f>
        <v>41764.961863425924</v>
      </c>
      <c r="C1770">
        <v>80</v>
      </c>
      <c r="D1770">
        <v>79.940994262999993</v>
      </c>
      <c r="E1770">
        <v>50</v>
      </c>
      <c r="F1770">
        <v>49.024417876999998</v>
      </c>
      <c r="G1770">
        <v>1650.0095214999999</v>
      </c>
      <c r="H1770">
        <v>1522.4165039</v>
      </c>
      <c r="I1770">
        <v>1068.9434814000001</v>
      </c>
      <c r="J1770">
        <v>875.19183350000003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1466.229116</v>
      </c>
      <c r="B1771" s="1">
        <f>DATE(2014,5,6) + TIME(5,29,55)</f>
        <v>41765.229108796295</v>
      </c>
      <c r="C1771">
        <v>80</v>
      </c>
      <c r="D1771">
        <v>79.954772949000002</v>
      </c>
      <c r="E1771">
        <v>50</v>
      </c>
      <c r="F1771">
        <v>49.005748748999999</v>
      </c>
      <c r="G1771">
        <v>1655.0177002</v>
      </c>
      <c r="H1771">
        <v>1527.4886475000001</v>
      </c>
      <c r="I1771">
        <v>1063.4912108999999</v>
      </c>
      <c r="J1771">
        <v>869.72430420000001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1466.4996080000001</v>
      </c>
      <c r="B1772" s="1">
        <f>DATE(2014,5,6) + TIME(11,59,26)</f>
        <v>41765.499606481484</v>
      </c>
      <c r="C1772">
        <v>80</v>
      </c>
      <c r="D1772">
        <v>79.964736938000001</v>
      </c>
      <c r="E1772">
        <v>50</v>
      </c>
      <c r="F1772">
        <v>48.986919403000002</v>
      </c>
      <c r="G1772">
        <v>1659.8192139</v>
      </c>
      <c r="H1772">
        <v>1532.3455810999999</v>
      </c>
      <c r="I1772">
        <v>1058.2614745999999</v>
      </c>
      <c r="J1772">
        <v>864.47924805000002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1466.7746629999999</v>
      </c>
      <c r="B1773" s="1">
        <f>DATE(2014,5,6) + TIME(18,35,30)</f>
        <v>41765.774652777778</v>
      </c>
      <c r="C1773">
        <v>80</v>
      </c>
      <c r="D1773">
        <v>79.971839904999996</v>
      </c>
      <c r="E1773">
        <v>50</v>
      </c>
      <c r="F1773">
        <v>48.967891692999999</v>
      </c>
      <c r="G1773">
        <v>1664.4487305</v>
      </c>
      <c r="H1773">
        <v>1537.0241699000001</v>
      </c>
      <c r="I1773">
        <v>1053.2158202999999</v>
      </c>
      <c r="J1773">
        <v>859.41821288999995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1467.055654</v>
      </c>
      <c r="B1774" s="1">
        <f>DATE(2014,5,7) + TIME(1,20,8)</f>
        <v>41766.055648148147</v>
      </c>
      <c r="C1774">
        <v>80</v>
      </c>
      <c r="D1774">
        <v>79.976791382000002</v>
      </c>
      <c r="E1774">
        <v>50</v>
      </c>
      <c r="F1774">
        <v>48.948612212999997</v>
      </c>
      <c r="G1774">
        <v>1668.9355469</v>
      </c>
      <c r="H1774">
        <v>1541.5548096</v>
      </c>
      <c r="I1774">
        <v>1048.3211670000001</v>
      </c>
      <c r="J1774">
        <v>854.50817871000004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1467.3439880000001</v>
      </c>
      <c r="B1775" s="1">
        <f>DATE(2014,5,7) + TIME(8,15,20)</f>
        <v>41766.343981481485</v>
      </c>
      <c r="C1775">
        <v>80</v>
      </c>
      <c r="D1775">
        <v>79.980133057000003</v>
      </c>
      <c r="E1775">
        <v>50</v>
      </c>
      <c r="F1775">
        <v>48.929019928000002</v>
      </c>
      <c r="G1775">
        <v>1673.3043213000001</v>
      </c>
      <c r="H1775">
        <v>1545.9633789</v>
      </c>
      <c r="I1775">
        <v>1043.5491943</v>
      </c>
      <c r="J1775">
        <v>849.72076416000004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1467.640938</v>
      </c>
      <c r="B1776" s="1">
        <f>DATE(2014,5,7) + TIME(15,22,57)</f>
        <v>41766.6409375</v>
      </c>
      <c r="C1776">
        <v>80</v>
      </c>
      <c r="D1776">
        <v>79.982238769999995</v>
      </c>
      <c r="E1776">
        <v>50</v>
      </c>
      <c r="F1776">
        <v>48.909046173</v>
      </c>
      <c r="G1776">
        <v>1677.5736084</v>
      </c>
      <c r="H1776">
        <v>1550.269043</v>
      </c>
      <c r="I1776">
        <v>1038.8782959</v>
      </c>
      <c r="J1776">
        <v>845.03430175999995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1467.94803</v>
      </c>
      <c r="B1777" s="1">
        <f>DATE(2014,5,7) + TIME(22,45,9)</f>
        <v>41766.948020833333</v>
      </c>
      <c r="C1777">
        <v>80</v>
      </c>
      <c r="D1777">
        <v>79.983421325999998</v>
      </c>
      <c r="E1777">
        <v>50</v>
      </c>
      <c r="F1777">
        <v>48.888618469000001</v>
      </c>
      <c r="G1777">
        <v>1681.7620850000001</v>
      </c>
      <c r="H1777">
        <v>1554.4914550999999</v>
      </c>
      <c r="I1777">
        <v>1034.2869873</v>
      </c>
      <c r="J1777">
        <v>840.42736816000001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1468.2669550000001</v>
      </c>
      <c r="B1778" s="1">
        <f>DATE(2014,5,8) + TIME(6,24,24)</f>
        <v>41767.266944444447</v>
      </c>
      <c r="C1778">
        <v>80</v>
      </c>
      <c r="D1778">
        <v>79.983917235999996</v>
      </c>
      <c r="E1778">
        <v>50</v>
      </c>
      <c r="F1778">
        <v>48.867645263999997</v>
      </c>
      <c r="G1778">
        <v>1685.8868408000001</v>
      </c>
      <c r="H1778">
        <v>1558.6480713000001</v>
      </c>
      <c r="I1778">
        <v>1029.7556152</v>
      </c>
      <c r="J1778">
        <v>835.88000488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1468.5996190000001</v>
      </c>
      <c r="B1779" s="1">
        <f>DATE(2014,5,8) + TIME(14,23,27)</f>
        <v>41767.599618055552</v>
      </c>
      <c r="C1779">
        <v>80</v>
      </c>
      <c r="D1779">
        <v>79.983886718999997</v>
      </c>
      <c r="E1779">
        <v>50</v>
      </c>
      <c r="F1779">
        <v>48.846031189000001</v>
      </c>
      <c r="G1779">
        <v>1689.9639893000001</v>
      </c>
      <c r="H1779">
        <v>1562.7553711</v>
      </c>
      <c r="I1779">
        <v>1025.265625</v>
      </c>
      <c r="J1779">
        <v>831.37371826000003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1468.948175</v>
      </c>
      <c r="B1780" s="1">
        <f>DATE(2014,5,8) + TIME(22,45,22)</f>
        <v>41767.948171296295</v>
      </c>
      <c r="C1780">
        <v>80</v>
      </c>
      <c r="D1780">
        <v>79.983467102000006</v>
      </c>
      <c r="E1780">
        <v>50</v>
      </c>
      <c r="F1780">
        <v>48.823665619000003</v>
      </c>
      <c r="G1780">
        <v>1694.0085449000001</v>
      </c>
      <c r="H1780">
        <v>1566.8288574000001</v>
      </c>
      <c r="I1780">
        <v>1020.7992554</v>
      </c>
      <c r="J1780">
        <v>826.89074706999997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1469.315294</v>
      </c>
      <c r="B1781" s="1">
        <f>DATE(2014,5,9) + TIME(7,34,1)</f>
        <v>41768.315289351849</v>
      </c>
      <c r="C1781">
        <v>80</v>
      </c>
      <c r="D1781">
        <v>79.982757567999997</v>
      </c>
      <c r="E1781">
        <v>50</v>
      </c>
      <c r="F1781">
        <v>48.800411224000001</v>
      </c>
      <c r="G1781">
        <v>1698.0372314000001</v>
      </c>
      <c r="H1781">
        <v>1570.8852539</v>
      </c>
      <c r="I1781">
        <v>1016.3374634</v>
      </c>
      <c r="J1781">
        <v>822.41186522999999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1469.700789</v>
      </c>
      <c r="B1782" s="1">
        <f>DATE(2014,5,9) + TIME(16,49,8)</f>
        <v>41768.700787037036</v>
      </c>
      <c r="C1782">
        <v>80</v>
      </c>
      <c r="D1782">
        <v>79.981842040999993</v>
      </c>
      <c r="E1782">
        <v>50</v>
      </c>
      <c r="F1782">
        <v>48.776248932000001</v>
      </c>
      <c r="G1782">
        <v>1702.03125</v>
      </c>
      <c r="H1782">
        <v>1574.9063721</v>
      </c>
      <c r="I1782">
        <v>1011.8970337</v>
      </c>
      <c r="J1782">
        <v>817.95385741999996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1470.106215</v>
      </c>
      <c r="B1783" s="1">
        <f>DATE(2014,5,10) + TIME(2,32,57)</f>
        <v>41769.106215277781</v>
      </c>
      <c r="C1783">
        <v>80</v>
      </c>
      <c r="D1783">
        <v>79.980781554999993</v>
      </c>
      <c r="E1783">
        <v>50</v>
      </c>
      <c r="F1783">
        <v>48.751098632999998</v>
      </c>
      <c r="G1783">
        <v>1705.9931641000001</v>
      </c>
      <c r="H1783">
        <v>1578.8945312000001</v>
      </c>
      <c r="I1783">
        <v>1007.4749146</v>
      </c>
      <c r="J1783">
        <v>813.51367187999995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1470.534903</v>
      </c>
      <c r="B1784" s="1">
        <f>DATE(2014,5,10) + TIME(12,50,15)</f>
        <v>41769.534895833334</v>
      </c>
      <c r="C1784">
        <v>80</v>
      </c>
      <c r="D1784">
        <v>79.979629517000006</v>
      </c>
      <c r="E1784">
        <v>50</v>
      </c>
      <c r="F1784">
        <v>48.724815368999998</v>
      </c>
      <c r="G1784">
        <v>1709.9400635</v>
      </c>
      <c r="H1784">
        <v>1582.8669434000001</v>
      </c>
      <c r="I1784">
        <v>1003.0527954</v>
      </c>
      <c r="J1784">
        <v>809.07281493999994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1470.972595</v>
      </c>
      <c r="B1785" s="1">
        <f>DATE(2014,5,10) + TIME(23,20,32)</f>
        <v>41769.972592592596</v>
      </c>
      <c r="C1785">
        <v>80</v>
      </c>
      <c r="D1785">
        <v>79.978431701999995</v>
      </c>
      <c r="E1785">
        <v>50</v>
      </c>
      <c r="F1785">
        <v>48.697906494000001</v>
      </c>
      <c r="G1785">
        <v>1713.7266846</v>
      </c>
      <c r="H1785">
        <v>1586.6785889</v>
      </c>
      <c r="I1785">
        <v>998.77886963000003</v>
      </c>
      <c r="J1785">
        <v>804.78009033000001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1471.4129720000001</v>
      </c>
      <c r="B1786" s="1">
        <f>DATE(2014,5,11) + TIME(9,54,40)</f>
        <v>41770.412962962961</v>
      </c>
      <c r="C1786">
        <v>80</v>
      </c>
      <c r="D1786">
        <v>79.977256775000001</v>
      </c>
      <c r="E1786">
        <v>50</v>
      </c>
      <c r="F1786">
        <v>48.670703887999998</v>
      </c>
      <c r="G1786">
        <v>1717.3137207</v>
      </c>
      <c r="H1786">
        <v>1590.2893065999999</v>
      </c>
      <c r="I1786">
        <v>994.70318603999999</v>
      </c>
      <c r="J1786">
        <v>800.68560791000004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1471.858101</v>
      </c>
      <c r="B1787" s="1">
        <f>DATE(2014,5,11) + TIME(20,35,39)</f>
        <v>41770.858090277776</v>
      </c>
      <c r="C1787">
        <v>80</v>
      </c>
      <c r="D1787">
        <v>79.976119995000005</v>
      </c>
      <c r="E1787">
        <v>50</v>
      </c>
      <c r="F1787">
        <v>48.643249511999997</v>
      </c>
      <c r="G1787">
        <v>1720.7365723</v>
      </c>
      <c r="H1787">
        <v>1593.7342529</v>
      </c>
      <c r="I1787">
        <v>990.79534911999997</v>
      </c>
      <c r="J1787">
        <v>796.75878906000003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1472.310009</v>
      </c>
      <c r="B1788" s="1">
        <f>DATE(2014,5,12) + TIME(7,26,24)</f>
        <v>41771.31</v>
      </c>
      <c r="C1788">
        <v>80</v>
      </c>
      <c r="D1788">
        <v>79.975036621000001</v>
      </c>
      <c r="E1788">
        <v>50</v>
      </c>
      <c r="F1788">
        <v>48.615520476999997</v>
      </c>
      <c r="G1788">
        <v>1724.0209961</v>
      </c>
      <c r="H1788">
        <v>1597.0394286999999</v>
      </c>
      <c r="I1788">
        <v>987.02954102000001</v>
      </c>
      <c r="J1788">
        <v>792.97387694999998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1472.770704</v>
      </c>
      <c r="B1789" s="1">
        <f>DATE(2014,5,12) + TIME(18,29,48)</f>
        <v>41771.770694444444</v>
      </c>
      <c r="C1789">
        <v>80</v>
      </c>
      <c r="D1789">
        <v>79.973999023000005</v>
      </c>
      <c r="E1789">
        <v>50</v>
      </c>
      <c r="F1789">
        <v>48.587455749999997</v>
      </c>
      <c r="G1789">
        <v>1727.1871338000001</v>
      </c>
      <c r="H1789">
        <v>1600.2252197</v>
      </c>
      <c r="I1789">
        <v>983.38415526999995</v>
      </c>
      <c r="J1789">
        <v>789.30920409999999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1473.2426009999999</v>
      </c>
      <c r="B1790" s="1">
        <f>DATE(2014,5,13) + TIME(5,49,20)</f>
        <v>41772.242592592593</v>
      </c>
      <c r="C1790">
        <v>80</v>
      </c>
      <c r="D1790">
        <v>79.973007202000005</v>
      </c>
      <c r="E1790">
        <v>50</v>
      </c>
      <c r="F1790">
        <v>48.558975220000001</v>
      </c>
      <c r="G1790">
        <v>1730.2545166</v>
      </c>
      <c r="H1790">
        <v>1603.3112793</v>
      </c>
      <c r="I1790">
        <v>979.83801270000004</v>
      </c>
      <c r="J1790">
        <v>785.74365234000004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1473.7276139999999</v>
      </c>
      <c r="B1791" s="1">
        <f>DATE(2014,5,13) + TIME(17,27,45)</f>
        <v>41772.72760416667</v>
      </c>
      <c r="C1791">
        <v>80</v>
      </c>
      <c r="D1791">
        <v>79.972061156999999</v>
      </c>
      <c r="E1791">
        <v>50</v>
      </c>
      <c r="F1791">
        <v>48.529979705999999</v>
      </c>
      <c r="G1791">
        <v>1733.2357178</v>
      </c>
      <c r="H1791">
        <v>1606.3103027</v>
      </c>
      <c r="I1791">
        <v>976.37713623000002</v>
      </c>
      <c r="J1791">
        <v>782.26306151999995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1474.228128</v>
      </c>
      <c r="B1792" s="1">
        <f>DATE(2014,5,14) + TIME(5,28,30)</f>
        <v>41773.228125000001</v>
      </c>
      <c r="C1792">
        <v>80</v>
      </c>
      <c r="D1792">
        <v>79.971145629999995</v>
      </c>
      <c r="E1792">
        <v>50</v>
      </c>
      <c r="F1792">
        <v>48.500358581999997</v>
      </c>
      <c r="G1792">
        <v>1736.1435547000001</v>
      </c>
      <c r="H1792">
        <v>1609.2352295000001</v>
      </c>
      <c r="I1792">
        <v>972.98693848000005</v>
      </c>
      <c r="J1792">
        <v>778.85278319999998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1474.7467999999999</v>
      </c>
      <c r="B1793" s="1">
        <f>DATE(2014,5,14) + TIME(17,55,23)</f>
        <v>41773.746793981481</v>
      </c>
      <c r="C1793">
        <v>80</v>
      </c>
      <c r="D1793">
        <v>79.970268250000004</v>
      </c>
      <c r="E1793">
        <v>50</v>
      </c>
      <c r="F1793">
        <v>48.469993590999998</v>
      </c>
      <c r="G1793">
        <v>1738.9899902</v>
      </c>
      <c r="H1793">
        <v>1612.0980225000001</v>
      </c>
      <c r="I1793">
        <v>969.65405272999999</v>
      </c>
      <c r="J1793">
        <v>775.49938965000001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1475.2866489999999</v>
      </c>
      <c r="B1794" s="1">
        <f>DATE(2014,5,15) + TIME(6,52,46)</f>
        <v>41774.286643518521</v>
      </c>
      <c r="C1794">
        <v>80</v>
      </c>
      <c r="D1794">
        <v>79.969421386999997</v>
      </c>
      <c r="E1794">
        <v>50</v>
      </c>
      <c r="F1794">
        <v>48.438735962000003</v>
      </c>
      <c r="G1794">
        <v>1741.7860106999999</v>
      </c>
      <c r="H1794">
        <v>1614.9099120999999</v>
      </c>
      <c r="I1794">
        <v>966.36596680000002</v>
      </c>
      <c r="J1794">
        <v>772.19030762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1475.8510530000001</v>
      </c>
      <c r="B1795" s="1">
        <f>DATE(2014,5,15) + TIME(20,25,30)</f>
        <v>41774.851041666669</v>
      </c>
      <c r="C1795">
        <v>80</v>
      </c>
      <c r="D1795">
        <v>79.968605041999993</v>
      </c>
      <c r="E1795">
        <v>50</v>
      </c>
      <c r="F1795">
        <v>48.406425476000003</v>
      </c>
      <c r="G1795">
        <v>1744.5412598</v>
      </c>
      <c r="H1795">
        <v>1617.6806641000001</v>
      </c>
      <c r="I1795">
        <v>963.11126708999996</v>
      </c>
      <c r="J1795">
        <v>768.91400146000001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1476.4441690000001</v>
      </c>
      <c r="B1796" s="1">
        <f>DATE(2014,5,16) + TIME(10,39,36)</f>
        <v>41775.444166666668</v>
      </c>
      <c r="C1796">
        <v>80</v>
      </c>
      <c r="D1796">
        <v>79.967819214000002</v>
      </c>
      <c r="E1796">
        <v>50</v>
      </c>
      <c r="F1796">
        <v>48.372879028</v>
      </c>
      <c r="G1796">
        <v>1747.2664795000001</v>
      </c>
      <c r="H1796">
        <v>1620.4208983999999</v>
      </c>
      <c r="I1796">
        <v>959.87780762</v>
      </c>
      <c r="J1796">
        <v>765.65814208999996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1477.0709099999999</v>
      </c>
      <c r="B1797" s="1">
        <f>DATE(2014,5,17) + TIME(1,42,6)</f>
        <v>41776.070902777778</v>
      </c>
      <c r="C1797">
        <v>80</v>
      </c>
      <c r="D1797">
        <v>79.967048645000006</v>
      </c>
      <c r="E1797">
        <v>50</v>
      </c>
      <c r="F1797">
        <v>48.337867737000003</v>
      </c>
      <c r="G1797">
        <v>1749.9714355000001</v>
      </c>
      <c r="H1797">
        <v>1623.1405029</v>
      </c>
      <c r="I1797">
        <v>956.65368651999995</v>
      </c>
      <c r="J1797">
        <v>762.41076659999999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1477.7243550000001</v>
      </c>
      <c r="B1798" s="1">
        <f>DATE(2014,5,17) + TIME(17,23,4)</f>
        <v>41776.724351851852</v>
      </c>
      <c r="C1798">
        <v>80</v>
      </c>
      <c r="D1798">
        <v>79.966308593999997</v>
      </c>
      <c r="E1798">
        <v>50</v>
      </c>
      <c r="F1798">
        <v>48.301513671999999</v>
      </c>
      <c r="G1798">
        <v>1752.6120605000001</v>
      </c>
      <c r="H1798">
        <v>1625.7954102000001</v>
      </c>
      <c r="I1798">
        <v>953.48461913999995</v>
      </c>
      <c r="J1798">
        <v>759.21759033000001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1478.3809739999999</v>
      </c>
      <c r="B1799" s="1">
        <f>DATE(2014,5,18) + TIME(9,8,36)</f>
        <v>41777.380972222221</v>
      </c>
      <c r="C1799">
        <v>80</v>
      </c>
      <c r="D1799">
        <v>79.965606688999998</v>
      </c>
      <c r="E1799">
        <v>50</v>
      </c>
      <c r="F1799">
        <v>48.264537810999997</v>
      </c>
      <c r="G1799">
        <v>1755.0902100000001</v>
      </c>
      <c r="H1799">
        <v>1628.2873535000001</v>
      </c>
      <c r="I1799">
        <v>950.47833251999998</v>
      </c>
      <c r="J1799">
        <v>756.18713378999996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1479.043674</v>
      </c>
      <c r="B1800" s="1">
        <f>DATE(2014,5,19) + TIME(1,2,53)</f>
        <v>41778.043668981481</v>
      </c>
      <c r="C1800">
        <v>80</v>
      </c>
      <c r="D1800">
        <v>79.964958190999994</v>
      </c>
      <c r="E1800">
        <v>50</v>
      </c>
      <c r="F1800">
        <v>48.227169037000003</v>
      </c>
      <c r="G1800">
        <v>1757.4354248</v>
      </c>
      <c r="H1800">
        <v>1630.6453856999999</v>
      </c>
      <c r="I1800">
        <v>947.61383057</v>
      </c>
      <c r="J1800">
        <v>753.29791260000002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1479.7154619999999</v>
      </c>
      <c r="B1801" s="1">
        <f>DATE(2014,5,19) + TIME(17,10,15)</f>
        <v>41778.715451388889</v>
      </c>
      <c r="C1801">
        <v>80</v>
      </c>
      <c r="D1801">
        <v>79.964355468999997</v>
      </c>
      <c r="E1801">
        <v>50</v>
      </c>
      <c r="F1801">
        <v>48.189456939999999</v>
      </c>
      <c r="G1801">
        <v>1759.6677245999999</v>
      </c>
      <c r="H1801">
        <v>1632.8897704999999</v>
      </c>
      <c r="I1801">
        <v>944.87194824000005</v>
      </c>
      <c r="J1801">
        <v>750.53106689000003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1480.3993640000001</v>
      </c>
      <c r="B1802" s="1">
        <f>DATE(2014,5,20) + TIME(9,35,5)</f>
        <v>41779.399363425924</v>
      </c>
      <c r="C1802">
        <v>80</v>
      </c>
      <c r="D1802">
        <v>79.963798522999994</v>
      </c>
      <c r="E1802">
        <v>50</v>
      </c>
      <c r="F1802">
        <v>48.151348114000001</v>
      </c>
      <c r="G1802">
        <v>1761.802124</v>
      </c>
      <c r="H1802">
        <v>1635.0355225000001</v>
      </c>
      <c r="I1802">
        <v>942.23669433999999</v>
      </c>
      <c r="J1802">
        <v>747.87042236000002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1481.098974</v>
      </c>
      <c r="B1803" s="1">
        <f>DATE(2014,5,21) + TIME(2,22,31)</f>
        <v>41780.098969907405</v>
      </c>
      <c r="C1803">
        <v>80</v>
      </c>
      <c r="D1803">
        <v>79.963279724000003</v>
      </c>
      <c r="E1803">
        <v>50</v>
      </c>
      <c r="F1803">
        <v>48.112724303999997</v>
      </c>
      <c r="G1803">
        <v>1763.8524170000001</v>
      </c>
      <c r="H1803">
        <v>1637.0964355000001</v>
      </c>
      <c r="I1803">
        <v>939.69287109000004</v>
      </c>
      <c r="J1803">
        <v>745.30084228999999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1481.817147</v>
      </c>
      <c r="B1804" s="1">
        <f>DATE(2014,5,21) + TIME(19,36,41)</f>
        <v>41780.817141203705</v>
      </c>
      <c r="C1804">
        <v>80</v>
      </c>
      <c r="D1804">
        <v>79.962791443</v>
      </c>
      <c r="E1804">
        <v>50</v>
      </c>
      <c r="F1804">
        <v>48.073448181000003</v>
      </c>
      <c r="G1804">
        <v>1765.8271483999999</v>
      </c>
      <c r="H1804">
        <v>1639.0812988</v>
      </c>
      <c r="I1804">
        <v>937.23046875</v>
      </c>
      <c r="J1804">
        <v>742.81207274999997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1482.557507</v>
      </c>
      <c r="B1805" s="1">
        <f>DATE(2014,5,22) + TIME(13,22,48)</f>
        <v>41781.557500000003</v>
      </c>
      <c r="C1805">
        <v>80</v>
      </c>
      <c r="D1805">
        <v>79.962326050000001</v>
      </c>
      <c r="E1805">
        <v>50</v>
      </c>
      <c r="F1805">
        <v>48.033363342000001</v>
      </c>
      <c r="G1805">
        <v>1767.7353516000001</v>
      </c>
      <c r="H1805">
        <v>1640.9991454999999</v>
      </c>
      <c r="I1805">
        <v>934.83917236000002</v>
      </c>
      <c r="J1805">
        <v>740.39373779000005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1483.3240900000001</v>
      </c>
      <c r="B1806" s="1">
        <f>DATE(2014,5,23) + TIME(7,46,41)</f>
        <v>41782.32408564815</v>
      </c>
      <c r="C1806">
        <v>80</v>
      </c>
      <c r="D1806">
        <v>79.961891174000002</v>
      </c>
      <c r="E1806">
        <v>50</v>
      </c>
      <c r="F1806">
        <v>47.992290496999999</v>
      </c>
      <c r="G1806">
        <v>1769.5845947</v>
      </c>
      <c r="H1806">
        <v>1642.8576660000001</v>
      </c>
      <c r="I1806">
        <v>932.50982666000004</v>
      </c>
      <c r="J1806">
        <v>738.03656006000006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1484.121494</v>
      </c>
      <c r="B1807" s="1">
        <f>DATE(2014,5,24) + TIME(2,54,57)</f>
        <v>41783.121493055558</v>
      </c>
      <c r="C1807">
        <v>80</v>
      </c>
      <c r="D1807">
        <v>79.961471558</v>
      </c>
      <c r="E1807">
        <v>50</v>
      </c>
      <c r="F1807">
        <v>47.950019836000003</v>
      </c>
      <c r="G1807">
        <v>1771.3818358999999</v>
      </c>
      <c r="H1807">
        <v>1644.6636963000001</v>
      </c>
      <c r="I1807">
        <v>930.23425293000003</v>
      </c>
      <c r="J1807">
        <v>735.73211670000001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1484.9513939999999</v>
      </c>
      <c r="B1808" s="1">
        <f>DATE(2014,5,24) + TIME(22,50,0)</f>
        <v>41783.951388888891</v>
      </c>
      <c r="C1808">
        <v>80</v>
      </c>
      <c r="D1808">
        <v>79.961067200000002</v>
      </c>
      <c r="E1808">
        <v>50</v>
      </c>
      <c r="F1808">
        <v>47.906406402999998</v>
      </c>
      <c r="G1808">
        <v>1773.1246338000001</v>
      </c>
      <c r="H1808">
        <v>1646.4150391000001</v>
      </c>
      <c r="I1808">
        <v>928.01367187999995</v>
      </c>
      <c r="J1808">
        <v>733.48150635000002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1485.3825670000001</v>
      </c>
      <c r="B1809" s="1">
        <f>DATE(2014,5,25) + TIME(9,10,53)</f>
        <v>41784.382557870369</v>
      </c>
      <c r="C1809">
        <v>80</v>
      </c>
      <c r="D1809">
        <v>79.960685729999994</v>
      </c>
      <c r="E1809">
        <v>50</v>
      </c>
      <c r="F1809">
        <v>47.875637054000002</v>
      </c>
      <c r="G1809">
        <v>1773.9002685999999</v>
      </c>
      <c r="H1809">
        <v>1647.1984863</v>
      </c>
      <c r="I1809">
        <v>926.87127685999997</v>
      </c>
      <c r="J1809">
        <v>732.32177734000004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1485.8137409999999</v>
      </c>
      <c r="B1810" s="1">
        <f>DATE(2014,5,25) + TIME(19,31,47)</f>
        <v>41784.813738425924</v>
      </c>
      <c r="C1810">
        <v>80</v>
      </c>
      <c r="D1810">
        <v>79.960441588999998</v>
      </c>
      <c r="E1810">
        <v>50</v>
      </c>
      <c r="F1810">
        <v>47.847618103000002</v>
      </c>
      <c r="G1810">
        <v>1774.6846923999999</v>
      </c>
      <c r="H1810">
        <v>1647.9871826000001</v>
      </c>
      <c r="I1810">
        <v>925.78173828000001</v>
      </c>
      <c r="J1810">
        <v>731.21118163999995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1486.2449140000001</v>
      </c>
      <c r="B1811" s="1">
        <f>DATE(2014,5,26) + TIME(5,52,40)</f>
        <v>41785.24490740741</v>
      </c>
      <c r="C1811">
        <v>80</v>
      </c>
      <c r="D1811">
        <v>79.960273743000002</v>
      </c>
      <c r="E1811">
        <v>50</v>
      </c>
      <c r="F1811">
        <v>47.821353911999999</v>
      </c>
      <c r="G1811">
        <v>1775.4624022999999</v>
      </c>
      <c r="H1811">
        <v>1648.7686768000001</v>
      </c>
      <c r="I1811">
        <v>924.72991943</v>
      </c>
      <c r="J1811">
        <v>730.13983154000005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1486.6760879999999</v>
      </c>
      <c r="B1812" s="1">
        <f>DATE(2014,5,26) + TIME(16,13,33)</f>
        <v>41785.676076388889</v>
      </c>
      <c r="C1812">
        <v>80</v>
      </c>
      <c r="D1812">
        <v>79.960136414000004</v>
      </c>
      <c r="E1812">
        <v>50</v>
      </c>
      <c r="F1812">
        <v>47.796237945999998</v>
      </c>
      <c r="G1812">
        <v>1776.2219238</v>
      </c>
      <c r="H1812">
        <v>1649.5318603999999</v>
      </c>
      <c r="I1812">
        <v>923.71356201000003</v>
      </c>
      <c r="J1812">
        <v>729.10485840000001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1487.5384349999999</v>
      </c>
      <c r="B1813" s="1">
        <f>DATE(2014,5,27) + TIME(12,55,20)</f>
        <v>41786.538425925923</v>
      </c>
      <c r="C1813">
        <v>80</v>
      </c>
      <c r="D1813">
        <v>79.960052489999995</v>
      </c>
      <c r="E1813">
        <v>50</v>
      </c>
      <c r="F1813">
        <v>47.760570526000002</v>
      </c>
      <c r="G1813">
        <v>1777.7742920000001</v>
      </c>
      <c r="H1813">
        <v>1651.0880127</v>
      </c>
      <c r="I1813">
        <v>921.84722899999997</v>
      </c>
      <c r="J1813">
        <v>727.20928954999999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1488.403182</v>
      </c>
      <c r="B1814" s="1">
        <f>DATE(2014,5,28) + TIME(9,40,34)</f>
        <v>41787.403171296297</v>
      </c>
      <c r="C1814">
        <v>80</v>
      </c>
      <c r="D1814">
        <v>79.959777832</v>
      </c>
      <c r="E1814">
        <v>50</v>
      </c>
      <c r="F1814">
        <v>47.719455719000003</v>
      </c>
      <c r="G1814">
        <v>1779.1579589999999</v>
      </c>
      <c r="H1814">
        <v>1652.4782714999999</v>
      </c>
      <c r="I1814">
        <v>920.07287598000005</v>
      </c>
      <c r="J1814">
        <v>725.40649413999995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1489.280242</v>
      </c>
      <c r="B1815" s="1">
        <f>DATE(2014,5,29) + TIME(6,43,32)</f>
        <v>41788.280231481483</v>
      </c>
      <c r="C1815">
        <v>80</v>
      </c>
      <c r="D1815">
        <v>79.959472656000003</v>
      </c>
      <c r="E1815">
        <v>50</v>
      </c>
      <c r="F1815">
        <v>47.675624847000002</v>
      </c>
      <c r="G1815">
        <v>1780.4399414</v>
      </c>
      <c r="H1815">
        <v>1653.7663574000001</v>
      </c>
      <c r="I1815">
        <v>918.38323975000003</v>
      </c>
      <c r="J1815">
        <v>723.68524170000001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1490.174471</v>
      </c>
      <c r="B1816" s="1">
        <f>DATE(2014,5,30) + TIME(4,11,14)</f>
        <v>41789.174467592595</v>
      </c>
      <c r="C1816">
        <v>80</v>
      </c>
      <c r="D1816">
        <v>79.959190368999998</v>
      </c>
      <c r="E1816">
        <v>50</v>
      </c>
      <c r="F1816">
        <v>47.630157470999997</v>
      </c>
      <c r="G1816">
        <v>1781.6457519999999</v>
      </c>
      <c r="H1816">
        <v>1654.9779053</v>
      </c>
      <c r="I1816">
        <v>916.76824951000003</v>
      </c>
      <c r="J1816">
        <v>722.03643798999997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1491.091036</v>
      </c>
      <c r="B1817" s="1">
        <f>DATE(2014,5,31) + TIME(2,11,5)</f>
        <v>41790.09103009259</v>
      </c>
      <c r="C1817">
        <v>80</v>
      </c>
      <c r="D1817">
        <v>79.958930968999994</v>
      </c>
      <c r="E1817">
        <v>50</v>
      </c>
      <c r="F1817">
        <v>47.583438872999999</v>
      </c>
      <c r="G1817">
        <v>1782.7879639</v>
      </c>
      <c r="H1817">
        <v>1656.1257324000001</v>
      </c>
      <c r="I1817">
        <v>915.21893310999997</v>
      </c>
      <c r="J1817">
        <v>720.45159911999997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1492</v>
      </c>
      <c r="B1818" s="1">
        <f>DATE(2014,6,1) + TIME(0,0,0)</f>
        <v>41791</v>
      </c>
      <c r="C1818">
        <v>80</v>
      </c>
      <c r="D1818">
        <v>79.958694457999997</v>
      </c>
      <c r="E1818">
        <v>50</v>
      </c>
      <c r="F1818">
        <v>47.536304473999998</v>
      </c>
      <c r="G1818">
        <v>1783.8283690999999</v>
      </c>
      <c r="H1818">
        <v>1657.1712646000001</v>
      </c>
      <c r="I1818">
        <v>913.77679443</v>
      </c>
      <c r="J1818">
        <v>718.97302246000004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1492.9445450000001</v>
      </c>
      <c r="B1819" s="1">
        <f>DATE(2014,6,1) + TIME(22,40,8)</f>
        <v>41791.944537037038</v>
      </c>
      <c r="C1819">
        <v>80</v>
      </c>
      <c r="D1819">
        <v>79.958480835000003</v>
      </c>
      <c r="E1819">
        <v>50</v>
      </c>
      <c r="F1819">
        <v>47.488300322999997</v>
      </c>
      <c r="G1819">
        <v>1784.8325195</v>
      </c>
      <c r="H1819">
        <v>1658.1802978999999</v>
      </c>
      <c r="I1819">
        <v>912.37847899999997</v>
      </c>
      <c r="J1819">
        <v>717.53631591999999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1493.9631670000001</v>
      </c>
      <c r="B1820" s="1">
        <f>DATE(2014,6,2) + TIME(23,6,57)</f>
        <v>41792.963159722225</v>
      </c>
      <c r="C1820">
        <v>80</v>
      </c>
      <c r="D1820">
        <v>79.958290099999999</v>
      </c>
      <c r="E1820">
        <v>50</v>
      </c>
      <c r="F1820">
        <v>47.438182830999999</v>
      </c>
      <c r="G1820">
        <v>1785.8366699000001</v>
      </c>
      <c r="H1820">
        <v>1659.1890868999999</v>
      </c>
      <c r="I1820">
        <v>910.97937012</v>
      </c>
      <c r="J1820">
        <v>716.09613036999997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1494.4798820000001</v>
      </c>
      <c r="B1821" s="1">
        <f>DATE(2014,6,3) + TIME(11,31,1)</f>
        <v>41793.479872685188</v>
      </c>
      <c r="C1821">
        <v>80</v>
      </c>
      <c r="D1821">
        <v>79.958030700999998</v>
      </c>
      <c r="E1821">
        <v>50</v>
      </c>
      <c r="F1821">
        <v>47.40171814</v>
      </c>
      <c r="G1821">
        <v>1786.2342529</v>
      </c>
      <c r="H1821">
        <v>1659.5908202999999</v>
      </c>
      <c r="I1821">
        <v>910.25469970999995</v>
      </c>
      <c r="J1821">
        <v>715.34527588000003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1495.5133129999999</v>
      </c>
      <c r="B1822" s="1">
        <f>DATE(2014,6,4) + TIME(12,19,10)</f>
        <v>41794.513310185182</v>
      </c>
      <c r="C1822">
        <v>80</v>
      </c>
      <c r="D1822">
        <v>79.957984924000002</v>
      </c>
      <c r="E1822">
        <v>50</v>
      </c>
      <c r="F1822">
        <v>47.355533600000001</v>
      </c>
      <c r="G1822">
        <v>1787.1583252</v>
      </c>
      <c r="H1822">
        <v>1660.5177002</v>
      </c>
      <c r="I1822">
        <v>909.00463866999996</v>
      </c>
      <c r="J1822">
        <v>714.05078125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1496.547251</v>
      </c>
      <c r="B1823" s="1">
        <f>DATE(2014,6,5) + TIME(13,8,2)</f>
        <v>41795.54724537037</v>
      </c>
      <c r="C1823">
        <v>80</v>
      </c>
      <c r="D1823">
        <v>79.957839965999995</v>
      </c>
      <c r="E1823">
        <v>50</v>
      </c>
      <c r="F1823">
        <v>47.305366515999999</v>
      </c>
      <c r="G1823">
        <v>1787.9747314000001</v>
      </c>
      <c r="H1823">
        <v>1661.3381348</v>
      </c>
      <c r="I1823">
        <v>907.81744385000002</v>
      </c>
      <c r="J1823">
        <v>712.82061768000005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1497.5909200000001</v>
      </c>
      <c r="B1824" s="1">
        <f>DATE(2014,6,6) + TIME(14,10,55)</f>
        <v>41796.590914351851</v>
      </c>
      <c r="C1824">
        <v>80</v>
      </c>
      <c r="D1824">
        <v>79.957679748999993</v>
      </c>
      <c r="E1824">
        <v>50</v>
      </c>
      <c r="F1824">
        <v>47.253391266000001</v>
      </c>
      <c r="G1824">
        <v>1788.7131348</v>
      </c>
      <c r="H1824">
        <v>1662.0803223</v>
      </c>
      <c r="I1824">
        <v>906.69909668000003</v>
      </c>
      <c r="J1824">
        <v>711.65600586000005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1498.6500510000001</v>
      </c>
      <c r="B1825" s="1">
        <f>DATE(2014,6,7) + TIME(15,36,4)</f>
        <v>41797.650046296294</v>
      </c>
      <c r="C1825">
        <v>80</v>
      </c>
      <c r="D1825">
        <v>79.957534789999997</v>
      </c>
      <c r="E1825">
        <v>50</v>
      </c>
      <c r="F1825">
        <v>47.200302123999997</v>
      </c>
      <c r="G1825">
        <v>1789.3897704999999</v>
      </c>
      <c r="H1825">
        <v>1662.7604980000001</v>
      </c>
      <c r="I1825">
        <v>905.64178466999999</v>
      </c>
      <c r="J1825">
        <v>710.54968262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1499.7309299999999</v>
      </c>
      <c r="B1826" s="1">
        <f>DATE(2014,6,8) + TIME(17,32,32)</f>
        <v>41798.730925925927</v>
      </c>
      <c r="C1826">
        <v>80</v>
      </c>
      <c r="D1826">
        <v>79.957397460999999</v>
      </c>
      <c r="E1826">
        <v>50</v>
      </c>
      <c r="F1826">
        <v>47.146213531000001</v>
      </c>
      <c r="G1826">
        <v>1790.0131836</v>
      </c>
      <c r="H1826">
        <v>1663.3873291</v>
      </c>
      <c r="I1826">
        <v>904.63775635000002</v>
      </c>
      <c r="J1826">
        <v>709.49414062000005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1500.840301</v>
      </c>
      <c r="B1827" s="1">
        <f>DATE(2014,6,9) + TIME(20,10,2)</f>
        <v>41799.840300925927</v>
      </c>
      <c r="C1827">
        <v>80</v>
      </c>
      <c r="D1827">
        <v>79.957275390999996</v>
      </c>
      <c r="E1827">
        <v>50</v>
      </c>
      <c r="F1827">
        <v>47.090976714999996</v>
      </c>
      <c r="G1827">
        <v>1790.5891113</v>
      </c>
      <c r="H1827">
        <v>1663.9663086</v>
      </c>
      <c r="I1827">
        <v>903.68035888999998</v>
      </c>
      <c r="J1827">
        <v>708.48236083999996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1501.9855259999999</v>
      </c>
      <c r="B1828" s="1">
        <f>DATE(2014,6,10) + TIME(23,39,9)</f>
        <v>41800.985520833332</v>
      </c>
      <c r="C1828">
        <v>80</v>
      </c>
      <c r="D1828">
        <v>79.957168578999998</v>
      </c>
      <c r="E1828">
        <v>50</v>
      </c>
      <c r="F1828">
        <v>47.034313202</v>
      </c>
      <c r="G1828">
        <v>1791.1210937999999</v>
      </c>
      <c r="H1828">
        <v>1664.5013428</v>
      </c>
      <c r="I1828">
        <v>902.76342772999999</v>
      </c>
      <c r="J1828">
        <v>707.50775146000001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1503.1692949999999</v>
      </c>
      <c r="B1829" s="1">
        <f>DATE(2014,6,12) + TIME(4,3,47)</f>
        <v>41802.169293981482</v>
      </c>
      <c r="C1829">
        <v>80</v>
      </c>
      <c r="D1829">
        <v>79.957069396999998</v>
      </c>
      <c r="E1829">
        <v>50</v>
      </c>
      <c r="F1829">
        <v>46.975975036999998</v>
      </c>
      <c r="G1829">
        <v>1791.6087646000001</v>
      </c>
      <c r="H1829">
        <v>1664.9918213000001</v>
      </c>
      <c r="I1829">
        <v>901.88488770000004</v>
      </c>
      <c r="J1829">
        <v>706.56774901999995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1504.387849</v>
      </c>
      <c r="B1830" s="1">
        <f>DATE(2014,6,13) + TIME(9,18,30)</f>
        <v>41803.38784722222</v>
      </c>
      <c r="C1830">
        <v>80</v>
      </c>
      <c r="D1830">
        <v>79.956977843999994</v>
      </c>
      <c r="E1830">
        <v>50</v>
      </c>
      <c r="F1830">
        <v>46.915885924999998</v>
      </c>
      <c r="G1830">
        <v>1792.0484618999999</v>
      </c>
      <c r="H1830">
        <v>1665.4343262</v>
      </c>
      <c r="I1830">
        <v>901.04632568</v>
      </c>
      <c r="J1830">
        <v>705.66363524999997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1505.6078460000001</v>
      </c>
      <c r="B1831" s="1">
        <f>DATE(2014,6,14) + TIME(14,35,17)</f>
        <v>41804.607835648145</v>
      </c>
      <c r="C1831">
        <v>80</v>
      </c>
      <c r="D1831">
        <v>79.956886291999993</v>
      </c>
      <c r="E1831">
        <v>50</v>
      </c>
      <c r="F1831">
        <v>46.854679107999999</v>
      </c>
      <c r="G1831">
        <v>1792.4250488</v>
      </c>
      <c r="H1831">
        <v>1665.8134766000001</v>
      </c>
      <c r="I1831">
        <v>900.26269531000003</v>
      </c>
      <c r="J1831">
        <v>704.81085204999999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1506.8341270000001</v>
      </c>
      <c r="B1832" s="1">
        <f>DATE(2014,6,15) + TIME(20,1,8)</f>
        <v>41805.834120370368</v>
      </c>
      <c r="C1832">
        <v>80</v>
      </c>
      <c r="D1832">
        <v>79.956802367999998</v>
      </c>
      <c r="E1832">
        <v>50</v>
      </c>
      <c r="F1832">
        <v>46.792884827000002</v>
      </c>
      <c r="G1832">
        <v>1792.7487793</v>
      </c>
      <c r="H1832">
        <v>1666.1395264</v>
      </c>
      <c r="I1832">
        <v>899.52917479999996</v>
      </c>
      <c r="J1832">
        <v>704.00469970999995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1508.0738510000001</v>
      </c>
      <c r="B1833" s="1">
        <f>DATE(2014,6,17) + TIME(1,46,20)</f>
        <v>41807.073842592596</v>
      </c>
      <c r="C1833">
        <v>80</v>
      </c>
      <c r="D1833">
        <v>79.956741332999997</v>
      </c>
      <c r="E1833">
        <v>50</v>
      </c>
      <c r="F1833">
        <v>46.730503081999998</v>
      </c>
      <c r="G1833">
        <v>1793.0266113</v>
      </c>
      <c r="H1833">
        <v>1666.4196777</v>
      </c>
      <c r="I1833">
        <v>898.83862305000002</v>
      </c>
      <c r="J1833">
        <v>703.23797606999995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1509.3341419999999</v>
      </c>
      <c r="B1834" s="1">
        <f>DATE(2014,6,18) + TIME(8,1,9)</f>
        <v>41808.334131944444</v>
      </c>
      <c r="C1834">
        <v>80</v>
      </c>
      <c r="D1834">
        <v>79.956687927000004</v>
      </c>
      <c r="E1834">
        <v>50</v>
      </c>
      <c r="F1834">
        <v>46.667301178000002</v>
      </c>
      <c r="G1834">
        <v>1793.2631836</v>
      </c>
      <c r="H1834">
        <v>1666.6583252</v>
      </c>
      <c r="I1834">
        <v>898.18469238</v>
      </c>
      <c r="J1834">
        <v>702.50390625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1510.6171200000001</v>
      </c>
      <c r="B1835" s="1">
        <f>DATE(2014,6,19) + TIME(14,48,39)</f>
        <v>41809.617118055554</v>
      </c>
      <c r="C1835">
        <v>80</v>
      </c>
      <c r="D1835">
        <v>79.956634520999998</v>
      </c>
      <c r="E1835">
        <v>50</v>
      </c>
      <c r="F1835">
        <v>46.603046417000002</v>
      </c>
      <c r="G1835">
        <v>1793.4599608999999</v>
      </c>
      <c r="H1835">
        <v>1666.8570557</v>
      </c>
      <c r="I1835">
        <v>897.56335449000005</v>
      </c>
      <c r="J1835">
        <v>701.79791260000002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1511.924174</v>
      </c>
      <c r="B1836" s="1">
        <f>DATE(2014,6,20) + TIME(22,10,48)</f>
        <v>41810.924166666664</v>
      </c>
      <c r="C1836">
        <v>80</v>
      </c>
      <c r="D1836">
        <v>79.956596375000004</v>
      </c>
      <c r="E1836">
        <v>50</v>
      </c>
      <c r="F1836">
        <v>46.537578582999998</v>
      </c>
      <c r="G1836">
        <v>1793.6180420000001</v>
      </c>
      <c r="H1836">
        <v>1667.0169678</v>
      </c>
      <c r="I1836">
        <v>896.97137451000003</v>
      </c>
      <c r="J1836">
        <v>701.11639404000005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1513.2628480000001</v>
      </c>
      <c r="B1837" s="1">
        <f>DATE(2014,6,22) + TIME(6,18,30)</f>
        <v>41812.26284722222</v>
      </c>
      <c r="C1837">
        <v>80</v>
      </c>
      <c r="D1837">
        <v>79.956565857000001</v>
      </c>
      <c r="E1837">
        <v>50</v>
      </c>
      <c r="F1837">
        <v>46.470661163000003</v>
      </c>
      <c r="G1837">
        <v>1793.7401123</v>
      </c>
      <c r="H1837">
        <v>1667.1407471</v>
      </c>
      <c r="I1837">
        <v>896.40423583999996</v>
      </c>
      <c r="J1837">
        <v>700.45416260000002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1514.641382</v>
      </c>
      <c r="B1838" s="1">
        <f>DATE(2014,6,23) + TIME(15,23,35)</f>
        <v>41813.641377314816</v>
      </c>
      <c r="C1838">
        <v>80</v>
      </c>
      <c r="D1838">
        <v>79.956535338999998</v>
      </c>
      <c r="E1838">
        <v>50</v>
      </c>
      <c r="F1838">
        <v>46.401943207000002</v>
      </c>
      <c r="G1838">
        <v>1793.8277588000001</v>
      </c>
      <c r="H1838">
        <v>1667.2301024999999</v>
      </c>
      <c r="I1838">
        <v>895.85729979999996</v>
      </c>
      <c r="J1838">
        <v>699.80584716999999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1515.3532929999999</v>
      </c>
      <c r="B1839" s="1">
        <f>DATE(2014,6,24) + TIME(8,28,44)</f>
        <v>41814.35328703704</v>
      </c>
      <c r="C1839">
        <v>80</v>
      </c>
      <c r="D1839">
        <v>79.95640564</v>
      </c>
      <c r="E1839">
        <v>50</v>
      </c>
      <c r="F1839">
        <v>46.349384307999998</v>
      </c>
      <c r="G1839">
        <v>1793.7899170000001</v>
      </c>
      <c r="H1839">
        <v>1667.1936035000001</v>
      </c>
      <c r="I1839">
        <v>895.49627685999997</v>
      </c>
      <c r="J1839">
        <v>699.36682128999996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1516.0652050000001</v>
      </c>
      <c r="B1840" s="1">
        <f>DATE(2014,6,25) + TIME(1,33,53)</f>
        <v>41815.065196759257</v>
      </c>
      <c r="C1840">
        <v>80</v>
      </c>
      <c r="D1840">
        <v>79.956359863000003</v>
      </c>
      <c r="E1840">
        <v>50</v>
      </c>
      <c r="F1840">
        <v>46.304401398000003</v>
      </c>
      <c r="G1840">
        <v>1793.7636719</v>
      </c>
      <c r="H1840">
        <v>1667.1680908000001</v>
      </c>
      <c r="I1840">
        <v>895.19927978999999</v>
      </c>
      <c r="J1840">
        <v>698.99755859000004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1516.7771170000001</v>
      </c>
      <c r="B1841" s="1">
        <f>DATE(2014,6,25) + TIME(18,39,2)</f>
        <v>41815.777106481481</v>
      </c>
      <c r="C1841">
        <v>80</v>
      </c>
      <c r="D1841">
        <v>79.956367493000002</v>
      </c>
      <c r="E1841">
        <v>50</v>
      </c>
      <c r="F1841">
        <v>46.263301849000001</v>
      </c>
      <c r="G1841">
        <v>1793.7474365</v>
      </c>
      <c r="H1841">
        <v>1667.1525879000001</v>
      </c>
      <c r="I1841">
        <v>894.92175293000003</v>
      </c>
      <c r="J1841">
        <v>698.65313720999995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1517.4890290000001</v>
      </c>
      <c r="B1842" s="1">
        <f>DATE(2014,6,26) + TIME(11,44,12)</f>
        <v>41816.489027777781</v>
      </c>
      <c r="C1842">
        <v>80</v>
      </c>
      <c r="D1842">
        <v>79.956382751000007</v>
      </c>
      <c r="E1842">
        <v>50</v>
      </c>
      <c r="F1842">
        <v>46.224182128999999</v>
      </c>
      <c r="G1842">
        <v>1793.7331543</v>
      </c>
      <c r="H1842">
        <v>1667.1390381000001</v>
      </c>
      <c r="I1842">
        <v>894.65692138999998</v>
      </c>
      <c r="J1842">
        <v>698.32354736000002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1518.9128519999999</v>
      </c>
      <c r="B1843" s="1">
        <f>DATE(2014,6,27) + TIME(21,54,30)</f>
        <v>41817.912847222222</v>
      </c>
      <c r="C1843">
        <v>80</v>
      </c>
      <c r="D1843">
        <v>79.956535338999998</v>
      </c>
      <c r="E1843">
        <v>50</v>
      </c>
      <c r="F1843">
        <v>46.172740935999997</v>
      </c>
      <c r="G1843">
        <v>1793.7958983999999</v>
      </c>
      <c r="H1843">
        <v>1667.2026367000001</v>
      </c>
      <c r="I1843">
        <v>894.27911376999998</v>
      </c>
      <c r="J1843">
        <v>697.85766602000001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1520.336963</v>
      </c>
      <c r="B1844" s="1">
        <f>DATE(2014,6,29) + TIME(8,5,13)</f>
        <v>41819.336956018517</v>
      </c>
      <c r="C1844">
        <v>80</v>
      </c>
      <c r="D1844">
        <v>79.956535338999998</v>
      </c>
      <c r="E1844">
        <v>50</v>
      </c>
      <c r="F1844">
        <v>46.106697083</v>
      </c>
      <c r="G1844">
        <v>1793.7824707</v>
      </c>
      <c r="H1844">
        <v>1667.1905518000001</v>
      </c>
      <c r="I1844">
        <v>893.84118651999995</v>
      </c>
      <c r="J1844">
        <v>697.30706786999997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1521.78295</v>
      </c>
      <c r="B1845" s="1">
        <f>DATE(2014,6,30) + TIME(18,47,26)</f>
        <v>41820.782939814817</v>
      </c>
      <c r="C1845">
        <v>80</v>
      </c>
      <c r="D1845">
        <v>79.956512450999995</v>
      </c>
      <c r="E1845">
        <v>50</v>
      </c>
      <c r="F1845">
        <v>46.034938812</v>
      </c>
      <c r="G1845">
        <v>1793.7202147999999</v>
      </c>
      <c r="H1845">
        <v>1667.1293945</v>
      </c>
      <c r="I1845">
        <v>893.40393066000001</v>
      </c>
      <c r="J1845">
        <v>696.74206543000003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1522</v>
      </c>
      <c r="B1846" s="1">
        <f>DATE(2014,7,1) + TIME(0,0,0)</f>
        <v>41821</v>
      </c>
      <c r="C1846">
        <v>80</v>
      </c>
      <c r="D1846">
        <v>79.956428528000004</v>
      </c>
      <c r="E1846">
        <v>50</v>
      </c>
      <c r="F1846">
        <v>46.009746552000003</v>
      </c>
      <c r="G1846">
        <v>1793.6763916</v>
      </c>
      <c r="H1846">
        <v>1667.0863036999999</v>
      </c>
      <c r="I1846">
        <v>893.21765137</v>
      </c>
      <c r="J1846">
        <v>696.51354979999996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1523.47495</v>
      </c>
      <c r="B1847" s="1">
        <f>DATE(2014,7,2) + TIME(11,23,55)</f>
        <v>41822.474942129629</v>
      </c>
      <c r="C1847">
        <v>80</v>
      </c>
      <c r="D1847">
        <v>79.956481933999996</v>
      </c>
      <c r="E1847">
        <v>50</v>
      </c>
      <c r="F1847">
        <v>45.943897247000002</v>
      </c>
      <c r="G1847">
        <v>1793.5830077999999</v>
      </c>
      <c r="H1847">
        <v>1666.9934082</v>
      </c>
      <c r="I1847">
        <v>892.88983154000005</v>
      </c>
      <c r="J1847">
        <v>696.05822753999996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1524.9937649999999</v>
      </c>
      <c r="B1848" s="1">
        <f>DATE(2014,7,3) + TIME(23,51,1)</f>
        <v>41823.993761574071</v>
      </c>
      <c r="C1848">
        <v>80</v>
      </c>
      <c r="D1848">
        <v>79.956504821999999</v>
      </c>
      <c r="E1848">
        <v>50</v>
      </c>
      <c r="F1848">
        <v>45.869548797999997</v>
      </c>
      <c r="G1848">
        <v>1793.4648437999999</v>
      </c>
      <c r="H1848">
        <v>1666.8763428</v>
      </c>
      <c r="I1848">
        <v>892.47332763999998</v>
      </c>
      <c r="J1848">
        <v>695.49920654000005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1526.560567</v>
      </c>
      <c r="B1849" s="1">
        <f>DATE(2014,7,5) + TIME(13,27,12)</f>
        <v>41825.560555555552</v>
      </c>
      <c r="C1849">
        <v>80</v>
      </c>
      <c r="D1849">
        <v>79.956520080999994</v>
      </c>
      <c r="E1849">
        <v>50</v>
      </c>
      <c r="F1849">
        <v>45.790412903000004</v>
      </c>
      <c r="G1849">
        <v>1793.3114014</v>
      </c>
      <c r="H1849">
        <v>1666.723999</v>
      </c>
      <c r="I1849">
        <v>892.04888916000004</v>
      </c>
      <c r="J1849">
        <v>694.91754149999997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1527.3734030000001</v>
      </c>
      <c r="B1850" s="1">
        <f>DATE(2014,7,6) + TIME(8,57,42)</f>
        <v>41826.373402777775</v>
      </c>
      <c r="C1850">
        <v>80</v>
      </c>
      <c r="D1850">
        <v>79.956420898000005</v>
      </c>
      <c r="E1850">
        <v>50</v>
      </c>
      <c r="F1850">
        <v>45.727615356000001</v>
      </c>
      <c r="G1850">
        <v>1793.1556396000001</v>
      </c>
      <c r="H1850">
        <v>1666.5689697</v>
      </c>
      <c r="I1850">
        <v>891.70281981999995</v>
      </c>
      <c r="J1850">
        <v>694.44323729999996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1528.18624</v>
      </c>
      <c r="B1851" s="1">
        <f>DATE(2014,7,7) + TIME(4,28,11)</f>
        <v>41827.186238425929</v>
      </c>
      <c r="C1851">
        <v>80</v>
      </c>
      <c r="D1851">
        <v>79.956398010000001</v>
      </c>
      <c r="E1851">
        <v>50</v>
      </c>
      <c r="F1851">
        <v>45.674701691000003</v>
      </c>
      <c r="G1851">
        <v>1793.0109863</v>
      </c>
      <c r="H1851">
        <v>1666.4246826000001</v>
      </c>
      <c r="I1851">
        <v>891.44525146000001</v>
      </c>
      <c r="J1851">
        <v>694.07305908000001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1528.9990760000001</v>
      </c>
      <c r="B1852" s="1">
        <f>DATE(2014,7,7) + TIME(23,58,40)</f>
        <v>41827.999074074076</v>
      </c>
      <c r="C1852">
        <v>80</v>
      </c>
      <c r="D1852">
        <v>79.956420898000005</v>
      </c>
      <c r="E1852">
        <v>50</v>
      </c>
      <c r="F1852">
        <v>45.626514434999997</v>
      </c>
      <c r="G1852">
        <v>1792.8781738</v>
      </c>
      <c r="H1852">
        <v>1666.2923584</v>
      </c>
      <c r="I1852">
        <v>891.20697021000001</v>
      </c>
      <c r="J1852">
        <v>693.73077393000005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1529.811913</v>
      </c>
      <c r="B1853" s="1">
        <f>DATE(2014,7,8) + TIME(19,29,9)</f>
        <v>41828.811909722222</v>
      </c>
      <c r="C1853">
        <v>80</v>
      </c>
      <c r="D1853">
        <v>79.956451415999993</v>
      </c>
      <c r="E1853">
        <v>50</v>
      </c>
      <c r="F1853">
        <v>45.580570221000002</v>
      </c>
      <c r="G1853">
        <v>1792.7503661999999</v>
      </c>
      <c r="H1853">
        <v>1666.1650391000001</v>
      </c>
      <c r="I1853">
        <v>890.97778319999998</v>
      </c>
      <c r="J1853">
        <v>693.40075683999999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1531.437586</v>
      </c>
      <c r="B1854" s="1">
        <f>DATE(2014,7,10) + TIME(10,30,7)</f>
        <v>41830.437581018516</v>
      </c>
      <c r="C1854">
        <v>80</v>
      </c>
      <c r="D1854">
        <v>79.956619262999993</v>
      </c>
      <c r="E1854">
        <v>50</v>
      </c>
      <c r="F1854">
        <v>45.521263122999997</v>
      </c>
      <c r="G1854">
        <v>1792.5957031</v>
      </c>
      <c r="H1854">
        <v>1666.0109863</v>
      </c>
      <c r="I1854">
        <v>890.70367432</v>
      </c>
      <c r="J1854">
        <v>692.99414062000005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1533.064791</v>
      </c>
      <c r="B1855" s="1">
        <f>DATE(2014,7,12) + TIME(1,33,17)</f>
        <v>41832.064780092594</v>
      </c>
      <c r="C1855">
        <v>80</v>
      </c>
      <c r="D1855">
        <v>79.956649780000006</v>
      </c>
      <c r="E1855">
        <v>50</v>
      </c>
      <c r="F1855">
        <v>45.442661285</v>
      </c>
      <c r="G1855">
        <v>1792.3812256000001</v>
      </c>
      <c r="H1855">
        <v>1665.7973632999999</v>
      </c>
      <c r="I1855">
        <v>890.30816649999997</v>
      </c>
      <c r="J1855">
        <v>692.42022704999999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1534.7186400000001</v>
      </c>
      <c r="B1856" s="1">
        <f>DATE(2014,7,13) + TIME(17,14,50)</f>
        <v>41833.718634259261</v>
      </c>
      <c r="C1856">
        <v>80</v>
      </c>
      <c r="D1856">
        <v>79.956657410000005</v>
      </c>
      <c r="E1856">
        <v>50</v>
      </c>
      <c r="F1856">
        <v>45.357025145999998</v>
      </c>
      <c r="G1856">
        <v>1792.1268310999999</v>
      </c>
      <c r="H1856">
        <v>1665.5435791</v>
      </c>
      <c r="I1856">
        <v>889.89324951000003</v>
      </c>
      <c r="J1856">
        <v>691.80426024999997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1536.407821</v>
      </c>
      <c r="B1857" s="1">
        <f>DATE(2014,7,15) + TIME(9,47,15)</f>
        <v>41835.407812500001</v>
      </c>
      <c r="C1857">
        <v>80</v>
      </c>
      <c r="D1857">
        <v>79.956680297999995</v>
      </c>
      <c r="E1857">
        <v>50</v>
      </c>
      <c r="F1857">
        <v>45.267646790000001</v>
      </c>
      <c r="G1857">
        <v>1791.8446045000001</v>
      </c>
      <c r="H1857">
        <v>1665.2619629000001</v>
      </c>
      <c r="I1857">
        <v>889.46704102000001</v>
      </c>
      <c r="J1857">
        <v>691.16180420000001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1538.1422459999999</v>
      </c>
      <c r="B1858" s="1">
        <f>DATE(2014,7,17) + TIME(3,24,50)</f>
        <v>41837.142245370371</v>
      </c>
      <c r="C1858">
        <v>80</v>
      </c>
      <c r="D1858">
        <v>79.956703185999999</v>
      </c>
      <c r="E1858">
        <v>50</v>
      </c>
      <c r="F1858">
        <v>45.175266266000001</v>
      </c>
      <c r="G1858">
        <v>1791.5385742000001</v>
      </c>
      <c r="H1858">
        <v>1664.9566649999999</v>
      </c>
      <c r="I1858">
        <v>889.02978515999996</v>
      </c>
      <c r="J1858">
        <v>690.49432373000002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1539.9189980000001</v>
      </c>
      <c r="B1859" s="1">
        <f>DATE(2014,7,18) + TIME(22,3,21)</f>
        <v>41838.918993055559</v>
      </c>
      <c r="C1859">
        <v>80</v>
      </c>
      <c r="D1859">
        <v>79.956741332999997</v>
      </c>
      <c r="E1859">
        <v>50</v>
      </c>
      <c r="F1859">
        <v>45.079948424999998</v>
      </c>
      <c r="G1859">
        <v>1791.2105713000001</v>
      </c>
      <c r="H1859">
        <v>1664.6292725000001</v>
      </c>
      <c r="I1859">
        <v>888.57946776999995</v>
      </c>
      <c r="J1859">
        <v>689.79949951000003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1541.737766</v>
      </c>
      <c r="B1860" s="1">
        <f>DATE(2014,7,20) + TIME(17,42,22)</f>
        <v>41840.737754629627</v>
      </c>
      <c r="C1860">
        <v>80</v>
      </c>
      <c r="D1860">
        <v>79.956779479999994</v>
      </c>
      <c r="E1860">
        <v>50</v>
      </c>
      <c r="F1860">
        <v>44.981781005999999</v>
      </c>
      <c r="G1860">
        <v>1790.8619385</v>
      </c>
      <c r="H1860">
        <v>1664.2811279</v>
      </c>
      <c r="I1860">
        <v>888.11541748000002</v>
      </c>
      <c r="J1860">
        <v>689.07635498000002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1543.5812120000001</v>
      </c>
      <c r="B1861" s="1">
        <f>DATE(2014,7,22) + TIME(13,56,56)</f>
        <v>41842.581203703703</v>
      </c>
      <c r="C1861">
        <v>80</v>
      </c>
      <c r="D1861">
        <v>79.956825256000002</v>
      </c>
      <c r="E1861">
        <v>50</v>
      </c>
      <c r="F1861">
        <v>44.881069183000001</v>
      </c>
      <c r="G1861">
        <v>1790.4948730000001</v>
      </c>
      <c r="H1861">
        <v>1663.9147949000001</v>
      </c>
      <c r="I1861">
        <v>887.63714600000003</v>
      </c>
      <c r="J1861">
        <v>688.32464600000003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1545.4335610000001</v>
      </c>
      <c r="B1862" s="1">
        <f>DATE(2014,7,24) + TIME(10,24,19)</f>
        <v>41844.433553240742</v>
      </c>
      <c r="C1862">
        <v>80</v>
      </c>
      <c r="D1862">
        <v>79.956871032999999</v>
      </c>
      <c r="E1862">
        <v>50</v>
      </c>
      <c r="F1862">
        <v>44.778602599999999</v>
      </c>
      <c r="G1862">
        <v>1790.1134033000001</v>
      </c>
      <c r="H1862">
        <v>1663.5338135</v>
      </c>
      <c r="I1862">
        <v>887.14739989999998</v>
      </c>
      <c r="J1862">
        <v>687.54876708999996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1547.305368</v>
      </c>
      <c r="B1863" s="1">
        <f>DATE(2014,7,26) + TIME(7,19,43)</f>
        <v>41846.305358796293</v>
      </c>
      <c r="C1863">
        <v>80</v>
      </c>
      <c r="D1863">
        <v>79.956916809000006</v>
      </c>
      <c r="E1863">
        <v>50</v>
      </c>
      <c r="F1863">
        <v>44.674816131999997</v>
      </c>
      <c r="G1863">
        <v>1789.7188721</v>
      </c>
      <c r="H1863">
        <v>1663.1397704999999</v>
      </c>
      <c r="I1863">
        <v>886.64886475000003</v>
      </c>
      <c r="J1863">
        <v>686.75244140999996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1549.2025610000001</v>
      </c>
      <c r="B1864" s="1">
        <f>DATE(2014,7,28) + TIME(4,51,41)</f>
        <v>41848.202557870369</v>
      </c>
      <c r="C1864">
        <v>80</v>
      </c>
      <c r="D1864">
        <v>79.956962584999999</v>
      </c>
      <c r="E1864">
        <v>50</v>
      </c>
      <c r="F1864">
        <v>44.569522857999999</v>
      </c>
      <c r="G1864">
        <v>1789.3116454999999</v>
      </c>
      <c r="H1864">
        <v>1662.7329102000001</v>
      </c>
      <c r="I1864">
        <v>886.13940430000002</v>
      </c>
      <c r="J1864">
        <v>685.93292236000002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1551.121165</v>
      </c>
      <c r="B1865" s="1">
        <f>DATE(2014,7,30) + TIME(2,54,28)</f>
        <v>41850.121157407404</v>
      </c>
      <c r="C1865">
        <v>80</v>
      </c>
      <c r="D1865">
        <v>79.957015991000006</v>
      </c>
      <c r="E1865">
        <v>50</v>
      </c>
      <c r="F1865">
        <v>44.462627411</v>
      </c>
      <c r="G1865">
        <v>1788.8925781</v>
      </c>
      <c r="H1865">
        <v>1662.3143310999999</v>
      </c>
      <c r="I1865">
        <v>885.6171875</v>
      </c>
      <c r="J1865">
        <v>685.08782958999996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1553</v>
      </c>
      <c r="B1866" s="1">
        <f>DATE(2014,8,1) + TIME(0,0,0)</f>
        <v>41852</v>
      </c>
      <c r="C1866">
        <v>80</v>
      </c>
      <c r="D1866">
        <v>79.957061768000003</v>
      </c>
      <c r="E1866">
        <v>50</v>
      </c>
      <c r="F1866">
        <v>44.355228424000003</v>
      </c>
      <c r="G1866">
        <v>1788.4703368999999</v>
      </c>
      <c r="H1866">
        <v>1661.8924560999999</v>
      </c>
      <c r="I1866">
        <v>885.08367920000001</v>
      </c>
      <c r="J1866">
        <v>684.22161864999998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1554.950028</v>
      </c>
      <c r="B1867" s="1">
        <f>DATE(2014,8,2) + TIME(22,48,2)</f>
        <v>41853.950023148151</v>
      </c>
      <c r="C1867">
        <v>80</v>
      </c>
      <c r="D1867">
        <v>79.957122803000004</v>
      </c>
      <c r="E1867">
        <v>50</v>
      </c>
      <c r="F1867">
        <v>44.247360229000002</v>
      </c>
      <c r="G1867">
        <v>1788.0344238</v>
      </c>
      <c r="H1867">
        <v>1661.4569091999999</v>
      </c>
      <c r="I1867">
        <v>884.55059814000003</v>
      </c>
      <c r="J1867">
        <v>683.34661864999998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1556.9736210000001</v>
      </c>
      <c r="B1868" s="1">
        <f>DATE(2014,8,4) + TIME(23,22,0)</f>
        <v>41855.973611111112</v>
      </c>
      <c r="C1868">
        <v>80</v>
      </c>
      <c r="D1868">
        <v>79.957191467000001</v>
      </c>
      <c r="E1868">
        <v>50</v>
      </c>
      <c r="F1868">
        <v>44.136444091999998</v>
      </c>
      <c r="G1868">
        <v>1787.581543</v>
      </c>
      <c r="H1868">
        <v>1661.0045166</v>
      </c>
      <c r="I1868">
        <v>883.99499512</v>
      </c>
      <c r="J1868">
        <v>682.43127441000001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1559.016678</v>
      </c>
      <c r="B1869" s="1">
        <f>DATE(2014,8,7) + TIME(0,24,1)</f>
        <v>41858.01667824074</v>
      </c>
      <c r="C1869">
        <v>80</v>
      </c>
      <c r="D1869">
        <v>79.957244872999993</v>
      </c>
      <c r="E1869">
        <v>50</v>
      </c>
      <c r="F1869">
        <v>44.022510529000002</v>
      </c>
      <c r="G1869">
        <v>1787.1169434000001</v>
      </c>
      <c r="H1869">
        <v>1660.5401611</v>
      </c>
      <c r="I1869">
        <v>883.41351318</v>
      </c>
      <c r="J1869">
        <v>681.47149658000001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1561.0877620000001</v>
      </c>
      <c r="B1870" s="1">
        <f>DATE(2014,8,9) + TIME(2,6,22)</f>
        <v>41860.087754629632</v>
      </c>
      <c r="C1870">
        <v>80</v>
      </c>
      <c r="D1870">
        <v>79.957305907999995</v>
      </c>
      <c r="E1870">
        <v>50</v>
      </c>
      <c r="F1870">
        <v>43.906894684000001</v>
      </c>
      <c r="G1870">
        <v>1786.6412353999999</v>
      </c>
      <c r="H1870">
        <v>1660.0649414</v>
      </c>
      <c r="I1870">
        <v>882.81805420000001</v>
      </c>
      <c r="J1870">
        <v>680.48339843999997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1563.1791290000001</v>
      </c>
      <c r="B1871" s="1">
        <f>DATE(2014,8,11) + TIME(4,17,56)</f>
        <v>41862.179120370369</v>
      </c>
      <c r="C1871">
        <v>80</v>
      </c>
      <c r="D1871">
        <v>79.957366942999997</v>
      </c>
      <c r="E1871">
        <v>50</v>
      </c>
      <c r="F1871">
        <v>43.789970398000001</v>
      </c>
      <c r="G1871">
        <v>1786.1568603999999</v>
      </c>
      <c r="H1871">
        <v>1659.5806885</v>
      </c>
      <c r="I1871">
        <v>882.20849609000004</v>
      </c>
      <c r="J1871">
        <v>679.46777343999997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1565.2900139999999</v>
      </c>
      <c r="B1872" s="1">
        <f>DATE(2014,8,13) + TIME(6,57,37)</f>
        <v>41864.290011574078</v>
      </c>
      <c r="C1872">
        <v>80</v>
      </c>
      <c r="D1872">
        <v>79.957427979000002</v>
      </c>
      <c r="E1872">
        <v>50</v>
      </c>
      <c r="F1872">
        <v>43.672157288000001</v>
      </c>
      <c r="G1872">
        <v>1785.6646728999999</v>
      </c>
      <c r="H1872">
        <v>1659.0888672000001</v>
      </c>
      <c r="I1872">
        <v>881.58728026999995</v>
      </c>
      <c r="J1872">
        <v>678.42840576000003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1567.4312660000001</v>
      </c>
      <c r="B1873" s="1">
        <f>DATE(2014,8,15) + TIME(10,21,1)</f>
        <v>41866.431261574071</v>
      </c>
      <c r="C1873">
        <v>80</v>
      </c>
      <c r="D1873">
        <v>79.957489014000004</v>
      </c>
      <c r="E1873">
        <v>50</v>
      </c>
      <c r="F1873">
        <v>43.553535461000003</v>
      </c>
      <c r="G1873">
        <v>1785.1639404</v>
      </c>
      <c r="H1873">
        <v>1658.588501</v>
      </c>
      <c r="I1873">
        <v>880.95538329999999</v>
      </c>
      <c r="J1873">
        <v>677.36657715000001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1569.614466</v>
      </c>
      <c r="B1874" s="1">
        <f>DATE(2014,8,17) + TIME(14,44,49)</f>
        <v>41868.61445601852</v>
      </c>
      <c r="C1874">
        <v>80</v>
      </c>
      <c r="D1874">
        <v>79.957557678000001</v>
      </c>
      <c r="E1874">
        <v>50</v>
      </c>
      <c r="F1874">
        <v>43.433822632000002</v>
      </c>
      <c r="G1874">
        <v>1784.6531981999999</v>
      </c>
      <c r="H1874">
        <v>1658.0780029</v>
      </c>
      <c r="I1874">
        <v>880.31097411999997</v>
      </c>
      <c r="J1874">
        <v>676.27911376999998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1571.8259700000001</v>
      </c>
      <c r="B1875" s="1">
        <f>DATE(2014,8,19) + TIME(19,49,23)</f>
        <v>41870.825960648152</v>
      </c>
      <c r="C1875">
        <v>80</v>
      </c>
      <c r="D1875">
        <v>79.957618713000002</v>
      </c>
      <c r="E1875">
        <v>50</v>
      </c>
      <c r="F1875">
        <v>43.312980652</v>
      </c>
      <c r="G1875">
        <v>1784.1340332</v>
      </c>
      <c r="H1875">
        <v>1657.559082</v>
      </c>
      <c r="I1875">
        <v>879.65173340000001</v>
      </c>
      <c r="J1875">
        <v>675.16339111000002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1574.0591629999999</v>
      </c>
      <c r="B1876" s="1">
        <f>DATE(2014,8,22) + TIME(1,25,11)</f>
        <v>41873.059155092589</v>
      </c>
      <c r="C1876">
        <v>80</v>
      </c>
      <c r="D1876">
        <v>79.957687378000003</v>
      </c>
      <c r="E1876">
        <v>50</v>
      </c>
      <c r="F1876">
        <v>43.191635132000002</v>
      </c>
      <c r="G1876">
        <v>1783.6081543</v>
      </c>
      <c r="H1876">
        <v>1657.0334473</v>
      </c>
      <c r="I1876">
        <v>878.98211670000001</v>
      </c>
      <c r="J1876">
        <v>674.02587890999996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1576.32285</v>
      </c>
      <c r="B1877" s="1">
        <f>DATE(2014,8,24) + TIME(7,44,54)</f>
        <v>41875.322847222225</v>
      </c>
      <c r="C1877">
        <v>80</v>
      </c>
      <c r="D1877">
        <v>79.957756042</v>
      </c>
      <c r="E1877">
        <v>50</v>
      </c>
      <c r="F1877">
        <v>43.070156097000002</v>
      </c>
      <c r="G1877">
        <v>1783.0748291</v>
      </c>
      <c r="H1877">
        <v>1656.5003661999999</v>
      </c>
      <c r="I1877">
        <v>878.30523682</v>
      </c>
      <c r="J1877">
        <v>672.87133788999995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1578.6155269999999</v>
      </c>
      <c r="B1878" s="1">
        <f>DATE(2014,8,26) + TIME(14,46,21)</f>
        <v>41877.615520833337</v>
      </c>
      <c r="C1878">
        <v>80</v>
      </c>
      <c r="D1878">
        <v>79.957824707</v>
      </c>
      <c r="E1878">
        <v>50</v>
      </c>
      <c r="F1878">
        <v>42.948608397999998</v>
      </c>
      <c r="G1878">
        <v>1782.5345459</v>
      </c>
      <c r="H1878">
        <v>1655.9603271000001</v>
      </c>
      <c r="I1878">
        <v>877.62066649999997</v>
      </c>
      <c r="J1878">
        <v>671.69952393000005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1580.933947</v>
      </c>
      <c r="B1879" s="1">
        <f>DATE(2014,8,28) + TIME(22,24,53)</f>
        <v>41879.933946759258</v>
      </c>
      <c r="C1879">
        <v>80</v>
      </c>
      <c r="D1879">
        <v>79.957893372000001</v>
      </c>
      <c r="E1879">
        <v>50</v>
      </c>
      <c r="F1879">
        <v>42.827304839999996</v>
      </c>
      <c r="G1879">
        <v>1781.9881591999999</v>
      </c>
      <c r="H1879">
        <v>1655.4141846</v>
      </c>
      <c r="I1879">
        <v>876.93029784999999</v>
      </c>
      <c r="J1879">
        <v>670.51361083999996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1583.2854580000001</v>
      </c>
      <c r="B1880" s="1">
        <f>DATE(2014,8,31) + TIME(6,51,3)</f>
        <v>41882.285451388889</v>
      </c>
      <c r="C1880">
        <v>80</v>
      </c>
      <c r="D1880">
        <v>79.957962035999998</v>
      </c>
      <c r="E1880">
        <v>50</v>
      </c>
      <c r="F1880">
        <v>42.706562042000002</v>
      </c>
      <c r="G1880">
        <v>1781.4349365</v>
      </c>
      <c r="H1880">
        <v>1654.8610839999999</v>
      </c>
      <c r="I1880">
        <v>876.23675536999997</v>
      </c>
      <c r="J1880">
        <v>669.31750488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1584</v>
      </c>
      <c r="B1881" s="1">
        <f>DATE(2014,9,1) + TIME(0,0,0)</f>
        <v>41883</v>
      </c>
      <c r="C1881">
        <v>80</v>
      </c>
      <c r="D1881">
        <v>79.957901000999996</v>
      </c>
      <c r="E1881">
        <v>50</v>
      </c>
      <c r="F1881">
        <v>42.629787444999998</v>
      </c>
      <c r="G1881">
        <v>1781.2188721</v>
      </c>
      <c r="H1881">
        <v>1654.6451416</v>
      </c>
      <c r="I1881">
        <v>875.63220215000001</v>
      </c>
      <c r="J1881">
        <v>668.37188720999995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1586.3933079999999</v>
      </c>
      <c r="B1882" s="1">
        <f>DATE(2014,9,3) + TIME(9,26,21)</f>
        <v>41885.39329861111</v>
      </c>
      <c r="C1882">
        <v>80</v>
      </c>
      <c r="D1882">
        <v>79.958045959000003</v>
      </c>
      <c r="E1882">
        <v>50</v>
      </c>
      <c r="F1882">
        <v>42.540821074999997</v>
      </c>
      <c r="G1882">
        <v>1780.6699219</v>
      </c>
      <c r="H1882">
        <v>1654.0963135</v>
      </c>
      <c r="I1882">
        <v>875.29724121000004</v>
      </c>
      <c r="J1882">
        <v>667.67358397999999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1588.8161729999999</v>
      </c>
      <c r="B1883" s="1">
        <f>DATE(2014,9,5) + TIME(19,35,17)</f>
        <v>41887.816168981481</v>
      </c>
      <c r="C1883">
        <v>80</v>
      </c>
      <c r="D1883">
        <v>79.958137511999993</v>
      </c>
      <c r="E1883">
        <v>50</v>
      </c>
      <c r="F1883">
        <v>42.430042266999997</v>
      </c>
      <c r="G1883">
        <v>1780.1177978999999</v>
      </c>
      <c r="H1883">
        <v>1653.5443115</v>
      </c>
      <c r="I1883">
        <v>874.63159180000002</v>
      </c>
      <c r="J1883">
        <v>666.52508545000001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1591.265999</v>
      </c>
      <c r="B1884" s="1">
        <f>DATE(2014,9,8) + TIME(6,23,2)</f>
        <v>41890.26599537037</v>
      </c>
      <c r="C1884">
        <v>80</v>
      </c>
      <c r="D1884">
        <v>79.958206176999994</v>
      </c>
      <c r="E1884">
        <v>50</v>
      </c>
      <c r="F1884">
        <v>42.315246582</v>
      </c>
      <c r="G1884">
        <v>1779.5522461</v>
      </c>
      <c r="H1884">
        <v>1652.9790039</v>
      </c>
      <c r="I1884">
        <v>873.94317626999998</v>
      </c>
      <c r="J1884">
        <v>665.32769774999997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1593.7334659999999</v>
      </c>
      <c r="B1885" s="1">
        <f>DATE(2014,9,10) + TIME(17,36,11)</f>
        <v>41892.733460648145</v>
      </c>
      <c r="C1885">
        <v>80</v>
      </c>
      <c r="D1885">
        <v>79.958274841000005</v>
      </c>
      <c r="E1885">
        <v>50</v>
      </c>
      <c r="F1885">
        <v>42.201538085999999</v>
      </c>
      <c r="G1885">
        <v>1778.9793701000001</v>
      </c>
      <c r="H1885">
        <v>1652.40625</v>
      </c>
      <c r="I1885">
        <v>873.25750731999995</v>
      </c>
      <c r="J1885">
        <v>664.12829590000001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1596.222289</v>
      </c>
      <c r="B1886" s="1">
        <f>DATE(2014,9,13) + TIME(5,20,5)</f>
        <v>41895.222280092596</v>
      </c>
      <c r="C1886">
        <v>80</v>
      </c>
      <c r="D1886">
        <v>79.958343506000006</v>
      </c>
      <c r="E1886">
        <v>50</v>
      </c>
      <c r="F1886">
        <v>42.090713501000003</v>
      </c>
      <c r="G1886">
        <v>1778.4011230000001</v>
      </c>
      <c r="H1886">
        <v>1651.8282471</v>
      </c>
      <c r="I1886">
        <v>872.58288574000005</v>
      </c>
      <c r="J1886">
        <v>662.94311522999999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1598.7430899999999</v>
      </c>
      <c r="B1887" s="1">
        <f>DATE(2014,9,15) + TIME(17,50,2)</f>
        <v>41897.743078703701</v>
      </c>
      <c r="C1887">
        <v>80</v>
      </c>
      <c r="D1887">
        <v>79.958412170000003</v>
      </c>
      <c r="E1887">
        <v>50</v>
      </c>
      <c r="F1887">
        <v>41.983413696</v>
      </c>
      <c r="G1887">
        <v>1777.8171387</v>
      </c>
      <c r="H1887">
        <v>1651.2443848</v>
      </c>
      <c r="I1887">
        <v>871.92211913999995</v>
      </c>
      <c r="J1887">
        <v>661.77758788999995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1601.3070270000001</v>
      </c>
      <c r="B1888" s="1">
        <f>DATE(2014,9,18) + TIME(7,22,7)</f>
        <v>41900.307025462964</v>
      </c>
      <c r="C1888">
        <v>80</v>
      </c>
      <c r="D1888">
        <v>79.958488463999998</v>
      </c>
      <c r="E1888">
        <v>50</v>
      </c>
      <c r="F1888">
        <v>41.879901885999999</v>
      </c>
      <c r="G1888">
        <v>1777.2259521000001</v>
      </c>
      <c r="H1888">
        <v>1650.6533202999999</v>
      </c>
      <c r="I1888">
        <v>871.27569579999999</v>
      </c>
      <c r="J1888">
        <v>660.63348388999998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1603.924313</v>
      </c>
      <c r="B1889" s="1">
        <f>DATE(2014,9,20) + TIME(22,11,0)</f>
        <v>41902.924305555556</v>
      </c>
      <c r="C1889">
        <v>80</v>
      </c>
      <c r="D1889">
        <v>79.958564757999994</v>
      </c>
      <c r="E1889">
        <v>50</v>
      </c>
      <c r="F1889">
        <v>41.780487061000002</v>
      </c>
      <c r="G1889">
        <v>1776.6257324000001</v>
      </c>
      <c r="H1889">
        <v>1650.0532227000001</v>
      </c>
      <c r="I1889">
        <v>870.64422606999995</v>
      </c>
      <c r="J1889">
        <v>659.51232909999999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1606.569667</v>
      </c>
      <c r="B1890" s="1">
        <f>DATE(2014,9,23) + TIME(13,40,19)</f>
        <v>41905.569664351853</v>
      </c>
      <c r="C1890">
        <v>80</v>
      </c>
      <c r="D1890">
        <v>79.958641052000004</v>
      </c>
      <c r="E1890">
        <v>50</v>
      </c>
      <c r="F1890">
        <v>41.685920715000002</v>
      </c>
      <c r="G1890">
        <v>1776.0203856999999</v>
      </c>
      <c r="H1890">
        <v>1649.4479980000001</v>
      </c>
      <c r="I1890">
        <v>870.02893066000001</v>
      </c>
      <c r="J1890">
        <v>658.41833496000004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1609.231268</v>
      </c>
      <c r="B1891" s="1">
        <f>DATE(2014,9,26) + TIME(5,33,1)</f>
        <v>41908.231261574074</v>
      </c>
      <c r="C1891">
        <v>80</v>
      </c>
      <c r="D1891">
        <v>79.958709717000005</v>
      </c>
      <c r="E1891">
        <v>50</v>
      </c>
      <c r="F1891">
        <v>41.597648620999998</v>
      </c>
      <c r="G1891">
        <v>1775.4123535000001</v>
      </c>
      <c r="H1891">
        <v>1648.8400879000001</v>
      </c>
      <c r="I1891">
        <v>869.43908691000001</v>
      </c>
      <c r="J1891">
        <v>657.36743163999995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1611.9062610000001</v>
      </c>
      <c r="B1892" s="1">
        <f>DATE(2014,9,28) + TIME(21,45,0)</f>
        <v>41910.90625</v>
      </c>
      <c r="C1892">
        <v>80</v>
      </c>
      <c r="D1892">
        <v>79.958786011000001</v>
      </c>
      <c r="E1892">
        <v>50</v>
      </c>
      <c r="F1892">
        <v>41.516860962000003</v>
      </c>
      <c r="G1892">
        <v>1774.8029785000001</v>
      </c>
      <c r="H1892">
        <v>1648.2308350000001</v>
      </c>
      <c r="I1892">
        <v>868.88079833999996</v>
      </c>
      <c r="J1892">
        <v>656.37133788999995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1614</v>
      </c>
      <c r="B1893" s="1">
        <f>DATE(2014,10,1) + TIME(0,0,0)</f>
        <v>41913</v>
      </c>
      <c r="C1893">
        <v>80</v>
      </c>
      <c r="D1893">
        <v>79.958816528</v>
      </c>
      <c r="E1893">
        <v>50</v>
      </c>
      <c r="F1893">
        <v>41.448780059999997</v>
      </c>
      <c r="G1893">
        <v>1774.2950439000001</v>
      </c>
      <c r="H1893">
        <v>1647.7230225000001</v>
      </c>
      <c r="I1893">
        <v>868.35809326000003</v>
      </c>
      <c r="J1893">
        <v>655.45843506000006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1616.6985990000001</v>
      </c>
      <c r="B1894" s="1">
        <f>DATE(2014,10,3) + TIME(16,45,58)</f>
        <v>41915.698587962965</v>
      </c>
      <c r="C1894">
        <v>80</v>
      </c>
      <c r="D1894">
        <v>79.958915709999999</v>
      </c>
      <c r="E1894">
        <v>50</v>
      </c>
      <c r="F1894">
        <v>41.392639160000002</v>
      </c>
      <c r="G1894">
        <v>1773.6951904</v>
      </c>
      <c r="H1894">
        <v>1647.1232910000001</v>
      </c>
      <c r="I1894">
        <v>867.97332763999998</v>
      </c>
      <c r="J1894">
        <v>654.74456786999997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1619.4681519999999</v>
      </c>
      <c r="B1895" s="1">
        <f>DATE(2014,10,6) + TIME(11,14,8)</f>
        <v>41918.468148148146</v>
      </c>
      <c r="C1895">
        <v>80</v>
      </c>
      <c r="D1895">
        <v>79.958999633999994</v>
      </c>
      <c r="E1895">
        <v>50</v>
      </c>
      <c r="F1895">
        <v>41.339076996000003</v>
      </c>
      <c r="G1895">
        <v>1773.0838623</v>
      </c>
      <c r="H1895">
        <v>1646.512207</v>
      </c>
      <c r="I1895">
        <v>867.52838135000002</v>
      </c>
      <c r="J1895">
        <v>653.95495604999996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1622.289481</v>
      </c>
      <c r="B1896" s="1">
        <f>DATE(2014,10,9) + TIME(6,56,51)</f>
        <v>41921.289479166669</v>
      </c>
      <c r="C1896">
        <v>80</v>
      </c>
      <c r="D1896">
        <v>79.959083557</v>
      </c>
      <c r="E1896">
        <v>50</v>
      </c>
      <c r="F1896">
        <v>41.293979645</v>
      </c>
      <c r="G1896">
        <v>1772.4613036999999</v>
      </c>
      <c r="H1896">
        <v>1645.8896483999999</v>
      </c>
      <c r="I1896">
        <v>867.10827637</v>
      </c>
      <c r="J1896">
        <v>653.21398925999995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1625.138919</v>
      </c>
      <c r="B1897" s="1">
        <f>DATE(2014,10,12) + TIME(3,20,2)</f>
        <v>41924.138912037037</v>
      </c>
      <c r="C1897">
        <v>80</v>
      </c>
      <c r="D1897">
        <v>79.959152222</v>
      </c>
      <c r="E1897">
        <v>50</v>
      </c>
      <c r="F1897">
        <v>41.26007843</v>
      </c>
      <c r="G1897">
        <v>1771.8330077999999</v>
      </c>
      <c r="H1897">
        <v>1645.2614745999999</v>
      </c>
      <c r="I1897">
        <v>866.72619628999996</v>
      </c>
      <c r="J1897">
        <v>652.54681396000001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1628.0279499999999</v>
      </c>
      <c r="B1898" s="1">
        <f>DATE(2014,10,15) + TIME(0,40,14)</f>
        <v>41927.027939814812</v>
      </c>
      <c r="C1898">
        <v>80</v>
      </c>
      <c r="D1898">
        <v>79.959236145000006</v>
      </c>
      <c r="E1898">
        <v>50</v>
      </c>
      <c r="F1898">
        <v>41.238971710000001</v>
      </c>
      <c r="G1898">
        <v>1771.1987305</v>
      </c>
      <c r="H1898">
        <v>1644.6273193</v>
      </c>
      <c r="I1898">
        <v>866.38928223000005</v>
      </c>
      <c r="J1898">
        <v>651.96789550999995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1630.933094</v>
      </c>
      <c r="B1899" s="1">
        <f>DATE(2014,10,17) + TIME(22,23,39)</f>
        <v>41929.93309027778</v>
      </c>
      <c r="C1899">
        <v>80</v>
      </c>
      <c r="D1899">
        <v>79.959312439000001</v>
      </c>
      <c r="E1899">
        <v>50</v>
      </c>
      <c r="F1899">
        <v>41.231834411999998</v>
      </c>
      <c r="G1899">
        <v>1770.5633545000001</v>
      </c>
      <c r="H1899">
        <v>1643.9919434000001</v>
      </c>
      <c r="I1899">
        <v>866.09783935999997</v>
      </c>
      <c r="J1899">
        <v>651.48095703000001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1633.8602229999999</v>
      </c>
      <c r="B1900" s="1">
        <f>DATE(2014,10,20) + TIME(20,38,43)</f>
        <v>41932.860219907408</v>
      </c>
      <c r="C1900">
        <v>80</v>
      </c>
      <c r="D1900">
        <v>79.959388732999997</v>
      </c>
      <c r="E1900">
        <v>50</v>
      </c>
      <c r="F1900">
        <v>41.239540099999999</v>
      </c>
      <c r="G1900">
        <v>1769.9266356999999</v>
      </c>
      <c r="H1900">
        <v>1643.3553466999999</v>
      </c>
      <c r="I1900">
        <v>865.85522461000005</v>
      </c>
      <c r="J1900">
        <v>651.09313965000001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1636.8205250000001</v>
      </c>
      <c r="B1901" s="1">
        <f>DATE(2014,10,23) + TIME(19,41,33)</f>
        <v>41935.820520833331</v>
      </c>
      <c r="C1901">
        <v>80</v>
      </c>
      <c r="D1901">
        <v>79.959465026999993</v>
      </c>
      <c r="E1901">
        <v>50</v>
      </c>
      <c r="F1901">
        <v>41.262794495000001</v>
      </c>
      <c r="G1901">
        <v>1769.2875977000001</v>
      </c>
      <c r="H1901">
        <v>1642.7164307</v>
      </c>
      <c r="I1901">
        <v>865.66040038999995</v>
      </c>
      <c r="J1901">
        <v>650.80487060999997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1639.8260290000001</v>
      </c>
      <c r="B1902" s="1">
        <f>DATE(2014,10,26) + TIME(19,49,28)</f>
        <v>41938.826018518521</v>
      </c>
      <c r="C1902">
        <v>80</v>
      </c>
      <c r="D1902">
        <v>79.959548949999999</v>
      </c>
      <c r="E1902">
        <v>50</v>
      </c>
      <c r="F1902">
        <v>41.302330017000003</v>
      </c>
      <c r="G1902">
        <v>1768.6446533000001</v>
      </c>
      <c r="H1902">
        <v>1642.0736084</v>
      </c>
      <c r="I1902">
        <v>865.51159668000003</v>
      </c>
      <c r="J1902">
        <v>650.61499022999999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1642.877424</v>
      </c>
      <c r="B1903" s="1">
        <f>DATE(2014,10,29) + TIME(21,3,29)</f>
        <v>41941.877418981479</v>
      </c>
      <c r="C1903">
        <v>80</v>
      </c>
      <c r="D1903">
        <v>79.959625243999994</v>
      </c>
      <c r="E1903">
        <v>50</v>
      </c>
      <c r="F1903">
        <v>41.358837127999998</v>
      </c>
      <c r="G1903">
        <v>1767.9979248</v>
      </c>
      <c r="H1903">
        <v>1641.4270019999999</v>
      </c>
      <c r="I1903">
        <v>865.40667725000003</v>
      </c>
      <c r="J1903">
        <v>650.52185058999999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1645</v>
      </c>
      <c r="B1904" s="1">
        <f>DATE(2014,11,1) + TIME(0,0,0)</f>
        <v>41944</v>
      </c>
      <c r="C1904">
        <v>80</v>
      </c>
      <c r="D1904">
        <v>79.959648131999998</v>
      </c>
      <c r="E1904">
        <v>50</v>
      </c>
      <c r="F1904">
        <v>41.426990508999999</v>
      </c>
      <c r="G1904">
        <v>1767.5112305</v>
      </c>
      <c r="H1904">
        <v>1640.9401855000001</v>
      </c>
      <c r="I1904">
        <v>865.33233643000005</v>
      </c>
      <c r="J1904">
        <v>650.50018310999997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1645.0000010000001</v>
      </c>
      <c r="B1905" s="1">
        <f>DATE(2014,11,1) + TIME(0,0,0)</f>
        <v>41944</v>
      </c>
      <c r="C1905">
        <v>80</v>
      </c>
      <c r="D1905">
        <v>79.959617614999999</v>
      </c>
      <c r="E1905">
        <v>50</v>
      </c>
      <c r="F1905">
        <v>41.427013397000003</v>
      </c>
      <c r="G1905">
        <v>1640.9301757999999</v>
      </c>
      <c r="H1905">
        <v>1514.3603516000001</v>
      </c>
      <c r="I1905">
        <v>1080.3603516000001</v>
      </c>
      <c r="J1905">
        <v>865.34179687999995</v>
      </c>
      <c r="K1905">
        <v>0</v>
      </c>
      <c r="L1905">
        <v>2400</v>
      </c>
      <c r="M1905">
        <v>2400</v>
      </c>
      <c r="N1905">
        <v>0</v>
      </c>
    </row>
    <row r="1906" spans="1:14" x14ac:dyDescent="0.25">
      <c r="A1906">
        <v>1645.000004</v>
      </c>
      <c r="B1906" s="1">
        <f>DATE(2014,11,1) + TIME(0,0,0)</f>
        <v>41944</v>
      </c>
      <c r="C1906">
        <v>80</v>
      </c>
      <c r="D1906">
        <v>79.959526061999995</v>
      </c>
      <c r="E1906">
        <v>50</v>
      </c>
      <c r="F1906">
        <v>41.427085876</v>
      </c>
      <c r="G1906">
        <v>1640.9001464999999</v>
      </c>
      <c r="H1906">
        <v>1514.3300781</v>
      </c>
      <c r="I1906">
        <v>1080.3896483999999</v>
      </c>
      <c r="J1906">
        <v>865.37030029000005</v>
      </c>
      <c r="K1906">
        <v>0</v>
      </c>
      <c r="L1906">
        <v>2400</v>
      </c>
      <c r="M1906">
        <v>2400</v>
      </c>
      <c r="N1906">
        <v>0</v>
      </c>
    </row>
    <row r="1907" spans="1:14" x14ac:dyDescent="0.25">
      <c r="A1907">
        <v>1645.0000130000001</v>
      </c>
      <c r="B1907" s="1">
        <f>DATE(2014,11,1) + TIME(0,0,1)</f>
        <v>41944.000011574077</v>
      </c>
      <c r="C1907">
        <v>80</v>
      </c>
      <c r="D1907">
        <v>79.959251404</v>
      </c>
      <c r="E1907">
        <v>50</v>
      </c>
      <c r="F1907">
        <v>41.427295684999997</v>
      </c>
      <c r="G1907">
        <v>1640.8100586</v>
      </c>
      <c r="H1907">
        <v>1514.239624</v>
      </c>
      <c r="I1907">
        <v>1080.4774170000001</v>
      </c>
      <c r="J1907">
        <v>865.45568848000005</v>
      </c>
      <c r="K1907">
        <v>0</v>
      </c>
      <c r="L1907">
        <v>2400</v>
      </c>
      <c r="M1907">
        <v>2400</v>
      </c>
      <c r="N1907">
        <v>0</v>
      </c>
    </row>
    <row r="1908" spans="1:14" x14ac:dyDescent="0.25">
      <c r="A1908">
        <v>1645.0000399999999</v>
      </c>
      <c r="B1908" s="1">
        <f>DATE(2014,11,1) + TIME(0,0,3)</f>
        <v>41944.000034722223</v>
      </c>
      <c r="C1908">
        <v>80</v>
      </c>
      <c r="D1908">
        <v>79.958419800000001</v>
      </c>
      <c r="E1908">
        <v>50</v>
      </c>
      <c r="F1908">
        <v>41.427932738999999</v>
      </c>
      <c r="G1908">
        <v>1640.5404053</v>
      </c>
      <c r="H1908">
        <v>1513.9685059000001</v>
      </c>
      <c r="I1908">
        <v>1080.7404785000001</v>
      </c>
      <c r="J1908">
        <v>865.71173095999995</v>
      </c>
      <c r="K1908">
        <v>0</v>
      </c>
      <c r="L1908">
        <v>2400</v>
      </c>
      <c r="M1908">
        <v>2400</v>
      </c>
      <c r="N1908">
        <v>0</v>
      </c>
    </row>
    <row r="1909" spans="1:14" x14ac:dyDescent="0.25">
      <c r="A1909">
        <v>1645.000121</v>
      </c>
      <c r="B1909" s="1">
        <f>DATE(2014,11,1) + TIME(0,0,10)</f>
        <v>41944.000115740739</v>
      </c>
      <c r="C1909">
        <v>80</v>
      </c>
      <c r="D1909">
        <v>79.955947875999996</v>
      </c>
      <c r="E1909">
        <v>50</v>
      </c>
      <c r="F1909">
        <v>41.429840087999999</v>
      </c>
      <c r="G1909">
        <v>1639.7360839999999</v>
      </c>
      <c r="H1909">
        <v>1513.1601562000001</v>
      </c>
      <c r="I1909">
        <v>1081.5268555</v>
      </c>
      <c r="J1909">
        <v>866.47827147999999</v>
      </c>
      <c r="K1909">
        <v>0</v>
      </c>
      <c r="L1909">
        <v>2400</v>
      </c>
      <c r="M1909">
        <v>2400</v>
      </c>
      <c r="N1909">
        <v>0</v>
      </c>
    </row>
    <row r="1910" spans="1:14" x14ac:dyDescent="0.25">
      <c r="A1910">
        <v>1645.000364</v>
      </c>
      <c r="B1910" s="1">
        <f>DATE(2014,11,1) + TIME(0,0,31)</f>
        <v>41944.000358796293</v>
      </c>
      <c r="C1910">
        <v>80</v>
      </c>
      <c r="D1910">
        <v>79.948669433999996</v>
      </c>
      <c r="E1910">
        <v>50</v>
      </c>
      <c r="F1910">
        <v>41.435550689999999</v>
      </c>
      <c r="G1910">
        <v>1637.3648682</v>
      </c>
      <c r="H1910">
        <v>1510.7770995999999</v>
      </c>
      <c r="I1910">
        <v>1083.8623047000001</v>
      </c>
      <c r="J1910">
        <v>868.76318359000004</v>
      </c>
      <c r="K1910">
        <v>0</v>
      </c>
      <c r="L1910">
        <v>2400</v>
      </c>
      <c r="M1910">
        <v>2400</v>
      </c>
      <c r="N1910">
        <v>0</v>
      </c>
    </row>
    <row r="1911" spans="1:14" x14ac:dyDescent="0.25">
      <c r="A1911">
        <v>1645.0010930000001</v>
      </c>
      <c r="B1911" s="1">
        <f>DATE(2014,11,1) + TIME(0,1,34)</f>
        <v>41944.001087962963</v>
      </c>
      <c r="C1911">
        <v>80</v>
      </c>
      <c r="D1911">
        <v>79.927886963000006</v>
      </c>
      <c r="E1911">
        <v>50</v>
      </c>
      <c r="F1911">
        <v>41.452533721999998</v>
      </c>
      <c r="G1911">
        <v>1630.6019286999999</v>
      </c>
      <c r="H1911">
        <v>1503.9810791</v>
      </c>
      <c r="I1911">
        <v>1090.6630858999999</v>
      </c>
      <c r="J1911">
        <v>875.47595215000001</v>
      </c>
      <c r="K1911">
        <v>0</v>
      </c>
      <c r="L1911">
        <v>2400</v>
      </c>
      <c r="M1911">
        <v>2400</v>
      </c>
      <c r="N1911">
        <v>0</v>
      </c>
    </row>
    <row r="1912" spans="1:14" x14ac:dyDescent="0.25">
      <c r="A1912">
        <v>1645.0032799999999</v>
      </c>
      <c r="B1912" s="1">
        <f>DATE(2014,11,1) + TIME(0,4,43)</f>
        <v>41944.003275462965</v>
      </c>
      <c r="C1912">
        <v>80</v>
      </c>
      <c r="D1912">
        <v>79.873603821000003</v>
      </c>
      <c r="E1912">
        <v>50</v>
      </c>
      <c r="F1912">
        <v>41.501869202000002</v>
      </c>
      <c r="G1912">
        <v>1612.934082</v>
      </c>
      <c r="H1912">
        <v>1486.2294922000001</v>
      </c>
      <c r="I1912">
        <v>1109.4152832</v>
      </c>
      <c r="J1912">
        <v>894.27178954999999</v>
      </c>
      <c r="K1912">
        <v>0</v>
      </c>
      <c r="L1912">
        <v>2400</v>
      </c>
      <c r="M1912">
        <v>2400</v>
      </c>
      <c r="N1912">
        <v>0</v>
      </c>
    </row>
    <row r="1913" spans="1:14" x14ac:dyDescent="0.25">
      <c r="A1913">
        <v>1645.0098410000001</v>
      </c>
      <c r="B1913" s="1">
        <f>DATE(2014,11,1) + TIME(0,14,10)</f>
        <v>41944.009837962964</v>
      </c>
      <c r="C1913">
        <v>80</v>
      </c>
      <c r="D1913">
        <v>79.756629943999997</v>
      </c>
      <c r="E1913">
        <v>50</v>
      </c>
      <c r="F1913">
        <v>41.636081695999998</v>
      </c>
      <c r="G1913">
        <v>1574.9023437999999</v>
      </c>
      <c r="H1913">
        <v>1448.0228271000001</v>
      </c>
      <c r="I1913">
        <v>1154.6453856999999</v>
      </c>
      <c r="J1913">
        <v>940.29565430000002</v>
      </c>
      <c r="K1913">
        <v>0</v>
      </c>
      <c r="L1913">
        <v>2400</v>
      </c>
      <c r="M1913">
        <v>2400</v>
      </c>
      <c r="N1913">
        <v>0</v>
      </c>
    </row>
    <row r="1914" spans="1:14" x14ac:dyDescent="0.25">
      <c r="A1914">
        <v>1645.029524</v>
      </c>
      <c r="B1914" s="1">
        <f>DATE(2014,11,1) + TIME(0,42,30)</f>
        <v>41944.029513888891</v>
      </c>
      <c r="C1914">
        <v>80</v>
      </c>
      <c r="D1914">
        <v>79.572891235</v>
      </c>
      <c r="E1914">
        <v>50</v>
      </c>
      <c r="F1914">
        <v>41.957550048999998</v>
      </c>
      <c r="G1914">
        <v>1514.7000731999999</v>
      </c>
      <c r="H1914">
        <v>1387.5566406</v>
      </c>
      <c r="I1914">
        <v>1238.7324219</v>
      </c>
      <c r="J1914">
        <v>1026.222168</v>
      </c>
      <c r="K1914">
        <v>0</v>
      </c>
      <c r="L1914">
        <v>2400</v>
      </c>
      <c r="M1914">
        <v>2400</v>
      </c>
      <c r="N1914">
        <v>0</v>
      </c>
    </row>
    <row r="1915" spans="1:14" x14ac:dyDescent="0.25">
      <c r="A1915">
        <v>1645.0819240000001</v>
      </c>
      <c r="B1915" s="1">
        <f>DATE(2014,11,1) + TIME(1,57,58)</f>
        <v>41944.081921296296</v>
      </c>
      <c r="C1915">
        <v>80</v>
      </c>
      <c r="D1915">
        <v>79.382614136000001</v>
      </c>
      <c r="E1915">
        <v>50</v>
      </c>
      <c r="F1915">
        <v>42.598182678000001</v>
      </c>
      <c r="G1915">
        <v>1448.3364257999999</v>
      </c>
      <c r="H1915">
        <v>1320.9250488</v>
      </c>
      <c r="I1915">
        <v>1343.4514160000001</v>
      </c>
      <c r="J1915">
        <v>1133.1423339999999</v>
      </c>
      <c r="K1915">
        <v>0</v>
      </c>
      <c r="L1915">
        <v>2400</v>
      </c>
      <c r="M1915">
        <v>2400</v>
      </c>
      <c r="N1915">
        <v>0</v>
      </c>
    </row>
    <row r="1916" spans="1:14" x14ac:dyDescent="0.25">
      <c r="A1916">
        <v>1645.1458829999999</v>
      </c>
      <c r="B1916" s="1">
        <f>DATE(2014,11,1) + TIME(3,30,4)</f>
        <v>41944.145879629628</v>
      </c>
      <c r="C1916">
        <v>80</v>
      </c>
      <c r="D1916">
        <v>79.273071289000001</v>
      </c>
      <c r="E1916">
        <v>50</v>
      </c>
      <c r="F1916">
        <v>43.234550476000003</v>
      </c>
      <c r="G1916">
        <v>1406.7139893000001</v>
      </c>
      <c r="H1916">
        <v>1279.1505127</v>
      </c>
      <c r="I1916">
        <v>1411.331543</v>
      </c>
      <c r="J1916">
        <v>1202.6625977000001</v>
      </c>
      <c r="K1916">
        <v>0</v>
      </c>
      <c r="L1916">
        <v>2400</v>
      </c>
      <c r="M1916">
        <v>2400</v>
      </c>
      <c r="N1916">
        <v>0</v>
      </c>
    </row>
    <row r="1917" spans="1:14" x14ac:dyDescent="0.25">
      <c r="A1917">
        <v>1645.2203320000001</v>
      </c>
      <c r="B1917" s="1">
        <f>DATE(2014,11,1) + TIME(5,17,16)</f>
        <v>41944.220324074071</v>
      </c>
      <c r="C1917">
        <v>80</v>
      </c>
      <c r="D1917">
        <v>79.202308654999996</v>
      </c>
      <c r="E1917">
        <v>50</v>
      </c>
      <c r="F1917">
        <v>43.867900847999998</v>
      </c>
      <c r="G1917">
        <v>1377.0714111</v>
      </c>
      <c r="H1917">
        <v>1249.4178466999999</v>
      </c>
      <c r="I1917">
        <v>1459.4532471</v>
      </c>
      <c r="J1917">
        <v>1252.3060303</v>
      </c>
      <c r="K1917">
        <v>0</v>
      </c>
      <c r="L1917">
        <v>2400</v>
      </c>
      <c r="M1917">
        <v>2400</v>
      </c>
      <c r="N1917">
        <v>0</v>
      </c>
    </row>
    <row r="1918" spans="1:14" x14ac:dyDescent="0.25">
      <c r="A1918">
        <v>1645.3042089999999</v>
      </c>
      <c r="B1918" s="1">
        <f>DATE(2014,11,1) + TIME(7,18,3)</f>
        <v>41944.304201388892</v>
      </c>
      <c r="C1918">
        <v>80</v>
      </c>
      <c r="D1918">
        <v>79.152389525999993</v>
      </c>
      <c r="E1918">
        <v>50</v>
      </c>
      <c r="F1918">
        <v>44.489284515000001</v>
      </c>
      <c r="G1918">
        <v>1354.1455077999999</v>
      </c>
      <c r="H1918">
        <v>1226.4348144999999</v>
      </c>
      <c r="I1918">
        <v>1496.2269286999999</v>
      </c>
      <c r="J1918">
        <v>1290.5605469</v>
      </c>
      <c r="K1918">
        <v>0</v>
      </c>
      <c r="L1918">
        <v>2400</v>
      </c>
      <c r="M1918">
        <v>2400</v>
      </c>
      <c r="N1918">
        <v>0</v>
      </c>
    </row>
    <row r="1919" spans="1:14" x14ac:dyDescent="0.25">
      <c r="A1919">
        <v>1645.3975909999999</v>
      </c>
      <c r="B1919" s="1">
        <f>DATE(2014,11,1) + TIME(9,32,31)</f>
        <v>41944.397581018522</v>
      </c>
      <c r="C1919">
        <v>80</v>
      </c>
      <c r="D1919">
        <v>79.114425659000005</v>
      </c>
      <c r="E1919">
        <v>50</v>
      </c>
      <c r="F1919">
        <v>45.093868256</v>
      </c>
      <c r="G1919">
        <v>1335.3106689000001</v>
      </c>
      <c r="H1919">
        <v>1207.5618896000001</v>
      </c>
      <c r="I1919">
        <v>1526.1070557</v>
      </c>
      <c r="J1919">
        <v>1321.8845214999999</v>
      </c>
      <c r="K1919">
        <v>0</v>
      </c>
      <c r="L1919">
        <v>2400</v>
      </c>
      <c r="M1919">
        <v>2400</v>
      </c>
      <c r="N1919">
        <v>0</v>
      </c>
    </row>
    <row r="1920" spans="1:14" x14ac:dyDescent="0.25">
      <c r="A1920">
        <v>1645.5014249999999</v>
      </c>
      <c r="B1920" s="1">
        <f>DATE(2014,11,1) + TIME(12,2,3)</f>
        <v>41944.501423611109</v>
      </c>
      <c r="C1920">
        <v>80</v>
      </c>
      <c r="D1920">
        <v>79.083503723000007</v>
      </c>
      <c r="E1920">
        <v>50</v>
      </c>
      <c r="F1920">
        <v>45.679008484000001</v>
      </c>
      <c r="G1920">
        <v>1319.1153564000001</v>
      </c>
      <c r="H1920">
        <v>1191.3402100000001</v>
      </c>
      <c r="I1920">
        <v>1551.5743408000001</v>
      </c>
      <c r="J1920">
        <v>1348.7520752</v>
      </c>
      <c r="K1920">
        <v>0</v>
      </c>
      <c r="L1920">
        <v>2400</v>
      </c>
      <c r="M1920">
        <v>2400</v>
      </c>
      <c r="N1920">
        <v>0</v>
      </c>
    </row>
    <row r="1921" spans="1:14" x14ac:dyDescent="0.25">
      <c r="A1921">
        <v>1645.617436</v>
      </c>
      <c r="B1921" s="1">
        <f>DATE(2014,11,1) + TIME(14,49,6)</f>
        <v>41944.617430555554</v>
      </c>
      <c r="C1921">
        <v>80</v>
      </c>
      <c r="D1921">
        <v>79.056602478000002</v>
      </c>
      <c r="E1921">
        <v>50</v>
      </c>
      <c r="F1921">
        <v>46.242996216000002</v>
      </c>
      <c r="G1921">
        <v>1304.6735839999999</v>
      </c>
      <c r="H1921">
        <v>1176.8796387</v>
      </c>
      <c r="I1921">
        <v>1574.1317139</v>
      </c>
      <c r="J1921">
        <v>1372.6597899999999</v>
      </c>
      <c r="K1921">
        <v>0</v>
      </c>
      <c r="L1921">
        <v>2400</v>
      </c>
      <c r="M1921">
        <v>2400</v>
      </c>
      <c r="N1921">
        <v>0</v>
      </c>
    </row>
    <row r="1922" spans="1:14" x14ac:dyDescent="0.25">
      <c r="A1922">
        <v>1645.7481399999999</v>
      </c>
      <c r="B1922" s="1">
        <f>DATE(2014,11,1) + TIME(17,57,19)</f>
        <v>41944.748136574075</v>
      </c>
      <c r="C1922">
        <v>80</v>
      </c>
      <c r="D1922">
        <v>79.031646729000002</v>
      </c>
      <c r="E1922">
        <v>50</v>
      </c>
      <c r="F1922">
        <v>46.784019469999997</v>
      </c>
      <c r="G1922">
        <v>1291.3989257999999</v>
      </c>
      <c r="H1922">
        <v>1163.5908202999999</v>
      </c>
      <c r="I1922">
        <v>1594.7666016000001</v>
      </c>
      <c r="J1922">
        <v>1394.5900879000001</v>
      </c>
      <c r="K1922">
        <v>0</v>
      </c>
      <c r="L1922">
        <v>2400</v>
      </c>
      <c r="M1922">
        <v>2400</v>
      </c>
      <c r="N1922">
        <v>0</v>
      </c>
    </row>
    <row r="1923" spans="1:14" x14ac:dyDescent="0.25">
      <c r="A1923">
        <v>1645.8972080000001</v>
      </c>
      <c r="B1923" s="1">
        <f>DATE(2014,11,1) + TIME(21,31,58)</f>
        <v>41944.897199074076</v>
      </c>
      <c r="C1923">
        <v>80</v>
      </c>
      <c r="D1923">
        <v>79.007003784000005</v>
      </c>
      <c r="E1923">
        <v>50</v>
      </c>
      <c r="F1923">
        <v>47.300167084000002</v>
      </c>
      <c r="G1923">
        <v>1278.8568115</v>
      </c>
      <c r="H1923">
        <v>1151.0372314000001</v>
      </c>
      <c r="I1923">
        <v>1614.2001952999999</v>
      </c>
      <c r="J1923">
        <v>1415.2597656</v>
      </c>
      <c r="K1923">
        <v>0</v>
      </c>
      <c r="L1923">
        <v>2400</v>
      </c>
      <c r="M1923">
        <v>2400</v>
      </c>
      <c r="N1923">
        <v>0</v>
      </c>
    </row>
    <row r="1924" spans="1:14" x14ac:dyDescent="0.25">
      <c r="A1924">
        <v>1646.070052</v>
      </c>
      <c r="B1924" s="1">
        <f>DATE(2014,11,2) + TIME(1,40,52)</f>
        <v>41945.0700462963</v>
      </c>
      <c r="C1924">
        <v>80</v>
      </c>
      <c r="D1924">
        <v>78.981231688999998</v>
      </c>
      <c r="E1924">
        <v>50</v>
      </c>
      <c r="F1924">
        <v>47.789134979000004</v>
      </c>
      <c r="G1924">
        <v>1266.6866454999999</v>
      </c>
      <c r="H1924">
        <v>1138.8566894999999</v>
      </c>
      <c r="I1924">
        <v>1633.0198975000001</v>
      </c>
      <c r="J1924">
        <v>1435.2523193</v>
      </c>
      <c r="K1924">
        <v>0</v>
      </c>
      <c r="L1924">
        <v>2400</v>
      </c>
      <c r="M1924">
        <v>2400</v>
      </c>
      <c r="N1924">
        <v>0</v>
      </c>
    </row>
    <row r="1925" spans="1:14" x14ac:dyDescent="0.25">
      <c r="A1925">
        <v>1646.2748839999999</v>
      </c>
      <c r="B1925" s="1">
        <f>DATE(2014,11,2) + TIME(6,35,49)</f>
        <v>41945.274872685186</v>
      </c>
      <c r="C1925">
        <v>80</v>
      </c>
      <c r="D1925">
        <v>78.952812195000007</v>
      </c>
      <c r="E1925">
        <v>50</v>
      </c>
      <c r="F1925">
        <v>48.247859955000003</v>
      </c>
      <c r="G1925">
        <v>1254.5485839999999</v>
      </c>
      <c r="H1925">
        <v>1126.7080077999999</v>
      </c>
      <c r="I1925">
        <v>1651.7675781</v>
      </c>
      <c r="J1925">
        <v>1455.1047363</v>
      </c>
      <c r="K1925">
        <v>0</v>
      </c>
      <c r="L1925">
        <v>2400</v>
      </c>
      <c r="M1925">
        <v>2400</v>
      </c>
      <c r="N1925">
        <v>0</v>
      </c>
    </row>
    <row r="1926" spans="1:14" x14ac:dyDescent="0.25">
      <c r="A1926">
        <v>1646.5248240000001</v>
      </c>
      <c r="B1926" s="1">
        <f>DATE(2014,11,2) + TIME(12,35,44)</f>
        <v>41945.524814814817</v>
      </c>
      <c r="C1926">
        <v>80</v>
      </c>
      <c r="D1926">
        <v>78.919952393000003</v>
      </c>
      <c r="E1926">
        <v>50</v>
      </c>
      <c r="F1926">
        <v>48.672119141000003</v>
      </c>
      <c r="G1926">
        <v>1242.0723877</v>
      </c>
      <c r="H1926">
        <v>1114.2193603999999</v>
      </c>
      <c r="I1926">
        <v>1671.0180664</v>
      </c>
      <c r="J1926">
        <v>1475.3845214999999</v>
      </c>
      <c r="K1926">
        <v>0</v>
      </c>
      <c r="L1926">
        <v>2400</v>
      </c>
      <c r="M1926">
        <v>2400</v>
      </c>
      <c r="N1926">
        <v>0</v>
      </c>
    </row>
    <row r="1927" spans="1:14" x14ac:dyDescent="0.25">
      <c r="A1927">
        <v>1646.788196</v>
      </c>
      <c r="B1927" s="1">
        <f>DATE(2014,11,2) + TIME(18,55,0)</f>
        <v>41945.788194444445</v>
      </c>
      <c r="C1927">
        <v>80</v>
      </c>
      <c r="D1927">
        <v>78.884605407999999</v>
      </c>
      <c r="E1927">
        <v>50</v>
      </c>
      <c r="F1927">
        <v>49.006717682000001</v>
      </c>
      <c r="G1927">
        <v>1230.7734375</v>
      </c>
      <c r="H1927">
        <v>1102.9066161999999</v>
      </c>
      <c r="I1927">
        <v>1688.3675536999999</v>
      </c>
      <c r="J1927">
        <v>1493.5556641000001</v>
      </c>
      <c r="K1927">
        <v>0</v>
      </c>
      <c r="L1927">
        <v>2400</v>
      </c>
      <c r="M1927">
        <v>2400</v>
      </c>
      <c r="N1927">
        <v>0</v>
      </c>
    </row>
    <row r="1928" spans="1:14" x14ac:dyDescent="0.25">
      <c r="A1928">
        <v>1647.058884</v>
      </c>
      <c r="B1928" s="1">
        <f>DATE(2014,11,3) + TIME(1,24,47)</f>
        <v>41946.058877314812</v>
      </c>
      <c r="C1928">
        <v>80</v>
      </c>
      <c r="D1928">
        <v>78.847496032999999</v>
      </c>
      <c r="E1928">
        <v>50</v>
      </c>
      <c r="F1928">
        <v>49.262477875000002</v>
      </c>
      <c r="G1928">
        <v>1220.6193848</v>
      </c>
      <c r="H1928">
        <v>1092.7369385</v>
      </c>
      <c r="I1928">
        <v>1703.8883057</v>
      </c>
      <c r="J1928">
        <v>1509.7159423999999</v>
      </c>
      <c r="K1928">
        <v>0</v>
      </c>
      <c r="L1928">
        <v>2400</v>
      </c>
      <c r="M1928">
        <v>2400</v>
      </c>
      <c r="N1928">
        <v>0</v>
      </c>
    </row>
    <row r="1929" spans="1:14" x14ac:dyDescent="0.25">
      <c r="A1929">
        <v>1647.341649</v>
      </c>
      <c r="B1929" s="1">
        <f>DATE(2014,11,3) + TIME(8,11,58)</f>
        <v>41946.341643518521</v>
      </c>
      <c r="C1929">
        <v>80</v>
      </c>
      <c r="D1929">
        <v>78.808540343999994</v>
      </c>
      <c r="E1929">
        <v>50</v>
      </c>
      <c r="F1929">
        <v>49.459026336999997</v>
      </c>
      <c r="G1929">
        <v>1211.2376709</v>
      </c>
      <c r="H1929">
        <v>1083.3376464999999</v>
      </c>
      <c r="I1929">
        <v>1718.1712646000001</v>
      </c>
      <c r="J1929">
        <v>1524.5014647999999</v>
      </c>
      <c r="K1929">
        <v>0</v>
      </c>
      <c r="L1929">
        <v>2400</v>
      </c>
      <c r="M1929">
        <v>2400</v>
      </c>
      <c r="N1929">
        <v>0</v>
      </c>
    </row>
    <row r="1930" spans="1:14" x14ac:dyDescent="0.25">
      <c r="A1930">
        <v>1647.640492</v>
      </c>
      <c r="B1930" s="1">
        <f>DATE(2014,11,3) + TIME(15,22,18)</f>
        <v>41946.640486111108</v>
      </c>
      <c r="C1930">
        <v>80</v>
      </c>
      <c r="D1930">
        <v>78.767616271999998</v>
      </c>
      <c r="E1930">
        <v>50</v>
      </c>
      <c r="F1930">
        <v>49.609565734999997</v>
      </c>
      <c r="G1930">
        <v>1202.3988036999999</v>
      </c>
      <c r="H1930">
        <v>1074.4799805</v>
      </c>
      <c r="I1930">
        <v>1731.5656738</v>
      </c>
      <c r="J1930">
        <v>1538.291626</v>
      </c>
      <c r="K1930">
        <v>0</v>
      </c>
      <c r="L1930">
        <v>2400</v>
      </c>
      <c r="M1930">
        <v>2400</v>
      </c>
      <c r="N1930">
        <v>0</v>
      </c>
    </row>
    <row r="1931" spans="1:14" x14ac:dyDescent="0.25">
      <c r="A1931">
        <v>1647.9600230000001</v>
      </c>
      <c r="B1931" s="1">
        <f>DATE(2014,11,3) + TIME(23,2,26)</f>
        <v>41946.960023148145</v>
      </c>
      <c r="C1931">
        <v>80</v>
      </c>
      <c r="D1931">
        <v>78.724494934000006</v>
      </c>
      <c r="E1931">
        <v>50</v>
      </c>
      <c r="F1931">
        <v>49.723976135000001</v>
      </c>
      <c r="G1931">
        <v>1193.932251</v>
      </c>
      <c r="H1931">
        <v>1065.9932861</v>
      </c>
      <c r="I1931">
        <v>1744.3261719</v>
      </c>
      <c r="J1931">
        <v>1551.3636475000001</v>
      </c>
      <c r="K1931">
        <v>0</v>
      </c>
      <c r="L1931">
        <v>2400</v>
      </c>
      <c r="M1931">
        <v>2400</v>
      </c>
      <c r="N1931">
        <v>0</v>
      </c>
    </row>
    <row r="1932" spans="1:14" x14ac:dyDescent="0.25">
      <c r="A1932">
        <v>1648.3059539999999</v>
      </c>
      <c r="B1932" s="1">
        <f>DATE(2014,11,4) + TIME(7,20,34)</f>
        <v>41947.305949074071</v>
      </c>
      <c r="C1932">
        <v>80</v>
      </c>
      <c r="D1932">
        <v>78.678802489999995</v>
      </c>
      <c r="E1932">
        <v>50</v>
      </c>
      <c r="F1932">
        <v>49.809844970999997</v>
      </c>
      <c r="G1932">
        <v>1185.6994629000001</v>
      </c>
      <c r="H1932">
        <v>1057.7392577999999</v>
      </c>
      <c r="I1932">
        <v>1756.6544189000001</v>
      </c>
      <c r="J1932">
        <v>1563.9364014</v>
      </c>
      <c r="K1932">
        <v>0</v>
      </c>
      <c r="L1932">
        <v>2400</v>
      </c>
      <c r="M1932">
        <v>2400</v>
      </c>
      <c r="N1932">
        <v>0</v>
      </c>
    </row>
    <row r="1933" spans="1:14" x14ac:dyDescent="0.25">
      <c r="A1933">
        <v>1648.6854390000001</v>
      </c>
      <c r="B1933" s="1">
        <f>DATE(2014,11,4) + TIME(16,27,1)</f>
        <v>41947.685428240744</v>
      </c>
      <c r="C1933">
        <v>80</v>
      </c>
      <c r="D1933">
        <v>78.630043029999996</v>
      </c>
      <c r="E1933">
        <v>50</v>
      </c>
      <c r="F1933">
        <v>49.873111725000001</v>
      </c>
      <c r="G1933">
        <v>1177.583374</v>
      </c>
      <c r="H1933">
        <v>1049.6005858999999</v>
      </c>
      <c r="I1933">
        <v>1768.7164307</v>
      </c>
      <c r="J1933">
        <v>1576.1894531</v>
      </c>
      <c r="K1933">
        <v>0</v>
      </c>
      <c r="L1933">
        <v>2400</v>
      </c>
      <c r="M1933">
        <v>2400</v>
      </c>
      <c r="N1933">
        <v>0</v>
      </c>
    </row>
    <row r="1934" spans="1:14" x14ac:dyDescent="0.25">
      <c r="A1934">
        <v>1649.1079540000001</v>
      </c>
      <c r="B1934" s="1">
        <f>DATE(2014,11,5) + TIME(2,35,27)</f>
        <v>41948.107951388891</v>
      </c>
      <c r="C1934">
        <v>80</v>
      </c>
      <c r="D1934">
        <v>78.577491760000001</v>
      </c>
      <c r="E1934">
        <v>50</v>
      </c>
      <c r="F1934">
        <v>49.918518065999997</v>
      </c>
      <c r="G1934">
        <v>1169.4735106999999</v>
      </c>
      <c r="H1934">
        <v>1041.4667969</v>
      </c>
      <c r="I1934">
        <v>1780.6628418</v>
      </c>
      <c r="J1934">
        <v>1588.2845459</v>
      </c>
      <c r="K1934">
        <v>0</v>
      </c>
      <c r="L1934">
        <v>2400</v>
      </c>
      <c r="M1934">
        <v>2400</v>
      </c>
      <c r="N1934">
        <v>0</v>
      </c>
    </row>
    <row r="1935" spans="1:14" x14ac:dyDescent="0.25">
      <c r="A1935">
        <v>1649.586581</v>
      </c>
      <c r="B1935" s="1">
        <f>DATE(2014,11,5) + TIME(14,4,40)</f>
        <v>41948.586574074077</v>
      </c>
      <c r="C1935">
        <v>80</v>
      </c>
      <c r="D1935">
        <v>78.520149231000005</v>
      </c>
      <c r="E1935">
        <v>50</v>
      </c>
      <c r="F1935">
        <v>49.949913025000001</v>
      </c>
      <c r="G1935">
        <v>1161.255249</v>
      </c>
      <c r="H1935">
        <v>1033.2230225000001</v>
      </c>
      <c r="I1935">
        <v>1792.6431885</v>
      </c>
      <c r="J1935">
        <v>1600.3801269999999</v>
      </c>
      <c r="K1935">
        <v>0</v>
      </c>
      <c r="L1935">
        <v>2400</v>
      </c>
      <c r="M1935">
        <v>2400</v>
      </c>
      <c r="N1935">
        <v>0</v>
      </c>
    </row>
    <row r="1936" spans="1:14" x14ac:dyDescent="0.25">
      <c r="A1936">
        <v>1650.122736</v>
      </c>
      <c r="B1936" s="1">
        <f>DATE(2014,11,6) + TIME(2,56,44)</f>
        <v>41949.122731481482</v>
      </c>
      <c r="C1936">
        <v>80</v>
      </c>
      <c r="D1936">
        <v>78.457725525000001</v>
      </c>
      <c r="E1936">
        <v>50</v>
      </c>
      <c r="F1936">
        <v>49.970092772999998</v>
      </c>
      <c r="G1936">
        <v>1153.0372314000001</v>
      </c>
      <c r="H1936">
        <v>1024.9781493999999</v>
      </c>
      <c r="I1936">
        <v>1804.465332</v>
      </c>
      <c r="J1936">
        <v>1612.2905272999999</v>
      </c>
      <c r="K1936">
        <v>0</v>
      </c>
      <c r="L1936">
        <v>2400</v>
      </c>
      <c r="M1936">
        <v>2400</v>
      </c>
      <c r="N1936">
        <v>0</v>
      </c>
    </row>
    <row r="1937" spans="1:14" x14ac:dyDescent="0.25">
      <c r="A1937">
        <v>1650.6657680000001</v>
      </c>
      <c r="B1937" s="1">
        <f>DATE(2014,11,6) + TIME(15,58,42)</f>
        <v>41949.665763888886</v>
      </c>
      <c r="C1937">
        <v>80</v>
      </c>
      <c r="D1937">
        <v>78.393302917</v>
      </c>
      <c r="E1937">
        <v>50</v>
      </c>
      <c r="F1937">
        <v>49.98141098</v>
      </c>
      <c r="G1937">
        <v>1145.5461425999999</v>
      </c>
      <c r="H1937">
        <v>1017.4603271</v>
      </c>
      <c r="I1937">
        <v>1815.0476074000001</v>
      </c>
      <c r="J1937">
        <v>1622.9389647999999</v>
      </c>
      <c r="K1937">
        <v>0</v>
      </c>
      <c r="L1937">
        <v>2400</v>
      </c>
      <c r="M1937">
        <v>2400</v>
      </c>
      <c r="N1937">
        <v>0</v>
      </c>
    </row>
    <row r="1938" spans="1:14" x14ac:dyDescent="0.25">
      <c r="A1938">
        <v>1651.2260120000001</v>
      </c>
      <c r="B1938" s="1">
        <f>DATE(2014,11,7) + TIME(5,25,27)</f>
        <v>41950.226006944446</v>
      </c>
      <c r="C1938">
        <v>80</v>
      </c>
      <c r="D1938">
        <v>78.327148437999995</v>
      </c>
      <c r="E1938">
        <v>50</v>
      </c>
      <c r="F1938">
        <v>49.987499237000002</v>
      </c>
      <c r="G1938">
        <v>1138.5622559000001</v>
      </c>
      <c r="H1938">
        <v>1010.4492188</v>
      </c>
      <c r="I1938">
        <v>1824.7766113</v>
      </c>
      <c r="J1938">
        <v>1632.7176514</v>
      </c>
      <c r="K1938">
        <v>0</v>
      </c>
      <c r="L1938">
        <v>2400</v>
      </c>
      <c r="M1938">
        <v>2400</v>
      </c>
      <c r="N1938">
        <v>0</v>
      </c>
    </row>
    <row r="1939" spans="1:14" x14ac:dyDescent="0.25">
      <c r="A1939">
        <v>1651.813969</v>
      </c>
      <c r="B1939" s="1">
        <f>DATE(2014,11,7) + TIME(19,32,6)</f>
        <v>41950.813958333332</v>
      </c>
      <c r="C1939">
        <v>80</v>
      </c>
      <c r="D1939">
        <v>78.258941649999997</v>
      </c>
      <c r="E1939">
        <v>50</v>
      </c>
      <c r="F1939">
        <v>49.990436553999999</v>
      </c>
      <c r="G1939">
        <v>1131.9232178</v>
      </c>
      <c r="H1939">
        <v>1003.7824097</v>
      </c>
      <c r="I1939">
        <v>1833.9001464999999</v>
      </c>
      <c r="J1939">
        <v>1641.8800048999999</v>
      </c>
      <c r="K1939">
        <v>0</v>
      </c>
      <c r="L1939">
        <v>2400</v>
      </c>
      <c r="M1939">
        <v>2400</v>
      </c>
      <c r="N1939">
        <v>0</v>
      </c>
    </row>
    <row r="1940" spans="1:14" x14ac:dyDescent="0.25">
      <c r="A1940">
        <v>1652.4407670000001</v>
      </c>
      <c r="B1940" s="1">
        <f>DATE(2014,11,8) + TIME(10,34,42)</f>
        <v>41951.440763888888</v>
      </c>
      <c r="C1940">
        <v>80</v>
      </c>
      <c r="D1940">
        <v>78.187995911000002</v>
      </c>
      <c r="E1940">
        <v>50</v>
      </c>
      <c r="F1940">
        <v>49.991455078000001</v>
      </c>
      <c r="G1940">
        <v>1125.5074463000001</v>
      </c>
      <c r="H1940">
        <v>997.33831786999997</v>
      </c>
      <c r="I1940">
        <v>1842.5925293</v>
      </c>
      <c r="J1940">
        <v>1650.604126</v>
      </c>
      <c r="K1940">
        <v>0</v>
      </c>
      <c r="L1940">
        <v>2400</v>
      </c>
      <c r="M1940">
        <v>2400</v>
      </c>
      <c r="N1940">
        <v>0</v>
      </c>
    </row>
    <row r="1941" spans="1:14" x14ac:dyDescent="0.25">
      <c r="A1941">
        <v>1653.119373</v>
      </c>
      <c r="B1941" s="1">
        <f>DATE(2014,11,9) + TIME(2,51,53)</f>
        <v>41952.119363425925</v>
      </c>
      <c r="C1941">
        <v>80</v>
      </c>
      <c r="D1941">
        <v>78.113365173000005</v>
      </c>
      <c r="E1941">
        <v>50</v>
      </c>
      <c r="F1941">
        <v>49.991317748999997</v>
      </c>
      <c r="G1941">
        <v>1119.2163086</v>
      </c>
      <c r="H1941">
        <v>991.01794433999999</v>
      </c>
      <c r="I1941">
        <v>1850.9886475000001</v>
      </c>
      <c r="J1941">
        <v>1659.0274658000001</v>
      </c>
      <c r="K1941">
        <v>0</v>
      </c>
      <c r="L1941">
        <v>2400</v>
      </c>
      <c r="M1941">
        <v>2400</v>
      </c>
      <c r="N1941">
        <v>0</v>
      </c>
    </row>
    <row r="1942" spans="1:14" x14ac:dyDescent="0.25">
      <c r="A1942">
        <v>1653.861396</v>
      </c>
      <c r="B1942" s="1">
        <f>DATE(2014,11,9) + TIME(20,40,24)</f>
        <v>41952.861388888887</v>
      </c>
      <c r="C1942">
        <v>80</v>
      </c>
      <c r="D1942">
        <v>78.034049988000007</v>
      </c>
      <c r="E1942">
        <v>50</v>
      </c>
      <c r="F1942">
        <v>49.990509033000002</v>
      </c>
      <c r="G1942">
        <v>1112.9973144999999</v>
      </c>
      <c r="H1942">
        <v>984.76818848000005</v>
      </c>
      <c r="I1942">
        <v>1859.1533202999999</v>
      </c>
      <c r="J1942">
        <v>1667.2164307</v>
      </c>
      <c r="K1942">
        <v>0</v>
      </c>
      <c r="L1942">
        <v>2400</v>
      </c>
      <c r="M1942">
        <v>2400</v>
      </c>
      <c r="N1942">
        <v>0</v>
      </c>
    </row>
    <row r="1943" spans="1:14" x14ac:dyDescent="0.25">
      <c r="A1943">
        <v>1654.672683</v>
      </c>
      <c r="B1943" s="1">
        <f>DATE(2014,11,10) + TIME(16,8,39)</f>
        <v>41953.672673611109</v>
      </c>
      <c r="C1943">
        <v>80</v>
      </c>
      <c r="D1943">
        <v>77.949302673000005</v>
      </c>
      <c r="E1943">
        <v>50</v>
      </c>
      <c r="F1943">
        <v>49.989341736</v>
      </c>
      <c r="G1943">
        <v>1106.8608397999999</v>
      </c>
      <c r="H1943">
        <v>978.59960937999995</v>
      </c>
      <c r="I1943">
        <v>1867.0640868999999</v>
      </c>
      <c r="J1943">
        <v>1675.1496582</v>
      </c>
      <c r="K1943">
        <v>0</v>
      </c>
      <c r="L1943">
        <v>2400</v>
      </c>
      <c r="M1943">
        <v>2400</v>
      </c>
      <c r="N1943">
        <v>0</v>
      </c>
    </row>
    <row r="1944" spans="1:14" x14ac:dyDescent="0.25">
      <c r="A1944">
        <v>1655.5470459999999</v>
      </c>
      <c r="B1944" s="1">
        <f>DATE(2014,11,11) + TIME(13,7,44)</f>
        <v>41954.547037037039</v>
      </c>
      <c r="C1944">
        <v>80</v>
      </c>
      <c r="D1944">
        <v>77.859054564999994</v>
      </c>
      <c r="E1944">
        <v>50</v>
      </c>
      <c r="F1944">
        <v>49.988037108999997</v>
      </c>
      <c r="G1944">
        <v>1100.8947754000001</v>
      </c>
      <c r="H1944">
        <v>972.59979248000002</v>
      </c>
      <c r="I1944">
        <v>1874.6011963000001</v>
      </c>
      <c r="J1944">
        <v>1682.7077637</v>
      </c>
      <c r="K1944">
        <v>0</v>
      </c>
      <c r="L1944">
        <v>2400</v>
      </c>
      <c r="M1944">
        <v>2400</v>
      </c>
      <c r="N1944">
        <v>0</v>
      </c>
    </row>
    <row r="1945" spans="1:14" x14ac:dyDescent="0.25">
      <c r="A1945">
        <v>1656.4335289999999</v>
      </c>
      <c r="B1945" s="1">
        <f>DATE(2014,11,12) + TIME(10,24,16)</f>
        <v>41955.433518518519</v>
      </c>
      <c r="C1945">
        <v>80</v>
      </c>
      <c r="D1945">
        <v>77.765701293999996</v>
      </c>
      <c r="E1945">
        <v>50</v>
      </c>
      <c r="F1945">
        <v>49.986785888999997</v>
      </c>
      <c r="G1945">
        <v>1095.4069824000001</v>
      </c>
      <c r="H1945">
        <v>967.07769774999997</v>
      </c>
      <c r="I1945">
        <v>1881.3720702999999</v>
      </c>
      <c r="J1945">
        <v>1689.4980469</v>
      </c>
      <c r="K1945">
        <v>0</v>
      </c>
      <c r="L1945">
        <v>2400</v>
      </c>
      <c r="M1945">
        <v>2400</v>
      </c>
      <c r="N1945">
        <v>0</v>
      </c>
    </row>
    <row r="1946" spans="1:14" x14ac:dyDescent="0.25">
      <c r="A1946">
        <v>1657.3476009999999</v>
      </c>
      <c r="B1946" s="1">
        <f>DATE(2014,11,13) + TIME(8,20,32)</f>
        <v>41956.347592592596</v>
      </c>
      <c r="C1946">
        <v>80</v>
      </c>
      <c r="D1946">
        <v>77.670204162999994</v>
      </c>
      <c r="E1946">
        <v>50</v>
      </c>
      <c r="F1946">
        <v>49.985633849999999</v>
      </c>
      <c r="G1946">
        <v>1090.2626952999999</v>
      </c>
      <c r="H1946">
        <v>961.89825439000003</v>
      </c>
      <c r="I1946">
        <v>1887.5950928</v>
      </c>
      <c r="J1946">
        <v>1695.7382812000001</v>
      </c>
      <c r="K1946">
        <v>0</v>
      </c>
      <c r="L1946">
        <v>2400</v>
      </c>
      <c r="M1946">
        <v>2400</v>
      </c>
      <c r="N1946">
        <v>0</v>
      </c>
    </row>
    <row r="1947" spans="1:14" x14ac:dyDescent="0.25">
      <c r="A1947">
        <v>1658.3050840000001</v>
      </c>
      <c r="B1947" s="1">
        <f>DATE(2014,11,14) + TIME(7,19,19)</f>
        <v>41957.305081018516</v>
      </c>
      <c r="C1947">
        <v>80</v>
      </c>
      <c r="D1947">
        <v>77.572143554999997</v>
      </c>
      <c r="E1947">
        <v>50</v>
      </c>
      <c r="F1947">
        <v>49.984584808000001</v>
      </c>
      <c r="G1947">
        <v>1085.3594971</v>
      </c>
      <c r="H1947">
        <v>956.95892333999996</v>
      </c>
      <c r="I1947">
        <v>1893.4121094</v>
      </c>
      <c r="J1947">
        <v>1701.5705565999999</v>
      </c>
      <c r="K1947">
        <v>0</v>
      </c>
      <c r="L1947">
        <v>2400</v>
      </c>
      <c r="M1947">
        <v>2400</v>
      </c>
      <c r="N1947">
        <v>0</v>
      </c>
    </row>
    <row r="1948" spans="1:14" x14ac:dyDescent="0.25">
      <c r="A1948">
        <v>1659.3235380000001</v>
      </c>
      <c r="B1948" s="1">
        <f>DATE(2014,11,15) + TIME(7,45,53)</f>
        <v>41958.323530092595</v>
      </c>
      <c r="C1948">
        <v>80</v>
      </c>
      <c r="D1948">
        <v>77.470474242999998</v>
      </c>
      <c r="E1948">
        <v>50</v>
      </c>
      <c r="F1948">
        <v>49.983623504999997</v>
      </c>
      <c r="G1948">
        <v>1080.6162108999999</v>
      </c>
      <c r="H1948">
        <v>952.17828368999994</v>
      </c>
      <c r="I1948">
        <v>1898.9256591999999</v>
      </c>
      <c r="J1948">
        <v>1707.0980225000001</v>
      </c>
      <c r="K1948">
        <v>0</v>
      </c>
      <c r="L1948">
        <v>2400</v>
      </c>
      <c r="M1948">
        <v>2400</v>
      </c>
      <c r="N1948">
        <v>0</v>
      </c>
    </row>
    <row r="1949" spans="1:14" x14ac:dyDescent="0.25">
      <c r="A1949">
        <v>1660.42374</v>
      </c>
      <c r="B1949" s="1">
        <f>DATE(2014,11,16) + TIME(10,10,11)</f>
        <v>41959.423738425925</v>
      </c>
      <c r="C1949">
        <v>80</v>
      </c>
      <c r="D1949">
        <v>77.363708496000001</v>
      </c>
      <c r="E1949">
        <v>50</v>
      </c>
      <c r="F1949">
        <v>49.982742309999999</v>
      </c>
      <c r="G1949">
        <v>1075.9655762</v>
      </c>
      <c r="H1949">
        <v>947.48840331999997</v>
      </c>
      <c r="I1949">
        <v>1904.2143555</v>
      </c>
      <c r="J1949">
        <v>1712.3996582</v>
      </c>
      <c r="K1949">
        <v>0</v>
      </c>
      <c r="L1949">
        <v>2400</v>
      </c>
      <c r="M1949">
        <v>2400</v>
      </c>
      <c r="N1949">
        <v>0</v>
      </c>
    </row>
    <row r="1950" spans="1:14" x14ac:dyDescent="0.25">
      <c r="A1950">
        <v>1661.632503</v>
      </c>
      <c r="B1950" s="1">
        <f>DATE(2014,11,17) + TIME(15,10,48)</f>
        <v>41960.6325</v>
      </c>
      <c r="C1950">
        <v>80</v>
      </c>
      <c r="D1950">
        <v>77.249969481999997</v>
      </c>
      <c r="E1950">
        <v>50</v>
      </c>
      <c r="F1950">
        <v>49.981925963999998</v>
      </c>
      <c r="G1950">
        <v>1071.3453368999999</v>
      </c>
      <c r="H1950">
        <v>942.82653808999999</v>
      </c>
      <c r="I1950">
        <v>1909.3438721</v>
      </c>
      <c r="J1950">
        <v>1717.5412598</v>
      </c>
      <c r="K1950">
        <v>0</v>
      </c>
      <c r="L1950">
        <v>2400</v>
      </c>
      <c r="M1950">
        <v>2400</v>
      </c>
      <c r="N1950">
        <v>0</v>
      </c>
    </row>
    <row r="1951" spans="1:14" x14ac:dyDescent="0.25">
      <c r="A1951">
        <v>1662.9218089999999</v>
      </c>
      <c r="B1951" s="1">
        <f>DATE(2014,11,18) + TIME(22,7,24)</f>
        <v>41961.921805555554</v>
      </c>
      <c r="C1951">
        <v>80</v>
      </c>
      <c r="D1951">
        <v>77.128944396999998</v>
      </c>
      <c r="E1951">
        <v>50</v>
      </c>
      <c r="F1951">
        <v>49.981185912999997</v>
      </c>
      <c r="G1951">
        <v>1066.8887939000001</v>
      </c>
      <c r="H1951">
        <v>938.32562256000006</v>
      </c>
      <c r="I1951">
        <v>1914.1452637</v>
      </c>
      <c r="J1951">
        <v>1722.3543701000001</v>
      </c>
      <c r="K1951">
        <v>0</v>
      </c>
      <c r="L1951">
        <v>2400</v>
      </c>
      <c r="M1951">
        <v>2400</v>
      </c>
      <c r="N1951">
        <v>0</v>
      </c>
    </row>
    <row r="1952" spans="1:14" x14ac:dyDescent="0.25">
      <c r="A1952">
        <v>1664.2302319999999</v>
      </c>
      <c r="B1952" s="1">
        <f>DATE(2014,11,20) + TIME(5,31,32)</f>
        <v>41963.230231481481</v>
      </c>
      <c r="C1952">
        <v>80</v>
      </c>
      <c r="D1952">
        <v>77.003334045000003</v>
      </c>
      <c r="E1952">
        <v>50</v>
      </c>
      <c r="F1952">
        <v>49.980545044000003</v>
      </c>
      <c r="G1952">
        <v>1062.7792969</v>
      </c>
      <c r="H1952">
        <v>934.17010498000002</v>
      </c>
      <c r="I1952">
        <v>1918.4219971</v>
      </c>
      <c r="J1952">
        <v>1726.6417236</v>
      </c>
      <c r="K1952">
        <v>0</v>
      </c>
      <c r="L1952">
        <v>2400</v>
      </c>
      <c r="M1952">
        <v>2400</v>
      </c>
      <c r="N1952">
        <v>0</v>
      </c>
    </row>
    <row r="1953" spans="1:14" x14ac:dyDescent="0.25">
      <c r="A1953">
        <v>1665.5804820000001</v>
      </c>
      <c r="B1953" s="1">
        <f>DATE(2014,11,21) + TIME(13,55,53)</f>
        <v>41964.580474537041</v>
      </c>
      <c r="C1953">
        <v>80</v>
      </c>
      <c r="D1953">
        <v>76.875099182</v>
      </c>
      <c r="E1953">
        <v>50</v>
      </c>
      <c r="F1953">
        <v>49.979988098</v>
      </c>
      <c r="G1953">
        <v>1058.9259033000001</v>
      </c>
      <c r="H1953">
        <v>930.26873779000005</v>
      </c>
      <c r="I1953">
        <v>1922.3104248</v>
      </c>
      <c r="J1953">
        <v>1730.5394286999999</v>
      </c>
      <c r="K1953">
        <v>0</v>
      </c>
      <c r="L1953">
        <v>2400</v>
      </c>
      <c r="M1953">
        <v>2400</v>
      </c>
      <c r="N1953">
        <v>0</v>
      </c>
    </row>
    <row r="1954" spans="1:14" x14ac:dyDescent="0.25">
      <c r="A1954">
        <v>1666.99667</v>
      </c>
      <c r="B1954" s="1">
        <f>DATE(2014,11,22) + TIME(23,55,12)</f>
        <v>41965.996666666666</v>
      </c>
      <c r="C1954">
        <v>80</v>
      </c>
      <c r="D1954">
        <v>76.743614196999999</v>
      </c>
      <c r="E1954">
        <v>50</v>
      </c>
      <c r="F1954">
        <v>49.979503631999997</v>
      </c>
      <c r="G1954">
        <v>1055.2558594</v>
      </c>
      <c r="H1954">
        <v>926.54852295000001</v>
      </c>
      <c r="I1954">
        <v>1925.8973389</v>
      </c>
      <c r="J1954">
        <v>1734.1346435999999</v>
      </c>
      <c r="K1954">
        <v>0</v>
      </c>
      <c r="L1954">
        <v>2400</v>
      </c>
      <c r="M1954">
        <v>2400</v>
      </c>
      <c r="N1954">
        <v>0</v>
      </c>
    </row>
    <row r="1955" spans="1:14" x14ac:dyDescent="0.25">
      <c r="A1955">
        <v>1668.506079</v>
      </c>
      <c r="B1955" s="1">
        <f>DATE(2014,11,24) + TIME(12,8,45)</f>
        <v>41967.506076388891</v>
      </c>
      <c r="C1955">
        <v>80</v>
      </c>
      <c r="D1955">
        <v>76.607192992999998</v>
      </c>
      <c r="E1955">
        <v>50</v>
      </c>
      <c r="F1955">
        <v>49.979064940999997</v>
      </c>
      <c r="G1955">
        <v>1051.7111815999999</v>
      </c>
      <c r="H1955">
        <v>922.95080566000001</v>
      </c>
      <c r="I1955">
        <v>1929.2426757999999</v>
      </c>
      <c r="J1955">
        <v>1737.4875488</v>
      </c>
      <c r="K1955">
        <v>0</v>
      </c>
      <c r="L1955">
        <v>2400</v>
      </c>
      <c r="M1955">
        <v>2400</v>
      </c>
      <c r="N1955">
        <v>0</v>
      </c>
    </row>
    <row r="1956" spans="1:14" x14ac:dyDescent="0.25">
      <c r="A1956">
        <v>1670.1276230000001</v>
      </c>
      <c r="B1956" s="1">
        <f>DATE(2014,11,26) + TIME(3,3,46)</f>
        <v>41969.127615740741</v>
      </c>
      <c r="C1956">
        <v>80</v>
      </c>
      <c r="D1956">
        <v>76.463996886999993</v>
      </c>
      <c r="E1956">
        <v>50</v>
      </c>
      <c r="F1956">
        <v>49.978672027999998</v>
      </c>
      <c r="G1956">
        <v>1048.2686768000001</v>
      </c>
      <c r="H1956">
        <v>919.45147704999999</v>
      </c>
      <c r="I1956">
        <v>1932.3634033000001</v>
      </c>
      <c r="J1956">
        <v>1740.6151123</v>
      </c>
      <c r="K1956">
        <v>0</v>
      </c>
      <c r="L1956">
        <v>2400</v>
      </c>
      <c r="M1956">
        <v>2400</v>
      </c>
      <c r="N1956">
        <v>0</v>
      </c>
    </row>
    <row r="1957" spans="1:14" x14ac:dyDescent="0.25">
      <c r="A1957">
        <v>1671.8676579999999</v>
      </c>
      <c r="B1957" s="1">
        <f>DATE(2014,11,27) + TIME(20,49,25)</f>
        <v>41970.867650462962</v>
      </c>
      <c r="C1957">
        <v>80</v>
      </c>
      <c r="D1957">
        <v>76.312683105000005</v>
      </c>
      <c r="E1957">
        <v>50</v>
      </c>
      <c r="F1957">
        <v>49.978321074999997</v>
      </c>
      <c r="G1957">
        <v>1044.9357910000001</v>
      </c>
      <c r="H1957">
        <v>916.05688477000001</v>
      </c>
      <c r="I1957">
        <v>1935.244751</v>
      </c>
      <c r="J1957">
        <v>1743.5028076000001</v>
      </c>
      <c r="K1957">
        <v>0</v>
      </c>
      <c r="L1957">
        <v>2400</v>
      </c>
      <c r="M1957">
        <v>2400</v>
      </c>
      <c r="N1957">
        <v>0</v>
      </c>
    </row>
    <row r="1958" spans="1:14" x14ac:dyDescent="0.25">
      <c r="A1958">
        <v>1673.6327650000001</v>
      </c>
      <c r="B1958" s="1">
        <f>DATE(2014,11,29) + TIME(15,11,10)</f>
        <v>41972.632754629631</v>
      </c>
      <c r="C1958">
        <v>80</v>
      </c>
      <c r="D1958">
        <v>76.155105590999995</v>
      </c>
      <c r="E1958">
        <v>50</v>
      </c>
      <c r="F1958">
        <v>49.978012085000003</v>
      </c>
      <c r="G1958">
        <v>1041.8631591999999</v>
      </c>
      <c r="H1958">
        <v>912.91809081999997</v>
      </c>
      <c r="I1958">
        <v>1937.7419434000001</v>
      </c>
      <c r="J1958">
        <v>1746.0057373</v>
      </c>
      <c r="K1958">
        <v>0</v>
      </c>
      <c r="L1958">
        <v>2400</v>
      </c>
      <c r="M1958">
        <v>2400</v>
      </c>
      <c r="N1958">
        <v>0</v>
      </c>
    </row>
    <row r="1959" spans="1:14" x14ac:dyDescent="0.25">
      <c r="A1959">
        <v>1675</v>
      </c>
      <c r="B1959" s="1">
        <f>DATE(2014,12,1) + TIME(0,0,0)</f>
        <v>41974</v>
      </c>
      <c r="C1959">
        <v>80</v>
      </c>
      <c r="D1959">
        <v>76.008712768999999</v>
      </c>
      <c r="E1959">
        <v>50</v>
      </c>
      <c r="F1959">
        <v>49.977771758999999</v>
      </c>
      <c r="G1959">
        <v>1039.6003418</v>
      </c>
      <c r="H1959">
        <v>910.59216308999999</v>
      </c>
      <c r="I1959">
        <v>1939.4024658000001</v>
      </c>
      <c r="J1959">
        <v>1747.6713867000001</v>
      </c>
      <c r="K1959">
        <v>0</v>
      </c>
      <c r="L1959">
        <v>2400</v>
      </c>
      <c r="M1959">
        <v>2400</v>
      </c>
      <c r="N1959">
        <v>0</v>
      </c>
    </row>
    <row r="1960" spans="1:14" x14ac:dyDescent="0.25">
      <c r="A1960">
        <v>1676.805826</v>
      </c>
      <c r="B1960" s="1">
        <f>DATE(2014,12,2) + TIME(19,20,23)</f>
        <v>41975.805821759262</v>
      </c>
      <c r="C1960">
        <v>80</v>
      </c>
      <c r="D1960">
        <v>75.864799500000004</v>
      </c>
      <c r="E1960">
        <v>50</v>
      </c>
      <c r="F1960">
        <v>49.977584839000002</v>
      </c>
      <c r="G1960">
        <v>1036.9691161999999</v>
      </c>
      <c r="H1960">
        <v>907.89239501999998</v>
      </c>
      <c r="I1960">
        <v>1941.3785399999999</v>
      </c>
      <c r="J1960">
        <v>1749.6507568</v>
      </c>
      <c r="K1960">
        <v>0</v>
      </c>
      <c r="L1960">
        <v>2400</v>
      </c>
      <c r="M1960">
        <v>2400</v>
      </c>
      <c r="N1960">
        <v>0</v>
      </c>
    </row>
    <row r="1961" spans="1:14" x14ac:dyDescent="0.25">
      <c r="A1961">
        <v>1678.706923</v>
      </c>
      <c r="B1961" s="1">
        <f>DATE(2014,12,4) + TIME(16,57,58)</f>
        <v>41977.706921296296</v>
      </c>
      <c r="C1961">
        <v>80</v>
      </c>
      <c r="D1961">
        <v>75.706771850999999</v>
      </c>
      <c r="E1961">
        <v>50</v>
      </c>
      <c r="F1961">
        <v>49.977394103999998</v>
      </c>
      <c r="G1961">
        <v>1034.4277344</v>
      </c>
      <c r="H1961">
        <v>905.27600098000005</v>
      </c>
      <c r="I1961">
        <v>1943.1268310999999</v>
      </c>
      <c r="J1961">
        <v>1751.402832</v>
      </c>
      <c r="K1961">
        <v>0</v>
      </c>
      <c r="L1961">
        <v>2400</v>
      </c>
      <c r="M1961">
        <v>2400</v>
      </c>
      <c r="N1961">
        <v>0</v>
      </c>
    </row>
    <row r="1962" spans="1:14" x14ac:dyDescent="0.25">
      <c r="A1962">
        <v>1680.6913010000001</v>
      </c>
      <c r="B1962" s="1">
        <f>DATE(2014,12,6) + TIME(16,35,28)</f>
        <v>41979.691296296296</v>
      </c>
      <c r="C1962">
        <v>80</v>
      </c>
      <c r="D1962">
        <v>75.539939880000006</v>
      </c>
      <c r="E1962">
        <v>50</v>
      </c>
      <c r="F1962">
        <v>49.977218628000003</v>
      </c>
      <c r="G1962">
        <v>1032.0037841999999</v>
      </c>
      <c r="H1962">
        <v>902.76824951000003</v>
      </c>
      <c r="I1962">
        <v>1944.6538086</v>
      </c>
      <c r="J1962">
        <v>1752.9333495999999</v>
      </c>
      <c r="K1962">
        <v>0</v>
      </c>
      <c r="L1962">
        <v>2400</v>
      </c>
      <c r="M1962">
        <v>2400</v>
      </c>
      <c r="N1962">
        <v>0</v>
      </c>
    </row>
    <row r="1963" spans="1:14" x14ac:dyDescent="0.25">
      <c r="A1963">
        <v>1682.717134</v>
      </c>
      <c r="B1963" s="1">
        <f>DATE(2014,12,8) + TIME(17,12,40)</f>
        <v>41981.717129629629</v>
      </c>
      <c r="C1963">
        <v>80</v>
      </c>
      <c r="D1963">
        <v>75.367424010999997</v>
      </c>
      <c r="E1963">
        <v>50</v>
      </c>
      <c r="F1963">
        <v>49.977073668999999</v>
      </c>
      <c r="G1963">
        <v>1029.7301024999999</v>
      </c>
      <c r="H1963">
        <v>900.40270996000004</v>
      </c>
      <c r="I1963">
        <v>1945.9483643000001</v>
      </c>
      <c r="J1963">
        <v>1754.2310791</v>
      </c>
      <c r="K1963">
        <v>0</v>
      </c>
      <c r="L1963">
        <v>2400</v>
      </c>
      <c r="M1963">
        <v>2400</v>
      </c>
      <c r="N1963">
        <v>0</v>
      </c>
    </row>
    <row r="1964" spans="1:14" x14ac:dyDescent="0.25">
      <c r="A1964">
        <v>1684.768824</v>
      </c>
      <c r="B1964" s="1">
        <f>DATE(2014,12,10) + TIME(18,27,6)</f>
        <v>41983.768819444442</v>
      </c>
      <c r="C1964">
        <v>80</v>
      </c>
      <c r="D1964">
        <v>75.192070006999998</v>
      </c>
      <c r="E1964">
        <v>50</v>
      </c>
      <c r="F1964">
        <v>49.976955414000003</v>
      </c>
      <c r="G1964">
        <v>1027.6053466999999</v>
      </c>
      <c r="H1964">
        <v>898.17883300999995</v>
      </c>
      <c r="I1964">
        <v>1947.0308838000001</v>
      </c>
      <c r="J1964">
        <v>1755.3162841999999</v>
      </c>
      <c r="K1964">
        <v>0</v>
      </c>
      <c r="L1964">
        <v>2400</v>
      </c>
      <c r="M1964">
        <v>2400</v>
      </c>
      <c r="N1964">
        <v>0</v>
      </c>
    </row>
    <row r="1965" spans="1:14" x14ac:dyDescent="0.25">
      <c r="A1965">
        <v>1686.8721760000001</v>
      </c>
      <c r="B1965" s="1">
        <f>DATE(2014,12,12) + TIME(20,55,55)</f>
        <v>41985.872164351851</v>
      </c>
      <c r="C1965">
        <v>80</v>
      </c>
      <c r="D1965">
        <v>75.014556885000005</v>
      </c>
      <c r="E1965">
        <v>50</v>
      </c>
      <c r="F1965">
        <v>49.976856232000003</v>
      </c>
      <c r="G1965">
        <v>1025.5938721</v>
      </c>
      <c r="H1965">
        <v>896.06024170000001</v>
      </c>
      <c r="I1965">
        <v>1947.9410399999999</v>
      </c>
      <c r="J1965">
        <v>1756.2288818</v>
      </c>
      <c r="K1965">
        <v>0</v>
      </c>
      <c r="L1965">
        <v>2400</v>
      </c>
      <c r="M1965">
        <v>2400</v>
      </c>
      <c r="N1965">
        <v>0</v>
      </c>
    </row>
    <row r="1966" spans="1:14" x14ac:dyDescent="0.25">
      <c r="A1966">
        <v>1689.052858</v>
      </c>
      <c r="B1966" s="1">
        <f>DATE(2014,12,15) + TIME(1,16,6)</f>
        <v>41988.052847222221</v>
      </c>
      <c r="C1966">
        <v>80</v>
      </c>
      <c r="D1966">
        <v>74.833251953000001</v>
      </c>
      <c r="E1966">
        <v>50</v>
      </c>
      <c r="F1966">
        <v>49.976779938</v>
      </c>
      <c r="G1966">
        <v>1023.6637573</v>
      </c>
      <c r="H1966">
        <v>894.01361083999996</v>
      </c>
      <c r="I1966">
        <v>1948.7036132999999</v>
      </c>
      <c r="J1966">
        <v>1756.9935303</v>
      </c>
      <c r="K1966">
        <v>0</v>
      </c>
      <c r="L1966">
        <v>2400</v>
      </c>
      <c r="M1966">
        <v>2400</v>
      </c>
      <c r="N1966">
        <v>0</v>
      </c>
    </row>
    <row r="1967" spans="1:14" x14ac:dyDescent="0.25">
      <c r="A1967">
        <v>1691.2986530000001</v>
      </c>
      <c r="B1967" s="1">
        <f>DATE(2014,12,17) + TIME(7,10,3)</f>
        <v>41990.298645833333</v>
      </c>
      <c r="C1967">
        <v>80</v>
      </c>
      <c r="D1967">
        <v>74.647010803000001</v>
      </c>
      <c r="E1967">
        <v>50</v>
      </c>
      <c r="F1967">
        <v>49.976718902999998</v>
      </c>
      <c r="G1967">
        <v>1021.8106079</v>
      </c>
      <c r="H1967">
        <v>892.03265381000006</v>
      </c>
      <c r="I1967">
        <v>1949.3234863</v>
      </c>
      <c r="J1967">
        <v>1757.6153564000001</v>
      </c>
      <c r="K1967">
        <v>0</v>
      </c>
      <c r="L1967">
        <v>2400</v>
      </c>
      <c r="M1967">
        <v>2400</v>
      </c>
      <c r="N1967">
        <v>0</v>
      </c>
    </row>
    <row r="1968" spans="1:14" x14ac:dyDescent="0.25">
      <c r="A1968">
        <v>1693.56924</v>
      </c>
      <c r="B1968" s="1">
        <f>DATE(2014,12,19) + TIME(13,39,42)</f>
        <v>41992.569236111114</v>
      </c>
      <c r="C1968">
        <v>80</v>
      </c>
      <c r="D1968">
        <v>74.456787109000004</v>
      </c>
      <c r="E1968">
        <v>50</v>
      </c>
      <c r="F1968">
        <v>49.976673126000001</v>
      </c>
      <c r="G1968">
        <v>1020.0458984000001</v>
      </c>
      <c r="H1968">
        <v>890.12841796999999</v>
      </c>
      <c r="I1968">
        <v>1949.8046875</v>
      </c>
      <c r="J1968">
        <v>1758.0981445</v>
      </c>
      <c r="K1968">
        <v>0</v>
      </c>
      <c r="L1968">
        <v>2400</v>
      </c>
      <c r="M1968">
        <v>2400</v>
      </c>
      <c r="N1968">
        <v>0</v>
      </c>
    </row>
    <row r="1969" spans="1:14" x14ac:dyDescent="0.25">
      <c r="A1969">
        <v>1695.8898939999999</v>
      </c>
      <c r="B1969" s="1">
        <f>DATE(2014,12,21) + TIME(21,21,26)</f>
        <v>41994.889884259261</v>
      </c>
      <c r="C1969">
        <v>80</v>
      </c>
      <c r="D1969">
        <v>74.263801575000002</v>
      </c>
      <c r="E1969">
        <v>50</v>
      </c>
      <c r="F1969">
        <v>49.976638794000003</v>
      </c>
      <c r="G1969">
        <v>1018.3463745</v>
      </c>
      <c r="H1969">
        <v>888.27728271000001</v>
      </c>
      <c r="I1969">
        <v>1950.1732178</v>
      </c>
      <c r="J1969">
        <v>1758.4682617000001</v>
      </c>
      <c r="K1969">
        <v>0</v>
      </c>
      <c r="L1969">
        <v>2400</v>
      </c>
      <c r="M1969">
        <v>2400</v>
      </c>
      <c r="N1969">
        <v>0</v>
      </c>
    </row>
    <row r="1970" spans="1:14" x14ac:dyDescent="0.25">
      <c r="A1970">
        <v>1698.286261</v>
      </c>
      <c r="B1970" s="1">
        <f>DATE(2014,12,24) + TIME(6,52,12)</f>
        <v>41997.286249999997</v>
      </c>
      <c r="C1970">
        <v>80</v>
      </c>
      <c r="D1970">
        <v>74.066642760999997</v>
      </c>
      <c r="E1970">
        <v>50</v>
      </c>
      <c r="F1970">
        <v>49.976619720000002</v>
      </c>
      <c r="G1970">
        <v>1016.6869507</v>
      </c>
      <c r="H1970">
        <v>886.45220946999996</v>
      </c>
      <c r="I1970">
        <v>1950.4453125</v>
      </c>
      <c r="J1970">
        <v>1758.7416992000001</v>
      </c>
      <c r="K1970">
        <v>0</v>
      </c>
      <c r="L1970">
        <v>2400</v>
      </c>
      <c r="M1970">
        <v>2400</v>
      </c>
      <c r="N1970">
        <v>0</v>
      </c>
    </row>
    <row r="1971" spans="1:14" x14ac:dyDescent="0.25">
      <c r="A1971">
        <v>1700.7562290000001</v>
      </c>
      <c r="B1971" s="1">
        <f>DATE(2014,12,26) + TIME(18,8,58)</f>
        <v>41999.756226851852</v>
      </c>
      <c r="C1971">
        <v>80</v>
      </c>
      <c r="D1971">
        <v>73.863746642999999</v>
      </c>
      <c r="E1971">
        <v>50</v>
      </c>
      <c r="F1971">
        <v>49.976608276</v>
      </c>
      <c r="G1971">
        <v>1015.0561523</v>
      </c>
      <c r="H1971">
        <v>884.63928223000005</v>
      </c>
      <c r="I1971">
        <v>1950.628418</v>
      </c>
      <c r="J1971">
        <v>1758.9259033000001</v>
      </c>
      <c r="K1971">
        <v>0</v>
      </c>
      <c r="L1971">
        <v>2400</v>
      </c>
      <c r="M1971">
        <v>2400</v>
      </c>
      <c r="N1971">
        <v>0</v>
      </c>
    </row>
    <row r="1972" spans="1:14" x14ac:dyDescent="0.25">
      <c r="A1972">
        <v>1703.2531100000001</v>
      </c>
      <c r="B1972" s="1">
        <f>DATE(2014,12,29) + TIME(6,4,28)</f>
        <v>42002.253101851849</v>
      </c>
      <c r="C1972">
        <v>80</v>
      </c>
      <c r="D1972">
        <v>73.655494689999998</v>
      </c>
      <c r="E1972">
        <v>50</v>
      </c>
      <c r="F1972">
        <v>49.976608276</v>
      </c>
      <c r="G1972">
        <v>1013.4626465</v>
      </c>
      <c r="H1972">
        <v>882.84606933999999</v>
      </c>
      <c r="I1972">
        <v>1950.7277832</v>
      </c>
      <c r="J1972">
        <v>1759.0263672000001</v>
      </c>
      <c r="K1972">
        <v>0</v>
      </c>
      <c r="L1972">
        <v>2400</v>
      </c>
      <c r="M1972">
        <v>2400</v>
      </c>
      <c r="N1972">
        <v>0</v>
      </c>
    </row>
    <row r="1973" spans="1:14" x14ac:dyDescent="0.25">
      <c r="A1973">
        <v>1705.802126</v>
      </c>
      <c r="B1973" s="1">
        <f>DATE(2014,12,31) + TIME(19,15,3)</f>
        <v>42004.802118055559</v>
      </c>
      <c r="C1973">
        <v>80</v>
      </c>
      <c r="D1973">
        <v>73.443412781000006</v>
      </c>
      <c r="E1973">
        <v>50</v>
      </c>
      <c r="F1973">
        <v>49.976615905999999</v>
      </c>
      <c r="G1973">
        <v>1011.8925781</v>
      </c>
      <c r="H1973">
        <v>881.05871581999997</v>
      </c>
      <c r="I1973">
        <v>1950.7597656</v>
      </c>
      <c r="J1973">
        <v>1759.0593262</v>
      </c>
      <c r="K1973">
        <v>0</v>
      </c>
      <c r="L1973">
        <v>2400</v>
      </c>
      <c r="M1973">
        <v>2400</v>
      </c>
      <c r="N1973">
        <v>0</v>
      </c>
    </row>
    <row r="1974" spans="1:14" x14ac:dyDescent="0.25">
      <c r="A1974">
        <v>1706</v>
      </c>
      <c r="B1974" s="1">
        <f>DATE(2015,1,1) + TIME(0,0,0)</f>
        <v>42005</v>
      </c>
      <c r="C1974">
        <v>80</v>
      </c>
      <c r="D1974">
        <v>73.385993958</v>
      </c>
      <c r="E1974">
        <v>50</v>
      </c>
      <c r="F1974">
        <v>49.976593018000003</v>
      </c>
      <c r="G1974">
        <v>1011.5274048</v>
      </c>
      <c r="H1974">
        <v>880.62158203000001</v>
      </c>
      <c r="I1974">
        <v>1950.7410889</v>
      </c>
      <c r="J1974">
        <v>1759.0411377</v>
      </c>
      <c r="K1974">
        <v>0</v>
      </c>
      <c r="L1974">
        <v>2400</v>
      </c>
      <c r="M1974">
        <v>2400</v>
      </c>
      <c r="N1974">
        <v>0</v>
      </c>
    </row>
    <row r="1975" spans="1:14" x14ac:dyDescent="0.25">
      <c r="A1975">
        <v>1708.626647</v>
      </c>
      <c r="B1975" s="1">
        <f>DATE(2015,1,3) + TIME(15,2,22)</f>
        <v>42007.626643518517</v>
      </c>
      <c r="C1975">
        <v>80</v>
      </c>
      <c r="D1975">
        <v>73.199600219999994</v>
      </c>
      <c r="E1975">
        <v>50</v>
      </c>
      <c r="F1975">
        <v>49.976631165000001</v>
      </c>
      <c r="G1975">
        <v>1010.1762695</v>
      </c>
      <c r="H1975">
        <v>879.07348633000004</v>
      </c>
      <c r="I1975">
        <v>1950.7202147999999</v>
      </c>
      <c r="J1975">
        <v>1759.0207519999999</v>
      </c>
      <c r="K1975">
        <v>0</v>
      </c>
      <c r="L1975">
        <v>2400</v>
      </c>
      <c r="M1975">
        <v>2400</v>
      </c>
      <c r="N1975">
        <v>0</v>
      </c>
    </row>
    <row r="1976" spans="1:14" x14ac:dyDescent="0.25">
      <c r="A1976">
        <v>1711.3251009999999</v>
      </c>
      <c r="B1976" s="1">
        <f>DATE(2015,1,6) + TIME(7,48,8)</f>
        <v>42010.325092592589</v>
      </c>
      <c r="C1976">
        <v>80</v>
      </c>
      <c r="D1976">
        <v>72.982597350999995</v>
      </c>
      <c r="E1976">
        <v>50</v>
      </c>
      <c r="F1976">
        <v>49.976657867</v>
      </c>
      <c r="G1976">
        <v>1008.6226196</v>
      </c>
      <c r="H1976">
        <v>877.26721191000001</v>
      </c>
      <c r="I1976">
        <v>1950.6466064000001</v>
      </c>
      <c r="J1976">
        <v>1758.947876</v>
      </c>
      <c r="K1976">
        <v>0</v>
      </c>
      <c r="L1976">
        <v>2400</v>
      </c>
      <c r="M1976">
        <v>2400</v>
      </c>
      <c r="N1976">
        <v>0</v>
      </c>
    </row>
    <row r="1977" spans="1:14" x14ac:dyDescent="0.25">
      <c r="A1977">
        <v>1714.0573099999999</v>
      </c>
      <c r="B1977" s="1">
        <f>DATE(2015,1,9) + TIME(1,22,31)</f>
        <v>42013.057303240741</v>
      </c>
      <c r="C1977">
        <v>80</v>
      </c>
      <c r="D1977">
        <v>72.753227233999993</v>
      </c>
      <c r="E1977">
        <v>50</v>
      </c>
      <c r="F1977">
        <v>49.976680756</v>
      </c>
      <c r="G1977">
        <v>1007.0507202</v>
      </c>
      <c r="H1977">
        <v>875.41070557</v>
      </c>
      <c r="I1977">
        <v>1950.5219727000001</v>
      </c>
      <c r="J1977">
        <v>1758.8239745999999</v>
      </c>
      <c r="K1977">
        <v>0</v>
      </c>
      <c r="L1977">
        <v>2400</v>
      </c>
      <c r="M1977">
        <v>2400</v>
      </c>
      <c r="N1977">
        <v>0</v>
      </c>
    </row>
    <row r="1978" spans="1:14" x14ac:dyDescent="0.25">
      <c r="A1978">
        <v>1716.8488930000001</v>
      </c>
      <c r="B1978" s="1">
        <f>DATE(2015,1,11) + TIME(20,22,24)</f>
        <v>42015.84888888889</v>
      </c>
      <c r="C1978">
        <v>80</v>
      </c>
      <c r="D1978">
        <v>72.516990661999998</v>
      </c>
      <c r="E1978">
        <v>50</v>
      </c>
      <c r="F1978">
        <v>49.976715087999999</v>
      </c>
      <c r="G1978">
        <v>1005.4627075</v>
      </c>
      <c r="H1978">
        <v>873.51165771000001</v>
      </c>
      <c r="I1978">
        <v>1950.3596190999999</v>
      </c>
      <c r="J1978">
        <v>1758.6622314000001</v>
      </c>
      <c r="K1978">
        <v>0</v>
      </c>
      <c r="L1978">
        <v>2400</v>
      </c>
      <c r="M1978">
        <v>2400</v>
      </c>
      <c r="N1978">
        <v>0</v>
      </c>
    </row>
    <row r="1979" spans="1:14" x14ac:dyDescent="0.25">
      <c r="A1979">
        <v>1719.725766</v>
      </c>
      <c r="B1979" s="1">
        <f>DATE(2015,1,14) + TIME(17,25,6)</f>
        <v>42018.725763888891</v>
      </c>
      <c r="C1979">
        <v>80</v>
      </c>
      <c r="D1979">
        <v>72.273048400999997</v>
      </c>
      <c r="E1979">
        <v>50</v>
      </c>
      <c r="F1979">
        <v>49.976749419999997</v>
      </c>
      <c r="G1979">
        <v>1003.8427124</v>
      </c>
      <c r="H1979">
        <v>871.55181885000002</v>
      </c>
      <c r="I1979">
        <v>1950.1654053</v>
      </c>
      <c r="J1979">
        <v>1758.4686279</v>
      </c>
      <c r="K1979">
        <v>0</v>
      </c>
      <c r="L1979">
        <v>2400</v>
      </c>
      <c r="M1979">
        <v>2400</v>
      </c>
      <c r="N1979">
        <v>0</v>
      </c>
    </row>
    <row r="1980" spans="1:14" x14ac:dyDescent="0.25">
      <c r="A1980">
        <v>1722.651795</v>
      </c>
      <c r="B1980" s="1">
        <f>DATE(2015,1,17) + TIME(15,38,35)</f>
        <v>42021.65179398148</v>
      </c>
      <c r="C1980">
        <v>80</v>
      </c>
      <c r="D1980">
        <v>72.02015686</v>
      </c>
      <c r="E1980">
        <v>50</v>
      </c>
      <c r="F1980">
        <v>49.976791382000002</v>
      </c>
      <c r="G1980">
        <v>1002.1879272</v>
      </c>
      <c r="H1980">
        <v>869.52502441000001</v>
      </c>
      <c r="I1980">
        <v>1949.9440918</v>
      </c>
      <c r="J1980">
        <v>1758.2478027</v>
      </c>
      <c r="K1980">
        <v>0</v>
      </c>
      <c r="L1980">
        <v>2400</v>
      </c>
      <c r="M1980">
        <v>2400</v>
      </c>
      <c r="N1980">
        <v>0</v>
      </c>
    </row>
    <row r="1981" spans="1:14" x14ac:dyDescent="0.25">
      <c r="A1981">
        <v>1725.6195479999999</v>
      </c>
      <c r="B1981" s="1">
        <f>DATE(2015,1,20) + TIME(14,52,8)</f>
        <v>42024.619537037041</v>
      </c>
      <c r="C1981">
        <v>80</v>
      </c>
      <c r="D1981">
        <v>71.759490967000005</v>
      </c>
      <c r="E1981">
        <v>50</v>
      </c>
      <c r="F1981">
        <v>49.976833343999999</v>
      </c>
      <c r="G1981">
        <v>1000.5003052</v>
      </c>
      <c r="H1981">
        <v>867.43322753999996</v>
      </c>
      <c r="I1981">
        <v>1949.7016602000001</v>
      </c>
      <c r="J1981">
        <v>1758.0058594</v>
      </c>
      <c r="K1981">
        <v>0</v>
      </c>
      <c r="L1981">
        <v>2400</v>
      </c>
      <c r="M1981">
        <v>2400</v>
      </c>
      <c r="N1981">
        <v>0</v>
      </c>
    </row>
    <row r="1982" spans="1:14" x14ac:dyDescent="0.25">
      <c r="A1982">
        <v>1728.655377</v>
      </c>
      <c r="B1982" s="1">
        <f>DATE(2015,1,23) + TIME(15,43,44)</f>
        <v>42027.655370370368</v>
      </c>
      <c r="C1982">
        <v>80</v>
      </c>
      <c r="D1982">
        <v>71.490753174000005</v>
      </c>
      <c r="E1982">
        <v>50</v>
      </c>
      <c r="F1982">
        <v>49.97687912</v>
      </c>
      <c r="G1982">
        <v>998.77014159999999</v>
      </c>
      <c r="H1982">
        <v>865.26538086000005</v>
      </c>
      <c r="I1982">
        <v>1949.4421387</v>
      </c>
      <c r="J1982">
        <v>1757.7467041</v>
      </c>
      <c r="K1982">
        <v>0</v>
      </c>
      <c r="L1982">
        <v>2400</v>
      </c>
      <c r="M1982">
        <v>2400</v>
      </c>
      <c r="N1982">
        <v>0</v>
      </c>
    </row>
    <row r="1983" spans="1:14" x14ac:dyDescent="0.25">
      <c r="A1983">
        <v>1731.780724</v>
      </c>
      <c r="B1983" s="1">
        <f>DATE(2015,1,26) + TIME(18,44,14)</f>
        <v>42030.780717592592</v>
      </c>
      <c r="C1983">
        <v>80</v>
      </c>
      <c r="D1983">
        <v>71.211761475000003</v>
      </c>
      <c r="E1983">
        <v>50</v>
      </c>
      <c r="F1983">
        <v>49.976928710999999</v>
      </c>
      <c r="G1983">
        <v>996.98095703000001</v>
      </c>
      <c r="H1983">
        <v>862.99993896000001</v>
      </c>
      <c r="I1983">
        <v>1949.1669922000001</v>
      </c>
      <c r="J1983">
        <v>1757.4720459</v>
      </c>
      <c r="K1983">
        <v>0</v>
      </c>
      <c r="L1983">
        <v>2400</v>
      </c>
      <c r="M1983">
        <v>2400</v>
      </c>
      <c r="N1983">
        <v>0</v>
      </c>
    </row>
    <row r="1984" spans="1:14" x14ac:dyDescent="0.25">
      <c r="A1984">
        <v>1734.9340119999999</v>
      </c>
      <c r="B1984" s="1">
        <f>DATE(2015,1,29) + TIME(22,24,58)</f>
        <v>42033.934004629627</v>
      </c>
      <c r="C1984">
        <v>80</v>
      </c>
      <c r="D1984">
        <v>70.921401978000006</v>
      </c>
      <c r="E1984">
        <v>50</v>
      </c>
      <c r="F1984">
        <v>49.976978301999999</v>
      </c>
      <c r="G1984">
        <v>995.13378906000003</v>
      </c>
      <c r="H1984">
        <v>860.63391113</v>
      </c>
      <c r="I1984">
        <v>1948.8807373</v>
      </c>
      <c r="J1984">
        <v>1757.1861572</v>
      </c>
      <c r="K1984">
        <v>0</v>
      </c>
      <c r="L1984">
        <v>2400</v>
      </c>
      <c r="M1984">
        <v>2400</v>
      </c>
      <c r="N1984">
        <v>0</v>
      </c>
    </row>
    <row r="1985" spans="1:14" x14ac:dyDescent="0.25">
      <c r="A1985">
        <v>1737</v>
      </c>
      <c r="B1985" s="1">
        <f>DATE(2015,2,1) + TIME(0,0,0)</f>
        <v>42036</v>
      </c>
      <c r="C1985">
        <v>80</v>
      </c>
      <c r="D1985">
        <v>70.650390625</v>
      </c>
      <c r="E1985">
        <v>50</v>
      </c>
      <c r="F1985">
        <v>49.976989746000001</v>
      </c>
      <c r="G1985">
        <v>993.51654053000004</v>
      </c>
      <c r="H1985">
        <v>858.50604248000002</v>
      </c>
      <c r="I1985">
        <v>1948.6462402</v>
      </c>
      <c r="J1985">
        <v>1756.9517822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1740.2069959999999</v>
      </c>
      <c r="B1986" s="1">
        <f>DATE(2015,2,4) + TIME(4,58,4)</f>
        <v>42039.206990740742</v>
      </c>
      <c r="C1986">
        <v>80</v>
      </c>
      <c r="D1986">
        <v>70.405960082999997</v>
      </c>
      <c r="E1986">
        <v>50</v>
      </c>
      <c r="F1986">
        <v>49.977069855000003</v>
      </c>
      <c r="G1986">
        <v>991.90423583999996</v>
      </c>
      <c r="H1986">
        <v>856.42669678000004</v>
      </c>
      <c r="I1986">
        <v>1948.3807373</v>
      </c>
      <c r="J1986">
        <v>1756.6865233999999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1743.538215</v>
      </c>
      <c r="B1987" s="1">
        <f>DATE(2015,2,7) + TIME(12,55,1)</f>
        <v>42042.538206018522</v>
      </c>
      <c r="C1987">
        <v>80</v>
      </c>
      <c r="D1987">
        <v>70.101989746000001</v>
      </c>
      <c r="E1987">
        <v>50</v>
      </c>
      <c r="F1987">
        <v>49.977123259999999</v>
      </c>
      <c r="G1987">
        <v>989.94519043000003</v>
      </c>
      <c r="H1987">
        <v>853.86529541000004</v>
      </c>
      <c r="I1987">
        <v>1948.088501</v>
      </c>
      <c r="J1987">
        <v>1756.3946533000001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1746.9034549999999</v>
      </c>
      <c r="B1988" s="1">
        <f>DATE(2015,2,10) + TIME(21,40,58)</f>
        <v>42045.903449074074</v>
      </c>
      <c r="C1988">
        <v>80</v>
      </c>
      <c r="D1988">
        <v>69.771476746000005</v>
      </c>
      <c r="E1988">
        <v>50</v>
      </c>
      <c r="F1988">
        <v>49.977176665999998</v>
      </c>
      <c r="G1988">
        <v>987.86560058999999</v>
      </c>
      <c r="H1988">
        <v>851.10614013999998</v>
      </c>
      <c r="I1988">
        <v>1947.7836914</v>
      </c>
      <c r="J1988">
        <v>1756.0899658000001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1750.32897</v>
      </c>
      <c r="B1989" s="1">
        <f>DATE(2015,2,14) + TIME(7,53,43)</f>
        <v>42049.328969907408</v>
      </c>
      <c r="C1989">
        <v>80</v>
      </c>
      <c r="D1989">
        <v>69.425880432</v>
      </c>
      <c r="E1989">
        <v>50</v>
      </c>
      <c r="F1989">
        <v>49.977230071999998</v>
      </c>
      <c r="G1989">
        <v>985.70513916000004</v>
      </c>
      <c r="H1989">
        <v>848.21136475000003</v>
      </c>
      <c r="I1989">
        <v>1947.4741211</v>
      </c>
      <c r="J1989">
        <v>1755.7806396000001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1753.842502</v>
      </c>
      <c r="B1990" s="1">
        <f>DATE(2015,2,17) + TIME(20,13,12)</f>
        <v>42052.842499999999</v>
      </c>
      <c r="C1990">
        <v>80</v>
      </c>
      <c r="D1990">
        <v>69.064994811999995</v>
      </c>
      <c r="E1990">
        <v>50</v>
      </c>
      <c r="F1990">
        <v>49.977287292</v>
      </c>
      <c r="G1990">
        <v>983.45343018000005</v>
      </c>
      <c r="H1990">
        <v>845.16857909999999</v>
      </c>
      <c r="I1990">
        <v>1947.1611327999999</v>
      </c>
      <c r="J1990">
        <v>1755.4680175999999</v>
      </c>
      <c r="K1990">
        <v>0</v>
      </c>
      <c r="L1990">
        <v>2400</v>
      </c>
      <c r="M1990">
        <v>2400</v>
      </c>
      <c r="N1990">
        <v>0</v>
      </c>
    </row>
    <row r="1991" spans="1:14" x14ac:dyDescent="0.25">
      <c r="A1991">
        <v>1757.384331</v>
      </c>
      <c r="B1991" s="1">
        <f>DATE(2015,2,21) + TIME(9,13,26)</f>
        <v>42056.384328703702</v>
      </c>
      <c r="C1991">
        <v>80</v>
      </c>
      <c r="D1991">
        <v>68.687156677000004</v>
      </c>
      <c r="E1991">
        <v>50</v>
      </c>
      <c r="F1991">
        <v>49.977344512999998</v>
      </c>
      <c r="G1991">
        <v>981.10772704999999</v>
      </c>
      <c r="H1991">
        <v>841.96990966999999</v>
      </c>
      <c r="I1991">
        <v>1946.8480225000001</v>
      </c>
      <c r="J1991">
        <v>1755.1551514</v>
      </c>
      <c r="K1991">
        <v>0</v>
      </c>
      <c r="L1991">
        <v>2400</v>
      </c>
      <c r="M1991">
        <v>2400</v>
      </c>
      <c r="N1991">
        <v>0</v>
      </c>
    </row>
    <row r="1992" spans="1:14" x14ac:dyDescent="0.25">
      <c r="A1992">
        <v>1760.9797920000001</v>
      </c>
      <c r="B1992" s="1">
        <f>DATE(2015,2,24) + TIME(23,30,54)</f>
        <v>42059.979791666665</v>
      </c>
      <c r="C1992">
        <v>80</v>
      </c>
      <c r="D1992">
        <v>68.294784546000002</v>
      </c>
      <c r="E1992">
        <v>50</v>
      </c>
      <c r="F1992">
        <v>49.977401733000001</v>
      </c>
      <c r="G1992">
        <v>978.68176270000004</v>
      </c>
      <c r="H1992">
        <v>838.63427734000004</v>
      </c>
      <c r="I1992">
        <v>1946.5357666</v>
      </c>
      <c r="J1992">
        <v>1754.8428954999999</v>
      </c>
      <c r="K1992">
        <v>0</v>
      </c>
      <c r="L1992">
        <v>2400</v>
      </c>
      <c r="M1992">
        <v>2400</v>
      </c>
      <c r="N1992">
        <v>0</v>
      </c>
    </row>
    <row r="1993" spans="1:14" x14ac:dyDescent="0.25">
      <c r="A1993">
        <v>1764.6564579999999</v>
      </c>
      <c r="B1993" s="1">
        <f>DATE(2015,2,28) + TIME(15,45,18)</f>
        <v>42063.656458333331</v>
      </c>
      <c r="C1993">
        <v>80</v>
      </c>
      <c r="D1993">
        <v>67.885429381999998</v>
      </c>
      <c r="E1993">
        <v>50</v>
      </c>
      <c r="F1993">
        <v>49.977462768999999</v>
      </c>
      <c r="G1993">
        <v>976.16064453000001</v>
      </c>
      <c r="H1993">
        <v>835.14093018000005</v>
      </c>
      <c r="I1993">
        <v>1946.2231445</v>
      </c>
      <c r="J1993">
        <v>1754.5305175999999</v>
      </c>
      <c r="K1993">
        <v>0</v>
      </c>
      <c r="L1993">
        <v>2400</v>
      </c>
      <c r="M1993">
        <v>2400</v>
      </c>
      <c r="N1993">
        <v>0</v>
      </c>
    </row>
    <row r="1994" spans="1:14" x14ac:dyDescent="0.25">
      <c r="A1994">
        <v>1765</v>
      </c>
      <c r="B1994" s="1">
        <f>DATE(2015,3,1) + TIME(0,0,0)</f>
        <v>42064</v>
      </c>
      <c r="C1994">
        <v>80</v>
      </c>
      <c r="D1994">
        <v>67.722999572999996</v>
      </c>
      <c r="E1994">
        <v>50</v>
      </c>
      <c r="F1994">
        <v>49.977447509999998</v>
      </c>
      <c r="G1994">
        <v>974.87512206999997</v>
      </c>
      <c r="H1994">
        <v>833.39508057</v>
      </c>
      <c r="I1994">
        <v>1946.1773682</v>
      </c>
      <c r="J1994">
        <v>1754.4846190999999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1768.7111809999999</v>
      </c>
      <c r="B1995" s="1">
        <f>DATE(2015,3,4) + TIME(17,4,6)</f>
        <v>42067.711180555554</v>
      </c>
      <c r="C1995">
        <v>80</v>
      </c>
      <c r="D1995">
        <v>67.393440247000001</v>
      </c>
      <c r="E1995">
        <v>50</v>
      </c>
      <c r="F1995">
        <v>49.977523804</v>
      </c>
      <c r="G1995">
        <v>973.20660399999997</v>
      </c>
      <c r="H1995">
        <v>830.98388671999999</v>
      </c>
      <c r="I1995">
        <v>1945.8714600000001</v>
      </c>
      <c r="J1995">
        <v>1754.1790771000001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1772.479278</v>
      </c>
      <c r="B1996" s="1">
        <f>DATE(2015,3,8) + TIME(11,30,9)</f>
        <v>42071.479270833333</v>
      </c>
      <c r="C1996">
        <v>80</v>
      </c>
      <c r="D1996">
        <v>66.964782714999998</v>
      </c>
      <c r="E1996">
        <v>50</v>
      </c>
      <c r="F1996">
        <v>49.977584839000002</v>
      </c>
      <c r="G1996">
        <v>970.55059814000003</v>
      </c>
      <c r="H1996">
        <v>827.26721191000001</v>
      </c>
      <c r="I1996">
        <v>1945.5700684000001</v>
      </c>
      <c r="J1996">
        <v>1753.8778076000001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1776.3288010000001</v>
      </c>
      <c r="B1997" s="1">
        <f>DATE(2015,3,12) + TIME(7,53,28)</f>
        <v>42075.328796296293</v>
      </c>
      <c r="C1997">
        <v>80</v>
      </c>
      <c r="D1997">
        <v>66.499984741000006</v>
      </c>
      <c r="E1997">
        <v>50</v>
      </c>
      <c r="F1997">
        <v>49.977645873999997</v>
      </c>
      <c r="G1997">
        <v>967.73895263999998</v>
      </c>
      <c r="H1997">
        <v>823.28161621000004</v>
      </c>
      <c r="I1997">
        <v>1945.2633057</v>
      </c>
      <c r="J1997">
        <v>1753.5710449000001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1780.2046459999999</v>
      </c>
      <c r="B1998" s="1">
        <f>DATE(2015,3,16) + TIME(4,54,41)</f>
        <v>42079.204641203702</v>
      </c>
      <c r="C1998">
        <v>80</v>
      </c>
      <c r="D1998">
        <v>66.011192321999999</v>
      </c>
      <c r="E1998">
        <v>50</v>
      </c>
      <c r="F1998">
        <v>49.977703093999999</v>
      </c>
      <c r="G1998">
        <v>964.81097411999997</v>
      </c>
      <c r="H1998">
        <v>819.09625243999994</v>
      </c>
      <c r="I1998">
        <v>1944.9564209</v>
      </c>
      <c r="J1998">
        <v>1753.2644043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1784.1360090000001</v>
      </c>
      <c r="B1999" s="1">
        <f>DATE(2015,3,20) + TIME(3,15,51)</f>
        <v>42083.136006944442</v>
      </c>
      <c r="C1999">
        <v>80</v>
      </c>
      <c r="D1999">
        <v>65.50328064</v>
      </c>
      <c r="E1999">
        <v>50</v>
      </c>
      <c r="F1999">
        <v>49.977760314999998</v>
      </c>
      <c r="G1999">
        <v>961.79107666000004</v>
      </c>
      <c r="H1999">
        <v>814.74822998000002</v>
      </c>
      <c r="I1999">
        <v>1944.6506348</v>
      </c>
      <c r="J1999">
        <v>1752.9586182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1788.1310940000001</v>
      </c>
      <c r="B2000" s="1">
        <f>DATE(2015,3,24) + TIME(3,8,46)</f>
        <v>42087.13108796296</v>
      </c>
      <c r="C2000">
        <v>80</v>
      </c>
      <c r="D2000">
        <v>64.974487304999997</v>
      </c>
      <c r="E2000">
        <v>50</v>
      </c>
      <c r="F2000">
        <v>49.977821349999999</v>
      </c>
      <c r="G2000">
        <v>958.66784668000003</v>
      </c>
      <c r="H2000">
        <v>810.22149658000001</v>
      </c>
      <c r="I2000">
        <v>1944.3452147999999</v>
      </c>
      <c r="J2000">
        <v>1752.6533202999999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1792.1588240000001</v>
      </c>
      <c r="B2001" s="1">
        <f>DATE(2015,3,28) + TIME(3,48,42)</f>
        <v>42091.158819444441</v>
      </c>
      <c r="C2001">
        <v>80</v>
      </c>
      <c r="D2001">
        <v>64.423912048000005</v>
      </c>
      <c r="E2001">
        <v>50</v>
      </c>
      <c r="F2001">
        <v>49.977878570999998</v>
      </c>
      <c r="G2001">
        <v>955.44042968999997</v>
      </c>
      <c r="H2001">
        <v>805.51159668000003</v>
      </c>
      <c r="I2001">
        <v>1944.0412598</v>
      </c>
      <c r="J2001">
        <v>1752.3494873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1796</v>
      </c>
      <c r="B2002" s="1">
        <f>DATE(2015,4,1) + TIME(0,0,0)</f>
        <v>42095</v>
      </c>
      <c r="C2002">
        <v>80</v>
      </c>
      <c r="D2002">
        <v>63.859535217000001</v>
      </c>
      <c r="E2002">
        <v>50</v>
      </c>
      <c r="F2002">
        <v>49.977931976000001</v>
      </c>
      <c r="G2002">
        <v>952.16430663999995</v>
      </c>
      <c r="H2002">
        <v>800.69378661999997</v>
      </c>
      <c r="I2002">
        <v>1943.7479248</v>
      </c>
      <c r="J2002">
        <v>1752.0562743999999</v>
      </c>
      <c r="K2002">
        <v>0</v>
      </c>
      <c r="L2002">
        <v>2400</v>
      </c>
      <c r="M2002">
        <v>2400</v>
      </c>
      <c r="N200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2022-07-22T09:39:51Z</dcterms:created>
  <dcterms:modified xsi:type="dcterms:W3CDTF">2022-07-22T09:40:10Z</dcterms:modified>
</cp:coreProperties>
</file>