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kh_kv/"/>
    </mc:Choice>
  </mc:AlternateContent>
  <xr:revisionPtr revIDLastSave="0" documentId="8_{1C3B17F0-FC55-499D-9B87-ACE8FE0C4551}" xr6:coauthVersionLast="47" xr6:coauthVersionMax="47" xr10:uidLastSave="{00000000-0000-0000-0000-000000000000}"/>
  <bookViews>
    <workbookView xWindow="-28920" yWindow="-120" windowWidth="29040" windowHeight="15840" xr2:uid="{1740F39B-8150-4343-9CA4-83A033901CF7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03" i="1" l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<sst xmlns="http://schemas.openxmlformats.org/spreadsheetml/2006/main" count="15" uniqueCount="15">
  <si>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MODEL\SCENARIOS\2022\Parameterstudy_kh_kv\kh50_kv1.sr3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</si>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</sst>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B9A45E-7AC3-4D22-8B07-C089EAF11094}" name="Table1" displayName="Table1" ref="A3:N2303" totalsRowShown="0">
  <autoFilter ref="A3:N2303" xr:uid="{69B9A45E-7AC3-4D22-8B07-C089EAF11094}"/>
  <tableColumns count="14">
    <tableColumn id="1" xr3:uid="{C2689F6B-B58F-49FF-A8AD-21239EB0F2F6}" name="Time (day)"/>
    <tableColumn id="2" xr3:uid="{40CA8BB8-BA9D-4558-B4BD-BD252E9F9A1D}" name="Date" dataDxfId="0"/>
    <tableColumn id="3" xr3:uid="{D63A5B9A-2DA2-4D12-BE1A-576C784409B2}" name="Hot well INJ-Well bottom hole temperature (C)"/>
    <tableColumn id="4" xr3:uid="{968F9898-F7E1-4CFF-980A-3A5FD5055540}" name="Hot well PROD-Well bottom hole temperature (C)"/>
    <tableColumn id="5" xr3:uid="{B2505589-DD9B-4EDE-B3C3-824ABD325AEB}" name="Warm well INJ-Well bottom hole temperature (C)"/>
    <tableColumn id="6" xr3:uid="{2572DFAE-2BDB-4409-A9DF-E548E39AEEC7}" name="Warm well PROD-Well bottom hole temperature (C)"/>
    <tableColumn id="7" xr3:uid="{46D0B8B9-59DD-4829-8A32-ED8362133541}" name="Hot well INJ-Well Bottom-hole Pressure (kPa)"/>
    <tableColumn id="8" xr3:uid="{A0CC6A5D-9A47-4812-9A77-2B3792BCB0B9}" name="Hot well PROD-Well Bottom-hole Pressure (kPa)"/>
    <tableColumn id="9" xr3:uid="{0C39C7B9-005B-4ED8-A90D-C1C004824C6F}" name="Warm well INJ-Well Bottom-hole Pressure (kPa)"/>
    <tableColumn id="10" xr3:uid="{C2B2B7C7-E6DB-4C74-96E9-B44B07A15E85}" name="Warm well PROD-Well Bottom-hole Pressure (kPa)"/>
    <tableColumn id="11" xr3:uid="{C8B77B10-C9F4-4212-BF73-D2C37054779C}" name="Hot well INJ-Fluid Rate SC (m³/day)"/>
    <tableColumn id="12" xr3:uid="{AB8A2A95-6CE6-4A88-9EA7-A75C8143D6DA}" name="Hot well PROD-Fluid Rate SC (m³/day)"/>
    <tableColumn id="13" xr3:uid="{8C38082F-DD98-419E-B655-76F1398744F6}" name="Warm well INJ-Fluid Rate SC (m³/day)"/>
    <tableColumn id="14" xr3:uid="{33D74927-3434-4A54-AD26-71B091293D4A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93FA-26D2-41F1-9892-430EAEFF6DCD}">
  <dimension ref="A1:N2303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50</v>
      </c>
      <c r="F4">
        <v>14.999998093</v>
      </c>
      <c r="G4">
        <v>1337.2996826000001</v>
      </c>
      <c r="H4">
        <v>1329.4145507999999</v>
      </c>
      <c r="I4">
        <v>1329.4047852000001</v>
      </c>
      <c r="J4">
        <v>1321.5189209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15.000314713</v>
      </c>
      <c r="E5">
        <v>50</v>
      </c>
      <c r="F5">
        <v>14.999993324</v>
      </c>
      <c r="G5">
        <v>1337.3142089999999</v>
      </c>
      <c r="H5">
        <v>1329.4290771000001</v>
      </c>
      <c r="I5">
        <v>1329.3902588000001</v>
      </c>
      <c r="J5">
        <v>1321.5045166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15.001023292999999</v>
      </c>
      <c r="E6">
        <v>50</v>
      </c>
      <c r="F6">
        <v>14.999977112</v>
      </c>
      <c r="G6">
        <v>1337.3572998</v>
      </c>
      <c r="H6">
        <v>1329.4722899999999</v>
      </c>
      <c r="I6">
        <v>1329.3472899999999</v>
      </c>
      <c r="J6">
        <v>1321.4614257999999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15.003147125</v>
      </c>
      <c r="E7">
        <v>50</v>
      </c>
      <c r="F7">
        <v>14.999932289</v>
      </c>
      <c r="G7">
        <v>1337.4827881000001</v>
      </c>
      <c r="H7">
        <v>1329.5982666</v>
      </c>
      <c r="I7">
        <v>1329.2218018000001</v>
      </c>
      <c r="J7">
        <v>1321.3359375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15.009508133000001</v>
      </c>
      <c r="E8">
        <v>50</v>
      </c>
      <c r="F8">
        <v>14.999807358</v>
      </c>
      <c r="G8">
        <v>1337.8288574000001</v>
      </c>
      <c r="H8">
        <v>1329.9454346</v>
      </c>
      <c r="I8">
        <v>1328.8759766000001</v>
      </c>
      <c r="J8">
        <v>1320.9902344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15.028513908000001</v>
      </c>
      <c r="E9">
        <v>50</v>
      </c>
      <c r="F9">
        <v>14.999505997</v>
      </c>
      <c r="G9">
        <v>1338.6623535000001</v>
      </c>
      <c r="H9">
        <v>1330.7823486</v>
      </c>
      <c r="I9">
        <v>1328.0424805</v>
      </c>
      <c r="J9">
        <v>1320.1567382999999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15.085160255</v>
      </c>
      <c r="E10">
        <v>50</v>
      </c>
      <c r="F10">
        <v>14.998945236000001</v>
      </c>
      <c r="G10">
        <v>1340.2109375</v>
      </c>
      <c r="H10">
        <v>1332.3414307</v>
      </c>
      <c r="I10">
        <v>1326.4886475000001</v>
      </c>
      <c r="J10">
        <v>1318.6029053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15.253684044</v>
      </c>
      <c r="E11">
        <v>50</v>
      </c>
      <c r="F11">
        <v>14.998193741</v>
      </c>
      <c r="G11">
        <v>1342.2674560999999</v>
      </c>
      <c r="H11">
        <v>1334.4301757999999</v>
      </c>
      <c r="I11">
        <v>1324.3969727000001</v>
      </c>
      <c r="J11">
        <v>1316.5109863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15.754406929</v>
      </c>
      <c r="E12">
        <v>50</v>
      </c>
      <c r="F12">
        <v>14.99739933</v>
      </c>
      <c r="G12">
        <v>1344.3790283000001</v>
      </c>
      <c r="H12">
        <v>1336.6370850000001</v>
      </c>
      <c r="I12">
        <v>1322.1553954999999</v>
      </c>
      <c r="J12">
        <v>1314.2694091999999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2.2943999999999999E-2</v>
      </c>
      <c r="B13" s="1">
        <f>DATE(2010,5,1) + TIME(0,33,2)</f>
        <v>40299.022939814815</v>
      </c>
      <c r="C13">
        <v>80</v>
      </c>
      <c r="D13">
        <v>16.740957259999998</v>
      </c>
      <c r="E13">
        <v>50</v>
      </c>
      <c r="F13">
        <v>14.996780396</v>
      </c>
      <c r="G13">
        <v>1345.9183350000001</v>
      </c>
      <c r="H13">
        <v>1338.3570557</v>
      </c>
      <c r="I13">
        <v>1320.3570557</v>
      </c>
      <c r="J13">
        <v>1312.4709473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3.6226000000000001E-2</v>
      </c>
      <c r="B14" s="1">
        <f>DATE(2010,5,1) + TIME(0,52,9)</f>
        <v>40299.036215277774</v>
      </c>
      <c r="C14">
        <v>80</v>
      </c>
      <c r="D14">
        <v>17.729639053</v>
      </c>
      <c r="E14">
        <v>50</v>
      </c>
      <c r="F14">
        <v>14.996435164999999</v>
      </c>
      <c r="G14">
        <v>1346.71875</v>
      </c>
      <c r="H14">
        <v>1339.322876</v>
      </c>
      <c r="I14">
        <v>1319.3217772999999</v>
      </c>
      <c r="J14">
        <v>1311.4356689000001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4.9659000000000002E-2</v>
      </c>
      <c r="B15" s="1">
        <f>DATE(2010,5,1) + TIME(1,11,30)</f>
        <v>40299.04965277778</v>
      </c>
      <c r="C15">
        <v>80</v>
      </c>
      <c r="D15">
        <v>18.718339919999998</v>
      </c>
      <c r="E15">
        <v>50</v>
      </c>
      <c r="F15">
        <v>14.99620533</v>
      </c>
      <c r="G15">
        <v>1347.2054443</v>
      </c>
      <c r="H15">
        <v>1339.96875</v>
      </c>
      <c r="I15">
        <v>1318.6115723</v>
      </c>
      <c r="J15">
        <v>1310.7254639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6.3246999999999998E-2</v>
      </c>
      <c r="B16" s="1">
        <f>DATE(2010,5,1) + TIME(1,31,4)</f>
        <v>40299.063240740739</v>
      </c>
      <c r="C16">
        <v>80</v>
      </c>
      <c r="D16">
        <v>19.706939696999999</v>
      </c>
      <c r="E16">
        <v>50</v>
      </c>
      <c r="F16">
        <v>14.996037483</v>
      </c>
      <c r="G16">
        <v>1347.5305175999999</v>
      </c>
      <c r="H16">
        <v>1340.4460449000001</v>
      </c>
      <c r="I16">
        <v>1318.0745850000001</v>
      </c>
      <c r="J16">
        <v>1310.1884766000001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7.6991000000000004E-2</v>
      </c>
      <c r="B17" s="1">
        <f>DATE(2010,5,1) + TIME(1,50,51)</f>
        <v>40299.076979166668</v>
      </c>
      <c r="C17">
        <v>80</v>
      </c>
      <c r="D17">
        <v>20.69597435</v>
      </c>
      <c r="E17">
        <v>50</v>
      </c>
      <c r="F17">
        <v>14.995907784</v>
      </c>
      <c r="G17">
        <v>1347.7602539</v>
      </c>
      <c r="H17">
        <v>1340.8216553</v>
      </c>
      <c r="I17">
        <v>1317.644043</v>
      </c>
      <c r="J17">
        <v>1309.7578125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9.0886999999999996E-2</v>
      </c>
      <c r="B18" s="1">
        <f>DATE(2010,5,1) + TIME(2,10,52)</f>
        <v>40299.090879629628</v>
      </c>
      <c r="C18">
        <v>80</v>
      </c>
      <c r="D18">
        <v>21.684524536000001</v>
      </c>
      <c r="E18">
        <v>50</v>
      </c>
      <c r="F18">
        <v>14.995802878999999</v>
      </c>
      <c r="G18">
        <v>1347.9288329999999</v>
      </c>
      <c r="H18">
        <v>1341.1298827999999</v>
      </c>
      <c r="I18">
        <v>1317.2855225000001</v>
      </c>
      <c r="J18">
        <v>1309.3992920000001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0.104944</v>
      </c>
      <c r="B19" s="1">
        <f>DATE(2010,5,1) + TIME(2,31,7)</f>
        <v>40299.104942129627</v>
      </c>
      <c r="C19">
        <v>80</v>
      </c>
      <c r="D19">
        <v>22.672651291000001</v>
      </c>
      <c r="E19">
        <v>50</v>
      </c>
      <c r="F19">
        <v>14.995717049</v>
      </c>
      <c r="G19">
        <v>1348.0560303</v>
      </c>
      <c r="H19">
        <v>1341.3905029</v>
      </c>
      <c r="I19">
        <v>1316.9790039</v>
      </c>
      <c r="J19">
        <v>1309.0927733999999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0.11917</v>
      </c>
      <c r="B20" s="1">
        <f>DATE(2010,5,1) + TIME(2,51,36)</f>
        <v>40299.119166666664</v>
      </c>
      <c r="C20">
        <v>80</v>
      </c>
      <c r="D20">
        <v>23.660577774</v>
      </c>
      <c r="E20">
        <v>50</v>
      </c>
      <c r="F20">
        <v>14.995645523</v>
      </c>
      <c r="G20">
        <v>1348.1536865</v>
      </c>
      <c r="H20">
        <v>1341.6159668</v>
      </c>
      <c r="I20">
        <v>1316.7117920000001</v>
      </c>
      <c r="J20">
        <v>1308.8255615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0.133571</v>
      </c>
      <c r="B21" s="1">
        <f>DATE(2010,5,1) + TIME(3,12,20)</f>
        <v>40299.133564814816</v>
      </c>
      <c r="C21">
        <v>80</v>
      </c>
      <c r="D21">
        <v>24.648292542</v>
      </c>
      <c r="E21">
        <v>50</v>
      </c>
      <c r="F21">
        <v>14.995584488</v>
      </c>
      <c r="G21">
        <v>1348.2298584</v>
      </c>
      <c r="H21">
        <v>1341.8144531</v>
      </c>
      <c r="I21">
        <v>1316.4755858999999</v>
      </c>
      <c r="J21">
        <v>1308.5893555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0.14815</v>
      </c>
      <c r="B22" s="1">
        <f>DATE(2010,5,1) + TIME(3,33,20)</f>
        <v>40299.148148148146</v>
      </c>
      <c r="C22">
        <v>80</v>
      </c>
      <c r="D22">
        <v>25.636190414000001</v>
      </c>
      <c r="E22">
        <v>50</v>
      </c>
      <c r="F22">
        <v>14.995532036</v>
      </c>
      <c r="G22">
        <v>1348.2900391000001</v>
      </c>
      <c r="H22">
        <v>1341.9918213000001</v>
      </c>
      <c r="I22">
        <v>1316.2646483999999</v>
      </c>
      <c r="J22">
        <v>1308.3782959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0.162907</v>
      </c>
      <c r="B23" s="1">
        <f>DATE(2010,5,1) + TIME(3,54,35)</f>
        <v>40299.162905092591</v>
      </c>
      <c r="C23">
        <v>80</v>
      </c>
      <c r="D23">
        <v>26.623689650999999</v>
      </c>
      <c r="E23">
        <v>50</v>
      </c>
      <c r="F23">
        <v>14.995487213000001</v>
      </c>
      <c r="G23">
        <v>1348.3380127</v>
      </c>
      <c r="H23">
        <v>1342.1519774999999</v>
      </c>
      <c r="I23">
        <v>1316.0745850000001</v>
      </c>
      <c r="J23">
        <v>1308.1881103999999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0.17785200000000001</v>
      </c>
      <c r="B24" s="1">
        <f>DATE(2010,5,1) + TIME(4,16,6)</f>
        <v>40299.177847222221</v>
      </c>
      <c r="C24">
        <v>80</v>
      </c>
      <c r="D24">
        <v>27.610723494999998</v>
      </c>
      <c r="E24">
        <v>50</v>
      </c>
      <c r="F24">
        <v>14.995448112</v>
      </c>
      <c r="G24">
        <v>1348.3765868999999</v>
      </c>
      <c r="H24">
        <v>1342.2980957</v>
      </c>
      <c r="I24">
        <v>1315.9020995999999</v>
      </c>
      <c r="J24">
        <v>1308.015625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0.192993</v>
      </c>
      <c r="B25" s="1">
        <f>DATE(2010,5,1) + TIME(4,37,54)</f>
        <v>40299.192986111113</v>
      </c>
      <c r="C25">
        <v>80</v>
      </c>
      <c r="D25">
        <v>28.597492217999999</v>
      </c>
      <c r="E25">
        <v>50</v>
      </c>
      <c r="F25">
        <v>14.995415688</v>
      </c>
      <c r="G25">
        <v>1348.4080810999999</v>
      </c>
      <c r="H25">
        <v>1342.4327393000001</v>
      </c>
      <c r="I25">
        <v>1315.744751</v>
      </c>
      <c r="J25">
        <v>1307.8582764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0.20833699999999999</v>
      </c>
      <c r="B26" s="1">
        <f>DATE(2010,5,1) + TIME(5,0,0)</f>
        <v>40299.208333333336</v>
      </c>
      <c r="C26">
        <v>80</v>
      </c>
      <c r="D26">
        <v>29.583984375</v>
      </c>
      <c r="E26">
        <v>50</v>
      </c>
      <c r="F26">
        <v>14.995387077</v>
      </c>
      <c r="G26">
        <v>1348.434082</v>
      </c>
      <c r="H26">
        <v>1342.5576172000001</v>
      </c>
      <c r="I26">
        <v>1315.6005858999999</v>
      </c>
      <c r="J26">
        <v>1307.7139893000001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0.22389100000000001</v>
      </c>
      <c r="B27" s="1">
        <f>DATE(2010,5,1) + TIME(5,22,24)</f>
        <v>40299.22388888889</v>
      </c>
      <c r="C27">
        <v>80</v>
      </c>
      <c r="D27">
        <v>30.570306777999999</v>
      </c>
      <c r="E27">
        <v>50</v>
      </c>
      <c r="F27">
        <v>14.995362282</v>
      </c>
      <c r="G27">
        <v>1348.4559326000001</v>
      </c>
      <c r="H27">
        <v>1342.6743164</v>
      </c>
      <c r="I27">
        <v>1315.4677733999999</v>
      </c>
      <c r="J27">
        <v>1307.5810547000001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0.23966000000000001</v>
      </c>
      <c r="B28" s="1">
        <f>DATE(2010,5,1) + TIME(5,45,6)</f>
        <v>40299.239652777775</v>
      </c>
      <c r="C28">
        <v>80</v>
      </c>
      <c r="D28">
        <v>31.55629158</v>
      </c>
      <c r="E28">
        <v>50</v>
      </c>
      <c r="F28">
        <v>14.995341301</v>
      </c>
      <c r="G28">
        <v>1348.4746094</v>
      </c>
      <c r="H28">
        <v>1342.7841797000001</v>
      </c>
      <c r="I28">
        <v>1315.3450928</v>
      </c>
      <c r="J28">
        <v>1307.4582519999999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0.25565399999999999</v>
      </c>
      <c r="B29" s="1">
        <f>DATE(2010,5,1) + TIME(6,8,8)</f>
        <v>40299.255648148152</v>
      </c>
      <c r="C29">
        <v>80</v>
      </c>
      <c r="D29">
        <v>32.541862488</v>
      </c>
      <c r="E29">
        <v>50</v>
      </c>
      <c r="F29">
        <v>14.995323181</v>
      </c>
      <c r="G29">
        <v>1348.4910889</v>
      </c>
      <c r="H29">
        <v>1342.8880615</v>
      </c>
      <c r="I29">
        <v>1315.2313231999999</v>
      </c>
      <c r="J29">
        <v>1307.3443603999999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0.27188200000000001</v>
      </c>
      <c r="B30" s="1">
        <f>DATE(2010,5,1) + TIME(6,31,30)</f>
        <v>40299.271874999999</v>
      </c>
      <c r="C30">
        <v>80</v>
      </c>
      <c r="D30">
        <v>33.527088165000002</v>
      </c>
      <c r="E30">
        <v>50</v>
      </c>
      <c r="F30">
        <v>14.995307922</v>
      </c>
      <c r="G30">
        <v>1348.5059814000001</v>
      </c>
      <c r="H30">
        <v>1342.9868164</v>
      </c>
      <c r="I30">
        <v>1315.1257324000001</v>
      </c>
      <c r="J30">
        <v>1307.2385254000001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0.288354</v>
      </c>
      <c r="B31" s="1">
        <f>DATE(2010,5,1) + TIME(6,55,13)</f>
        <v>40299.288344907407</v>
      </c>
      <c r="C31">
        <v>80</v>
      </c>
      <c r="D31">
        <v>34.511951447000001</v>
      </c>
      <c r="E31">
        <v>50</v>
      </c>
      <c r="F31">
        <v>14.995295525</v>
      </c>
      <c r="G31">
        <v>1348.5196533000001</v>
      </c>
      <c r="H31">
        <v>1343.0811768000001</v>
      </c>
      <c r="I31">
        <v>1315.0272216999999</v>
      </c>
      <c r="J31">
        <v>1307.1398925999999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0.30507800000000002</v>
      </c>
      <c r="B32" s="1">
        <f>DATE(2010,5,1) + TIME(7,19,18)</f>
        <v>40299.305069444446</v>
      </c>
      <c r="C32">
        <v>80</v>
      </c>
      <c r="D32">
        <v>35.496429442999997</v>
      </c>
      <c r="E32">
        <v>50</v>
      </c>
      <c r="F32">
        <v>14.995285034</v>
      </c>
      <c r="G32">
        <v>1348.5328368999999</v>
      </c>
      <c r="H32">
        <v>1343.171875</v>
      </c>
      <c r="I32">
        <v>1314.9351807</v>
      </c>
      <c r="J32">
        <v>1307.0477295000001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0.32206600000000002</v>
      </c>
      <c r="B33" s="1">
        <f>DATE(2010,5,1) + TIME(7,43,46)</f>
        <v>40299.322060185186</v>
      </c>
      <c r="C33">
        <v>80</v>
      </c>
      <c r="D33">
        <v>36.480499268000003</v>
      </c>
      <c r="E33">
        <v>50</v>
      </c>
      <c r="F33">
        <v>14.995277405</v>
      </c>
      <c r="G33">
        <v>1348.5457764</v>
      </c>
      <c r="H33">
        <v>1343.2592772999999</v>
      </c>
      <c r="I33">
        <v>1314.8491211</v>
      </c>
      <c r="J33">
        <v>1306.9613036999999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0.33933000000000002</v>
      </c>
      <c r="B34" s="1">
        <f>DATE(2010,5,1) + TIME(8,8,38)</f>
        <v>40299.339328703703</v>
      </c>
      <c r="C34">
        <v>80</v>
      </c>
      <c r="D34">
        <v>37.464138030999997</v>
      </c>
      <c r="E34">
        <v>50</v>
      </c>
      <c r="F34">
        <v>14.995270729</v>
      </c>
      <c r="G34">
        <v>1348.5587158000001</v>
      </c>
      <c r="H34">
        <v>1343.3438721</v>
      </c>
      <c r="I34">
        <v>1314.7684326000001</v>
      </c>
      <c r="J34">
        <v>1306.8803711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0.35687999999999998</v>
      </c>
      <c r="B35" s="1">
        <f>DATE(2010,5,1) + TIME(8,33,54)</f>
        <v>40299.356874999998</v>
      </c>
      <c r="C35">
        <v>80</v>
      </c>
      <c r="D35">
        <v>38.447326660000002</v>
      </c>
      <c r="E35">
        <v>50</v>
      </c>
      <c r="F35">
        <v>14.995266914</v>
      </c>
      <c r="G35">
        <v>1348.5718993999999</v>
      </c>
      <c r="H35">
        <v>1343.4260254000001</v>
      </c>
      <c r="I35">
        <v>1314.6926269999999</v>
      </c>
      <c r="J35">
        <v>1306.8043213000001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0.37473000000000001</v>
      </c>
      <c r="B36" s="1">
        <f>DATE(2010,5,1) + TIME(8,59,36)</f>
        <v>40299.374722222223</v>
      </c>
      <c r="C36">
        <v>80</v>
      </c>
      <c r="D36">
        <v>39.430034636999999</v>
      </c>
      <c r="E36">
        <v>50</v>
      </c>
      <c r="F36">
        <v>14.995264053</v>
      </c>
      <c r="G36">
        <v>1348.5855713000001</v>
      </c>
      <c r="H36">
        <v>1343.5059814000001</v>
      </c>
      <c r="I36">
        <v>1314.6213379000001</v>
      </c>
      <c r="J36">
        <v>1306.7326660000001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0.39289499999999999</v>
      </c>
      <c r="B37" s="1">
        <f>DATE(2010,5,1) + TIME(9,25,46)</f>
        <v>40299.392893518518</v>
      </c>
      <c r="C37">
        <v>80</v>
      </c>
      <c r="D37">
        <v>40.412326813</v>
      </c>
      <c r="E37">
        <v>50</v>
      </c>
      <c r="F37">
        <v>14.995262146</v>
      </c>
      <c r="G37">
        <v>1348.5999756000001</v>
      </c>
      <c r="H37">
        <v>1343.5841064000001</v>
      </c>
      <c r="I37">
        <v>1314.5541992000001</v>
      </c>
      <c r="J37">
        <v>1306.6652832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0.411387</v>
      </c>
      <c r="B38" s="1">
        <f>DATE(2010,5,1) + TIME(9,52,23)</f>
        <v>40299.411377314813</v>
      </c>
      <c r="C38">
        <v>80</v>
      </c>
      <c r="D38">
        <v>41.394123077000003</v>
      </c>
      <c r="E38">
        <v>50</v>
      </c>
      <c r="F38">
        <v>14.995262146</v>
      </c>
      <c r="G38">
        <v>1348.6151123</v>
      </c>
      <c r="H38">
        <v>1343.6606445</v>
      </c>
      <c r="I38">
        <v>1314.4909668</v>
      </c>
      <c r="J38">
        <v>1306.6015625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0.43022199999999999</v>
      </c>
      <c r="B39" s="1">
        <f>DATE(2010,5,1) + TIME(10,19,31)</f>
        <v>40299.430219907408</v>
      </c>
      <c r="C39">
        <v>80</v>
      </c>
      <c r="D39">
        <v>42.375232697000001</v>
      </c>
      <c r="E39">
        <v>50</v>
      </c>
      <c r="F39">
        <v>14.995263100000001</v>
      </c>
      <c r="G39">
        <v>1348.6311035000001</v>
      </c>
      <c r="H39">
        <v>1343.7358397999999</v>
      </c>
      <c r="I39">
        <v>1314.4312743999999</v>
      </c>
      <c r="J39">
        <v>1306.5415039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0.44941900000000001</v>
      </c>
      <c r="B40" s="1">
        <f>DATE(2010,5,1) + TIME(10,47,9)</f>
        <v>40299.44940972222</v>
      </c>
      <c r="C40">
        <v>80</v>
      </c>
      <c r="D40">
        <v>43.355747223000002</v>
      </c>
      <c r="E40">
        <v>50</v>
      </c>
      <c r="F40">
        <v>14.995265960999999</v>
      </c>
      <c r="G40">
        <v>1348.6480713000001</v>
      </c>
      <c r="H40">
        <v>1343.8096923999999</v>
      </c>
      <c r="I40">
        <v>1314.3748779</v>
      </c>
      <c r="J40">
        <v>1306.4847411999999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0.46899800000000003</v>
      </c>
      <c r="B41" s="1">
        <f>DATE(2010,5,1) + TIME(11,15,21)</f>
        <v>40299.468993055554</v>
      </c>
      <c r="C41">
        <v>80</v>
      </c>
      <c r="D41">
        <v>44.335624695</v>
      </c>
      <c r="E41">
        <v>50</v>
      </c>
      <c r="F41">
        <v>14.995269775000001</v>
      </c>
      <c r="G41">
        <v>1348.6660156</v>
      </c>
      <c r="H41">
        <v>1343.8825684000001</v>
      </c>
      <c r="I41">
        <v>1314.3216553</v>
      </c>
      <c r="J41">
        <v>1306.4309082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0.48898000000000003</v>
      </c>
      <c r="B42" s="1">
        <f>DATE(2010,5,1) + TIME(11,44,7)</f>
        <v>40299.488969907405</v>
      </c>
      <c r="C42">
        <v>80</v>
      </c>
      <c r="D42">
        <v>45.314830780000001</v>
      </c>
      <c r="E42">
        <v>50</v>
      </c>
      <c r="F42">
        <v>14.995274544000001</v>
      </c>
      <c r="G42">
        <v>1348.6849365</v>
      </c>
      <c r="H42">
        <v>1343.9543457</v>
      </c>
      <c r="I42">
        <v>1314.2712402</v>
      </c>
      <c r="J42">
        <v>1306.3801269999999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0.50938499999999998</v>
      </c>
      <c r="B43" s="1">
        <f>DATE(2010,5,1) + TIME(12,13,30)</f>
        <v>40299.509375000001</v>
      </c>
      <c r="C43">
        <v>80</v>
      </c>
      <c r="D43">
        <v>46.293319701999998</v>
      </c>
      <c r="E43">
        <v>50</v>
      </c>
      <c r="F43">
        <v>14.995280266</v>
      </c>
      <c r="G43">
        <v>1348.7050781</v>
      </c>
      <c r="H43">
        <v>1344.0253906</v>
      </c>
      <c r="I43">
        <v>1314.2236327999999</v>
      </c>
      <c r="J43">
        <v>1306.3319091999999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0.53023900000000002</v>
      </c>
      <c r="B44" s="1">
        <f>DATE(2010,5,1) + TIME(12,43,32)</f>
        <v>40299.530231481483</v>
      </c>
      <c r="C44">
        <v>80</v>
      </c>
      <c r="D44">
        <v>47.271057128999999</v>
      </c>
      <c r="E44">
        <v>50</v>
      </c>
      <c r="F44">
        <v>14.995286942</v>
      </c>
      <c r="G44">
        <v>1348.7261963000001</v>
      </c>
      <c r="H44">
        <v>1344.0955810999999</v>
      </c>
      <c r="I44">
        <v>1314.1785889</v>
      </c>
      <c r="J44">
        <v>1306.2862548999999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0.55156799999999995</v>
      </c>
      <c r="B45" s="1">
        <f>DATE(2010,5,1) + TIME(13,14,15)</f>
        <v>40299.551562499997</v>
      </c>
      <c r="C45">
        <v>80</v>
      </c>
      <c r="D45">
        <v>48.247985839999998</v>
      </c>
      <c r="E45">
        <v>50</v>
      </c>
      <c r="F45">
        <v>14.995294571000001</v>
      </c>
      <c r="G45">
        <v>1348.7484131000001</v>
      </c>
      <c r="H45">
        <v>1344.1651611</v>
      </c>
      <c r="I45">
        <v>1314.1359863</v>
      </c>
      <c r="J45">
        <v>1306.2430420000001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0.57340000000000002</v>
      </c>
      <c r="B46" s="1">
        <f>DATE(2010,5,1) + TIME(13,45,41)</f>
        <v>40299.573391203703</v>
      </c>
      <c r="C46">
        <v>80</v>
      </c>
      <c r="D46">
        <v>49.224060059000003</v>
      </c>
      <c r="E46">
        <v>50</v>
      </c>
      <c r="F46">
        <v>14.995303154</v>
      </c>
      <c r="G46">
        <v>1348.7717285000001</v>
      </c>
      <c r="H46">
        <v>1344.2341309000001</v>
      </c>
      <c r="I46">
        <v>1314.0957031</v>
      </c>
      <c r="J46">
        <v>1306.2020264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0.59576799999999996</v>
      </c>
      <c r="B47" s="1">
        <f>DATE(2010,5,1) + TIME(14,17,54)</f>
        <v>40299.595763888887</v>
      </c>
      <c r="C47">
        <v>80</v>
      </c>
      <c r="D47">
        <v>50.199134827000002</v>
      </c>
      <c r="E47">
        <v>50</v>
      </c>
      <c r="F47">
        <v>14.995311737</v>
      </c>
      <c r="G47">
        <v>1348.7962646000001</v>
      </c>
      <c r="H47">
        <v>1344.3024902</v>
      </c>
      <c r="I47">
        <v>1314.0574951000001</v>
      </c>
      <c r="J47">
        <v>1306.1632079999999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0.61870800000000004</v>
      </c>
      <c r="B48" s="1">
        <f>DATE(2010,5,1) + TIME(14,50,56)</f>
        <v>40299.618703703702</v>
      </c>
      <c r="C48">
        <v>80</v>
      </c>
      <c r="D48">
        <v>51.172973632999998</v>
      </c>
      <c r="E48">
        <v>50</v>
      </c>
      <c r="F48">
        <v>14.995322227000001</v>
      </c>
      <c r="G48">
        <v>1348.8217772999999</v>
      </c>
      <c r="H48">
        <v>1344.3703613</v>
      </c>
      <c r="I48">
        <v>1314.0214844</v>
      </c>
      <c r="J48">
        <v>1306.1263428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0.64226300000000003</v>
      </c>
      <c r="B49" s="1">
        <f>DATE(2010,5,1) + TIME(15,24,51)</f>
        <v>40299.642256944448</v>
      </c>
      <c r="C49">
        <v>80</v>
      </c>
      <c r="D49">
        <v>52.146087645999998</v>
      </c>
      <c r="E49">
        <v>50</v>
      </c>
      <c r="F49">
        <v>14.995333671999999</v>
      </c>
      <c r="G49">
        <v>1348.8482666</v>
      </c>
      <c r="H49">
        <v>1344.4377440999999</v>
      </c>
      <c r="I49">
        <v>1313.9874268000001</v>
      </c>
      <c r="J49">
        <v>1306.0914307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0.66647000000000001</v>
      </c>
      <c r="B50" s="1">
        <f>DATE(2010,5,1) + TIME(15,59,42)</f>
        <v>40299.666458333333</v>
      </c>
      <c r="C50">
        <v>80</v>
      </c>
      <c r="D50">
        <v>53.118095398000001</v>
      </c>
      <c r="E50">
        <v>50</v>
      </c>
      <c r="F50">
        <v>14.995345115999999</v>
      </c>
      <c r="G50">
        <v>1348.8758545000001</v>
      </c>
      <c r="H50">
        <v>1344.5047606999999</v>
      </c>
      <c r="I50">
        <v>1313.9552002</v>
      </c>
      <c r="J50">
        <v>1306.0584716999999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0.69137300000000002</v>
      </c>
      <c r="B51" s="1">
        <f>DATE(2010,5,1) + TIME(16,35,34)</f>
        <v>40299.691365740742</v>
      </c>
      <c r="C51">
        <v>80</v>
      </c>
      <c r="D51">
        <v>54.088909149000003</v>
      </c>
      <c r="E51">
        <v>50</v>
      </c>
      <c r="F51">
        <v>14.995357513</v>
      </c>
      <c r="G51">
        <v>1348.9044189000001</v>
      </c>
      <c r="H51">
        <v>1344.5711670000001</v>
      </c>
      <c r="I51">
        <v>1313.9249268000001</v>
      </c>
      <c r="J51">
        <v>1306.0272216999999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0.71702600000000005</v>
      </c>
      <c r="B52" s="1">
        <f>DATE(2010,5,1) + TIME(17,12,31)</f>
        <v>40299.71702546296</v>
      </c>
      <c r="C52">
        <v>80</v>
      </c>
      <c r="D52">
        <v>55.058441162000001</v>
      </c>
      <c r="E52">
        <v>50</v>
      </c>
      <c r="F52">
        <v>14.995371819000001</v>
      </c>
      <c r="G52">
        <v>1348.9339600000001</v>
      </c>
      <c r="H52">
        <v>1344.6373291</v>
      </c>
      <c r="I52">
        <v>1313.8963623</v>
      </c>
      <c r="J52">
        <v>1305.9976807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0.74348400000000003</v>
      </c>
      <c r="B53" s="1">
        <f>DATE(2010,5,1) + TIME(17,50,37)</f>
        <v>40299.743483796294</v>
      </c>
      <c r="C53">
        <v>80</v>
      </c>
      <c r="D53">
        <v>56.026592254999997</v>
      </c>
      <c r="E53">
        <v>50</v>
      </c>
      <c r="F53">
        <v>14.995386123999999</v>
      </c>
      <c r="G53">
        <v>1348.9643555</v>
      </c>
      <c r="H53">
        <v>1344.7030029</v>
      </c>
      <c r="I53">
        <v>1313.8695068</v>
      </c>
      <c r="J53">
        <v>1305.9697266000001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0.77081299999999997</v>
      </c>
      <c r="B54" s="1">
        <f>DATE(2010,5,1) + TIME(18,29,58)</f>
        <v>40299.770810185182</v>
      </c>
      <c r="C54">
        <v>80</v>
      </c>
      <c r="D54">
        <v>56.993259430000002</v>
      </c>
      <c r="E54">
        <v>50</v>
      </c>
      <c r="F54">
        <v>14.995400429</v>
      </c>
      <c r="G54">
        <v>1348.9957274999999</v>
      </c>
      <c r="H54">
        <v>1344.7681885</v>
      </c>
      <c r="I54">
        <v>1313.8442382999999</v>
      </c>
      <c r="J54">
        <v>1305.9434814000001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0.79908400000000002</v>
      </c>
      <c r="B55" s="1">
        <f>DATE(2010,5,1) + TIME(19,10,40)</f>
        <v>40299.799074074072</v>
      </c>
      <c r="C55">
        <v>80</v>
      </c>
      <c r="D55">
        <v>57.958312988000003</v>
      </c>
      <c r="E55">
        <v>50</v>
      </c>
      <c r="F55">
        <v>14.995416641</v>
      </c>
      <c r="G55">
        <v>1349.0279541</v>
      </c>
      <c r="H55">
        <v>1344.8330077999999</v>
      </c>
      <c r="I55">
        <v>1313.8205565999999</v>
      </c>
      <c r="J55">
        <v>1305.9187012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0.82837899999999998</v>
      </c>
      <c r="B56" s="1">
        <f>DATE(2010,5,1) + TIME(19,52,51)</f>
        <v>40299.828368055554</v>
      </c>
      <c r="C56">
        <v>80</v>
      </c>
      <c r="D56">
        <v>58.921627045000001</v>
      </c>
      <c r="E56">
        <v>50</v>
      </c>
      <c r="F56">
        <v>14.995433807</v>
      </c>
      <c r="G56">
        <v>1349.0609131000001</v>
      </c>
      <c r="H56">
        <v>1344.8973389</v>
      </c>
      <c r="I56">
        <v>1313.7983397999999</v>
      </c>
      <c r="J56">
        <v>1305.8953856999999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0.85879000000000005</v>
      </c>
      <c r="B57" s="1">
        <f>DATE(2010,5,1) + TIME(20,36,39)</f>
        <v>40299.858784722222</v>
      </c>
      <c r="C57">
        <v>80</v>
      </c>
      <c r="D57">
        <v>59.883041382000002</v>
      </c>
      <c r="E57">
        <v>50</v>
      </c>
      <c r="F57">
        <v>14.995450974000001</v>
      </c>
      <c r="G57">
        <v>1349.0946045000001</v>
      </c>
      <c r="H57">
        <v>1344.9613036999999</v>
      </c>
      <c r="I57">
        <v>1313.7777100000001</v>
      </c>
      <c r="J57">
        <v>1305.8734131000001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0.89042100000000002</v>
      </c>
      <c r="B58" s="1">
        <f>DATE(2010,5,1) + TIME(21,22,12)</f>
        <v>40299.890416666669</v>
      </c>
      <c r="C58">
        <v>80</v>
      </c>
      <c r="D58">
        <v>60.841808319000002</v>
      </c>
      <c r="E58">
        <v>50</v>
      </c>
      <c r="F58">
        <v>14.995469093000001</v>
      </c>
      <c r="G58">
        <v>1349.1290283000001</v>
      </c>
      <c r="H58">
        <v>1345.0246582</v>
      </c>
      <c r="I58">
        <v>1313.7585449000001</v>
      </c>
      <c r="J58">
        <v>1305.8529053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0.92341300000000004</v>
      </c>
      <c r="B59" s="1">
        <f>DATE(2010,5,1) + TIME(22,9,42)</f>
        <v>40299.923402777778</v>
      </c>
      <c r="C59">
        <v>80</v>
      </c>
      <c r="D59">
        <v>61.798740387000002</v>
      </c>
      <c r="E59">
        <v>50</v>
      </c>
      <c r="F59">
        <v>14.995488167</v>
      </c>
      <c r="G59">
        <v>1349.1640625</v>
      </c>
      <c r="H59">
        <v>1345.0875243999999</v>
      </c>
      <c r="I59">
        <v>1313.7407227000001</v>
      </c>
      <c r="J59">
        <v>1305.8337402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0.95788899999999999</v>
      </c>
      <c r="B60" s="1">
        <f>DATE(2010,5,1) + TIME(22,59,21)</f>
        <v>40299.957881944443</v>
      </c>
      <c r="C60">
        <v>80</v>
      </c>
      <c r="D60">
        <v>62.753253936999997</v>
      </c>
      <c r="E60">
        <v>50</v>
      </c>
      <c r="F60">
        <v>14.995508193999999</v>
      </c>
      <c r="G60">
        <v>1349.199707</v>
      </c>
      <c r="H60">
        <v>1345.1499022999999</v>
      </c>
      <c r="I60">
        <v>1313.7242432</v>
      </c>
      <c r="J60">
        <v>1305.815918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0.994008</v>
      </c>
      <c r="B61" s="1">
        <f>DATE(2010,5,1) + TIME(23,51,22)</f>
        <v>40299.994004629632</v>
      </c>
      <c r="C61">
        <v>80</v>
      </c>
      <c r="D61">
        <v>63.705009459999999</v>
      </c>
      <c r="E61">
        <v>50</v>
      </c>
      <c r="F61">
        <v>14.995529175</v>
      </c>
      <c r="G61">
        <v>1349.2358397999999</v>
      </c>
      <c r="H61">
        <v>1345.2116699000001</v>
      </c>
      <c r="I61">
        <v>1313.7092285000001</v>
      </c>
      <c r="J61">
        <v>1305.7993164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1.0319579999999999</v>
      </c>
      <c r="B62" s="1">
        <f>DATE(2010,5,2) + TIME(0,46,1)</f>
        <v>40300.031956018516</v>
      </c>
      <c r="C62">
        <v>80</v>
      </c>
      <c r="D62">
        <v>64.653709411999998</v>
      </c>
      <c r="E62">
        <v>50</v>
      </c>
      <c r="F62">
        <v>14.995552063</v>
      </c>
      <c r="G62">
        <v>1349.2724608999999</v>
      </c>
      <c r="H62">
        <v>1345.2728271000001</v>
      </c>
      <c r="I62">
        <v>1313.6954346</v>
      </c>
      <c r="J62">
        <v>1305.7839355000001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1.0719609999999999</v>
      </c>
      <c r="B63" s="1">
        <f>DATE(2010,5,2) + TIME(1,43,37)</f>
        <v>40300.071956018517</v>
      </c>
      <c r="C63">
        <v>80</v>
      </c>
      <c r="D63">
        <v>65.599143982000001</v>
      </c>
      <c r="E63">
        <v>50</v>
      </c>
      <c r="F63">
        <v>14.995574951</v>
      </c>
      <c r="G63">
        <v>1349.3094481999999</v>
      </c>
      <c r="H63">
        <v>1345.3331298999999</v>
      </c>
      <c r="I63">
        <v>1313.6829834</v>
      </c>
      <c r="J63">
        <v>1305.7697754000001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1.1142719999999999</v>
      </c>
      <c r="B64" s="1">
        <f>DATE(2010,5,2) + TIME(2,44,33)</f>
        <v>40300.114270833335</v>
      </c>
      <c r="C64">
        <v>80</v>
      </c>
      <c r="D64">
        <v>66.540718079000001</v>
      </c>
      <c r="E64">
        <v>50</v>
      </c>
      <c r="F64">
        <v>14.995598792999999</v>
      </c>
      <c r="G64">
        <v>1349.3468018000001</v>
      </c>
      <c r="H64">
        <v>1345.3927002</v>
      </c>
      <c r="I64">
        <v>1313.671875</v>
      </c>
      <c r="J64">
        <v>1305.7568358999999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1.1364289999999999</v>
      </c>
      <c r="B65" s="1">
        <f>DATE(2010,5,2) + TIME(3,16,27)</f>
        <v>40300.136423611111</v>
      </c>
      <c r="C65">
        <v>80</v>
      </c>
      <c r="D65">
        <v>67.020919800000001</v>
      </c>
      <c r="E65">
        <v>50</v>
      </c>
      <c r="F65">
        <v>14.995611191</v>
      </c>
      <c r="G65">
        <v>1349.4069824000001</v>
      </c>
      <c r="H65">
        <v>1345.4411620999999</v>
      </c>
      <c r="I65">
        <v>1313.6665039</v>
      </c>
      <c r="J65">
        <v>1305.7506103999999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1.1585859999999999</v>
      </c>
      <c r="B66" s="1">
        <f>DATE(2010,5,2) + TIME(3,48,21)</f>
        <v>40300.158576388887</v>
      </c>
      <c r="C66">
        <v>80</v>
      </c>
      <c r="D66">
        <v>67.485290527000004</v>
      </c>
      <c r="E66">
        <v>50</v>
      </c>
      <c r="F66">
        <v>14.995624542</v>
      </c>
      <c r="G66">
        <v>1349.4257812000001</v>
      </c>
      <c r="H66">
        <v>1345.4729004000001</v>
      </c>
      <c r="I66">
        <v>1313.6616211</v>
      </c>
      <c r="J66">
        <v>1305.7448730000001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1.1807430000000001</v>
      </c>
      <c r="B67" s="1">
        <f>DATE(2010,5,2) + TIME(4,20,16)</f>
        <v>40300.18074074074</v>
      </c>
      <c r="C67">
        <v>80</v>
      </c>
      <c r="D67">
        <v>67.934494018999999</v>
      </c>
      <c r="E67">
        <v>50</v>
      </c>
      <c r="F67">
        <v>14.995636940000001</v>
      </c>
      <c r="G67">
        <v>1349.4450684000001</v>
      </c>
      <c r="H67">
        <v>1345.5025635</v>
      </c>
      <c r="I67">
        <v>1313.6572266000001</v>
      </c>
      <c r="J67">
        <v>1305.7395019999999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1.2029000000000001</v>
      </c>
      <c r="B68" s="1">
        <f>DATE(2010,5,2) + TIME(4,52,10)</f>
        <v>40300.202893518515</v>
      </c>
      <c r="C68">
        <v>80</v>
      </c>
      <c r="D68">
        <v>68.368995666999993</v>
      </c>
      <c r="E68">
        <v>50</v>
      </c>
      <c r="F68">
        <v>14.995649338</v>
      </c>
      <c r="G68">
        <v>1349.4638672000001</v>
      </c>
      <c r="H68">
        <v>1345.5307617000001</v>
      </c>
      <c r="I68">
        <v>1313.6531981999999</v>
      </c>
      <c r="J68">
        <v>1305.7346190999999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1.225058</v>
      </c>
      <c r="B69" s="1">
        <f>DATE(2010,5,2) + TIME(5,24,4)</f>
        <v>40300.225046296298</v>
      </c>
      <c r="C69">
        <v>80</v>
      </c>
      <c r="D69">
        <v>68.789184570000003</v>
      </c>
      <c r="E69">
        <v>50</v>
      </c>
      <c r="F69">
        <v>14.995661736000001</v>
      </c>
      <c r="G69">
        <v>1349.4821777</v>
      </c>
      <c r="H69">
        <v>1345.5577393000001</v>
      </c>
      <c r="I69">
        <v>1313.6496582</v>
      </c>
      <c r="J69">
        <v>1305.7301024999999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1.247215</v>
      </c>
      <c r="B70" s="1">
        <f>DATE(2010,5,2) + TIME(5,55,59)</f>
        <v>40300.247210648151</v>
      </c>
      <c r="C70">
        <v>80</v>
      </c>
      <c r="D70">
        <v>69.195465088000006</v>
      </c>
      <c r="E70">
        <v>50</v>
      </c>
      <c r="F70">
        <v>14.995674133</v>
      </c>
      <c r="G70">
        <v>1349.5</v>
      </c>
      <c r="H70">
        <v>1345.5836182</v>
      </c>
      <c r="I70">
        <v>1313.6463623</v>
      </c>
      <c r="J70">
        <v>1305.7259521000001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1.2693719999999999</v>
      </c>
      <c r="B71" s="1">
        <f>DATE(2010,5,2) + TIME(6,27,53)</f>
        <v>40300.269363425927</v>
      </c>
      <c r="C71">
        <v>80</v>
      </c>
      <c r="D71">
        <v>69.588211060000006</v>
      </c>
      <c r="E71">
        <v>50</v>
      </c>
      <c r="F71">
        <v>14.995685577</v>
      </c>
      <c r="G71">
        <v>1349.5172118999999</v>
      </c>
      <c r="H71">
        <v>1345.6082764</v>
      </c>
      <c r="I71">
        <v>1313.6434326000001</v>
      </c>
      <c r="J71">
        <v>1305.722168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1.2915289999999999</v>
      </c>
      <c r="B72" s="1">
        <f>DATE(2010,5,2) + TIME(6,59,48)</f>
        <v>40300.291527777779</v>
      </c>
      <c r="C72">
        <v>80</v>
      </c>
      <c r="D72">
        <v>69.967796325999998</v>
      </c>
      <c r="E72">
        <v>50</v>
      </c>
      <c r="F72">
        <v>14.995697975000001</v>
      </c>
      <c r="G72">
        <v>1349.5339355000001</v>
      </c>
      <c r="H72">
        <v>1345.6319579999999</v>
      </c>
      <c r="I72">
        <v>1313.6408690999999</v>
      </c>
      <c r="J72">
        <v>1305.7186279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1.3136859999999999</v>
      </c>
      <c r="B73" s="1">
        <f>DATE(2010,5,2) + TIME(7,31,42)</f>
        <v>40300.313680555555</v>
      </c>
      <c r="C73">
        <v>80</v>
      </c>
      <c r="D73">
        <v>70.334358214999995</v>
      </c>
      <c r="E73">
        <v>50</v>
      </c>
      <c r="F73">
        <v>14.995709419000001</v>
      </c>
      <c r="G73">
        <v>1349.5499268000001</v>
      </c>
      <c r="H73">
        <v>1345.6546631000001</v>
      </c>
      <c r="I73">
        <v>1313.6385498</v>
      </c>
      <c r="J73">
        <v>1305.7154541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1.335844</v>
      </c>
      <c r="B74" s="1">
        <f>DATE(2010,5,2) + TIME(8,3,36)</f>
        <v>40300.335833333331</v>
      </c>
      <c r="C74">
        <v>80</v>
      </c>
      <c r="D74">
        <v>70.688453674000002</v>
      </c>
      <c r="E74">
        <v>50</v>
      </c>
      <c r="F74">
        <v>14.995721817</v>
      </c>
      <c r="G74">
        <v>1349.5655518000001</v>
      </c>
      <c r="H74">
        <v>1345.6762695</v>
      </c>
      <c r="I74">
        <v>1313.6364745999999</v>
      </c>
      <c r="J74">
        <v>1305.7125243999999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1.358001</v>
      </c>
      <c r="B75" s="1">
        <f>DATE(2010,5,2) + TIME(8,35,31)</f>
        <v>40300.357997685183</v>
      </c>
      <c r="C75">
        <v>80</v>
      </c>
      <c r="D75">
        <v>71.030464171999995</v>
      </c>
      <c r="E75">
        <v>50</v>
      </c>
      <c r="F75">
        <v>14.995733261</v>
      </c>
      <c r="G75">
        <v>1349.5804443</v>
      </c>
      <c r="H75">
        <v>1345.6970214999999</v>
      </c>
      <c r="I75">
        <v>1313.6346435999999</v>
      </c>
      <c r="J75">
        <v>1305.7098389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1.380158</v>
      </c>
      <c r="B76" s="1">
        <f>DATE(2010,5,2) + TIME(9,7,25)</f>
        <v>40300.380150462966</v>
      </c>
      <c r="C76">
        <v>80</v>
      </c>
      <c r="D76">
        <v>71.360740661999998</v>
      </c>
      <c r="E76">
        <v>50</v>
      </c>
      <c r="F76">
        <v>14.995744705</v>
      </c>
      <c r="G76">
        <v>1349.5948486</v>
      </c>
      <c r="H76">
        <v>1345.7167969</v>
      </c>
      <c r="I76">
        <v>1313.6331786999999</v>
      </c>
      <c r="J76">
        <v>1305.7073975000001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1.402315</v>
      </c>
      <c r="B77" s="1">
        <f>DATE(2010,5,2) + TIME(9,39,20)</f>
        <v>40300.402314814812</v>
      </c>
      <c r="C77">
        <v>80</v>
      </c>
      <c r="D77">
        <v>71.679611206000004</v>
      </c>
      <c r="E77">
        <v>50</v>
      </c>
      <c r="F77">
        <v>14.995757103000001</v>
      </c>
      <c r="G77">
        <v>1349.6087646000001</v>
      </c>
      <c r="H77">
        <v>1345.7358397999999</v>
      </c>
      <c r="I77">
        <v>1313.6317139</v>
      </c>
      <c r="J77">
        <v>1305.7050781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1.424472</v>
      </c>
      <c r="B78" s="1">
        <f>DATE(2010,5,2) + TIME(10,11,14)</f>
        <v>40300.424467592595</v>
      </c>
      <c r="C78">
        <v>80</v>
      </c>
      <c r="D78">
        <v>71.987419127999999</v>
      </c>
      <c r="E78">
        <v>50</v>
      </c>
      <c r="F78">
        <v>14.995767593</v>
      </c>
      <c r="G78">
        <v>1349.6220702999999</v>
      </c>
      <c r="H78">
        <v>1345.7537841999999</v>
      </c>
      <c r="I78">
        <v>1313.6306152</v>
      </c>
      <c r="J78">
        <v>1305.703125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1.4466300000000001</v>
      </c>
      <c r="B79" s="1">
        <f>DATE(2010,5,2) + TIME(10,43,8)</f>
        <v>40300.446620370371</v>
      </c>
      <c r="C79">
        <v>80</v>
      </c>
      <c r="D79">
        <v>72.284500121999997</v>
      </c>
      <c r="E79">
        <v>50</v>
      </c>
      <c r="F79">
        <v>14.995779037</v>
      </c>
      <c r="G79">
        <v>1349.6347656</v>
      </c>
      <c r="H79">
        <v>1345.7711182</v>
      </c>
      <c r="I79">
        <v>1313.6296387</v>
      </c>
      <c r="J79">
        <v>1305.7012939000001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1.4687870000000001</v>
      </c>
      <c r="B80" s="1">
        <f>DATE(2010,5,2) + TIME(11,15,3)</f>
        <v>40300.468784722223</v>
      </c>
      <c r="C80">
        <v>80</v>
      </c>
      <c r="D80">
        <v>72.571166992000002</v>
      </c>
      <c r="E80">
        <v>50</v>
      </c>
      <c r="F80">
        <v>14.995790482</v>
      </c>
      <c r="G80">
        <v>1349.6470947</v>
      </c>
      <c r="H80">
        <v>1345.7874756000001</v>
      </c>
      <c r="I80">
        <v>1313.6287841999999</v>
      </c>
      <c r="J80">
        <v>1305.6995850000001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1.490944</v>
      </c>
      <c r="B81" s="1">
        <f>DATE(2010,5,2) + TIME(11,46,57)</f>
        <v>40300.490937499999</v>
      </c>
      <c r="C81">
        <v>80</v>
      </c>
      <c r="D81">
        <v>72.847740173000005</v>
      </c>
      <c r="E81">
        <v>50</v>
      </c>
      <c r="F81">
        <v>14.995801926</v>
      </c>
      <c r="G81">
        <v>1349.6588135</v>
      </c>
      <c r="H81">
        <v>1345.8031006000001</v>
      </c>
      <c r="I81">
        <v>1313.6280518000001</v>
      </c>
      <c r="J81">
        <v>1305.6981201000001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1.535258</v>
      </c>
      <c r="B82" s="1">
        <f>DATE(2010,5,2) + TIME(12,50,46)</f>
        <v>40300.535254629627</v>
      </c>
      <c r="C82">
        <v>80</v>
      </c>
      <c r="D82">
        <v>73.361122131000002</v>
      </c>
      <c r="E82">
        <v>50</v>
      </c>
      <c r="F82">
        <v>14.995822906000001</v>
      </c>
      <c r="G82">
        <v>1349.6571045000001</v>
      </c>
      <c r="H82">
        <v>1345.8223877</v>
      </c>
      <c r="I82">
        <v>1313.6271973</v>
      </c>
      <c r="J82">
        <v>1305.6956786999999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1.57972</v>
      </c>
      <c r="B83" s="1">
        <f>DATE(2010,5,2) + TIME(13,54,47)</f>
        <v>40300.579710648148</v>
      </c>
      <c r="C83">
        <v>80</v>
      </c>
      <c r="D83">
        <v>73.840995789000004</v>
      </c>
      <c r="E83">
        <v>50</v>
      </c>
      <c r="F83">
        <v>14.995843886999999</v>
      </c>
      <c r="G83">
        <v>1349.6788329999999</v>
      </c>
      <c r="H83">
        <v>1345.8474120999999</v>
      </c>
      <c r="I83">
        <v>1313.6268310999999</v>
      </c>
      <c r="J83">
        <v>1305.6937256000001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1.624595</v>
      </c>
      <c r="B84" s="1">
        <f>DATE(2010,5,2) + TIME(14,59,24)</f>
        <v>40300.624583333331</v>
      </c>
      <c r="C84">
        <v>80</v>
      </c>
      <c r="D84">
        <v>74.291465759000005</v>
      </c>
      <c r="E84">
        <v>50</v>
      </c>
      <c r="F84">
        <v>14.995864868</v>
      </c>
      <c r="G84">
        <v>1349.697876</v>
      </c>
      <c r="H84">
        <v>1345.8706055</v>
      </c>
      <c r="I84">
        <v>1313.6268310999999</v>
      </c>
      <c r="J84">
        <v>1305.6921387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1.6699649999999999</v>
      </c>
      <c r="B85" s="1">
        <f>DATE(2010,5,2) + TIME(16,4,45)</f>
        <v>40300.669965277775</v>
      </c>
      <c r="C85">
        <v>80</v>
      </c>
      <c r="D85">
        <v>74.714439392000003</v>
      </c>
      <c r="E85">
        <v>50</v>
      </c>
      <c r="F85">
        <v>14.995885849</v>
      </c>
      <c r="G85">
        <v>1349.7150879000001</v>
      </c>
      <c r="H85">
        <v>1345.8914795000001</v>
      </c>
      <c r="I85">
        <v>1313.6270752</v>
      </c>
      <c r="J85">
        <v>1305.6910399999999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1.715902</v>
      </c>
      <c r="B86" s="1">
        <f>DATE(2010,5,2) + TIME(17,10,53)</f>
        <v>40300.715891203705</v>
      </c>
      <c r="C86">
        <v>80</v>
      </c>
      <c r="D86">
        <v>75.111495972</v>
      </c>
      <c r="E86">
        <v>50</v>
      </c>
      <c r="F86">
        <v>14.995905876</v>
      </c>
      <c r="G86">
        <v>1349.7307129000001</v>
      </c>
      <c r="H86">
        <v>1345.9104004000001</v>
      </c>
      <c r="I86">
        <v>1313.6275635</v>
      </c>
      <c r="J86">
        <v>1305.6901855000001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1.7624740000000001</v>
      </c>
      <c r="B87" s="1">
        <f>DATE(2010,5,2) + TIME(18,17,57)</f>
        <v>40300.762465277781</v>
      </c>
      <c r="C87">
        <v>80</v>
      </c>
      <c r="D87">
        <v>75.484001160000005</v>
      </c>
      <c r="E87">
        <v>50</v>
      </c>
      <c r="F87">
        <v>14.995925903</v>
      </c>
      <c r="G87">
        <v>1349.7446289</v>
      </c>
      <c r="H87">
        <v>1345.927124</v>
      </c>
      <c r="I87">
        <v>1313.628418</v>
      </c>
      <c r="J87">
        <v>1305.6895752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1.8097540000000001</v>
      </c>
      <c r="B88" s="1">
        <f>DATE(2010,5,2) + TIME(19,26,2)</f>
        <v>40300.809745370374</v>
      </c>
      <c r="C88">
        <v>80</v>
      </c>
      <c r="D88">
        <v>75.833534240999995</v>
      </c>
      <c r="E88">
        <v>50</v>
      </c>
      <c r="F88">
        <v>14.99594593</v>
      </c>
      <c r="G88">
        <v>1349.7570800999999</v>
      </c>
      <c r="H88">
        <v>1345.9417725000001</v>
      </c>
      <c r="I88">
        <v>1313.6293945</v>
      </c>
      <c r="J88">
        <v>1305.6892089999999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1.8578159999999999</v>
      </c>
      <c r="B89" s="1">
        <f>DATE(2010,5,2) + TIME(20,35,15)</f>
        <v>40300.857812499999</v>
      </c>
      <c r="C89">
        <v>80</v>
      </c>
      <c r="D89">
        <v>76.161361693999993</v>
      </c>
      <c r="E89">
        <v>50</v>
      </c>
      <c r="F89">
        <v>14.995965957999999</v>
      </c>
      <c r="G89">
        <v>1349.7680664</v>
      </c>
      <c r="H89">
        <v>1345.9545897999999</v>
      </c>
      <c r="I89">
        <v>1313.6306152</v>
      </c>
      <c r="J89">
        <v>1305.6890868999999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1.906739</v>
      </c>
      <c r="B90" s="1">
        <f>DATE(2010,5,2) + TIME(21,45,42)</f>
        <v>40300.906736111108</v>
      </c>
      <c r="C90">
        <v>80</v>
      </c>
      <c r="D90">
        <v>76.468666076999995</v>
      </c>
      <c r="E90">
        <v>50</v>
      </c>
      <c r="F90">
        <v>14.995985031</v>
      </c>
      <c r="G90">
        <v>1349.7775879000001</v>
      </c>
      <c r="H90">
        <v>1345.965332</v>
      </c>
      <c r="I90">
        <v>1313.6319579999999</v>
      </c>
      <c r="J90">
        <v>1305.6890868999999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1.956604</v>
      </c>
      <c r="B91" s="1">
        <f>DATE(2010,5,2) + TIME(22,57,30)</f>
        <v>40300.956597222219</v>
      </c>
      <c r="C91">
        <v>80</v>
      </c>
      <c r="D91">
        <v>76.756538391000007</v>
      </c>
      <c r="E91">
        <v>50</v>
      </c>
      <c r="F91">
        <v>14.996005058</v>
      </c>
      <c r="G91">
        <v>1349.7856445</v>
      </c>
      <c r="H91">
        <v>1345.9743652</v>
      </c>
      <c r="I91">
        <v>1313.6334228999999</v>
      </c>
      <c r="J91">
        <v>1305.6893310999999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2.0074999999999998</v>
      </c>
      <c r="B92" s="1">
        <f>DATE(2010,5,3) + TIME(0,10,48)</f>
        <v>40301.0075</v>
      </c>
      <c r="C92">
        <v>80</v>
      </c>
      <c r="D92">
        <v>77.026008606000005</v>
      </c>
      <c r="E92">
        <v>50</v>
      </c>
      <c r="F92">
        <v>14.996024132000001</v>
      </c>
      <c r="G92">
        <v>1349.7923584</v>
      </c>
      <c r="H92">
        <v>1345.9814452999999</v>
      </c>
      <c r="I92">
        <v>1313.6350098</v>
      </c>
      <c r="J92">
        <v>1305.6896973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2.059523</v>
      </c>
      <c r="B93" s="1">
        <f>DATE(2010,5,3) + TIME(1,25,42)</f>
        <v>40301.059513888889</v>
      </c>
      <c r="C93">
        <v>80</v>
      </c>
      <c r="D93">
        <v>77.278030396000005</v>
      </c>
      <c r="E93">
        <v>50</v>
      </c>
      <c r="F93">
        <v>14.996043204999999</v>
      </c>
      <c r="G93">
        <v>1349.7976074000001</v>
      </c>
      <c r="H93">
        <v>1345.9869385</v>
      </c>
      <c r="I93">
        <v>1313.6367187999999</v>
      </c>
      <c r="J93">
        <v>1305.6901855000001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2.1127910000000001</v>
      </c>
      <c r="B94" s="1">
        <f>DATE(2010,5,3) + TIME(2,42,25)</f>
        <v>40301.11278935185</v>
      </c>
      <c r="C94">
        <v>80</v>
      </c>
      <c r="D94">
        <v>77.513580321999996</v>
      </c>
      <c r="E94">
        <v>50</v>
      </c>
      <c r="F94">
        <v>14.996063231999999</v>
      </c>
      <c r="G94">
        <v>1349.8015137</v>
      </c>
      <c r="H94">
        <v>1345.9906006000001</v>
      </c>
      <c r="I94">
        <v>1313.6385498</v>
      </c>
      <c r="J94">
        <v>1305.6907959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2.1673960000000001</v>
      </c>
      <c r="B95" s="1">
        <f>DATE(2010,5,3) + TIME(4,1,2)</f>
        <v>40301.167384259257</v>
      </c>
      <c r="C95">
        <v>80</v>
      </c>
      <c r="D95">
        <v>77.733398437999995</v>
      </c>
      <c r="E95">
        <v>50</v>
      </c>
      <c r="F95">
        <v>14.996082306</v>
      </c>
      <c r="G95">
        <v>1349.8039550999999</v>
      </c>
      <c r="H95">
        <v>1345.9925536999999</v>
      </c>
      <c r="I95">
        <v>1313.6403809000001</v>
      </c>
      <c r="J95">
        <v>1305.6914062000001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2.223455</v>
      </c>
      <c r="B96" s="1">
        <f>DATE(2010,5,3) + TIME(5,21,46)</f>
        <v>40301.223449074074</v>
      </c>
      <c r="C96">
        <v>80</v>
      </c>
      <c r="D96">
        <v>77.938278198000006</v>
      </c>
      <c r="E96">
        <v>50</v>
      </c>
      <c r="F96">
        <v>14.996101379000001</v>
      </c>
      <c r="G96">
        <v>1349.8050536999999</v>
      </c>
      <c r="H96">
        <v>1345.9927978999999</v>
      </c>
      <c r="I96">
        <v>1313.6422118999999</v>
      </c>
      <c r="J96">
        <v>1305.6921387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2.2810990000000002</v>
      </c>
      <c r="B97" s="1">
        <f>DATE(2010,5,3) + TIME(6,44,46)</f>
        <v>40301.281087962961</v>
      </c>
      <c r="C97">
        <v>80</v>
      </c>
      <c r="D97">
        <v>78.128967285000002</v>
      </c>
      <c r="E97">
        <v>50</v>
      </c>
      <c r="F97">
        <v>14.996120453</v>
      </c>
      <c r="G97">
        <v>1349.8048096</v>
      </c>
      <c r="H97">
        <v>1345.9914550999999</v>
      </c>
      <c r="I97">
        <v>1313.6441649999999</v>
      </c>
      <c r="J97">
        <v>1305.6929932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2.340471</v>
      </c>
      <c r="B98" s="1">
        <f>DATE(2010,5,3) + TIME(8,10,16)</f>
        <v>40301.340462962966</v>
      </c>
      <c r="C98">
        <v>80</v>
      </c>
      <c r="D98">
        <v>78.306167603000006</v>
      </c>
      <c r="E98">
        <v>50</v>
      </c>
      <c r="F98">
        <v>14.996139526</v>
      </c>
      <c r="G98">
        <v>1349.8032227000001</v>
      </c>
      <c r="H98">
        <v>1345.9884033000001</v>
      </c>
      <c r="I98">
        <v>1313.6461182</v>
      </c>
      <c r="J98">
        <v>1305.6938477000001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2.4017270000000002</v>
      </c>
      <c r="B99" s="1">
        <f>DATE(2010,5,3) + TIME(9,38,29)</f>
        <v>40301.401724537034</v>
      </c>
      <c r="C99">
        <v>80</v>
      </c>
      <c r="D99">
        <v>78.470542907999999</v>
      </c>
      <c r="E99">
        <v>50</v>
      </c>
      <c r="F99">
        <v>14.996159554</v>
      </c>
      <c r="G99">
        <v>1349.800293</v>
      </c>
      <c r="H99">
        <v>1345.9837646000001</v>
      </c>
      <c r="I99">
        <v>1313.6480713000001</v>
      </c>
      <c r="J99">
        <v>1305.6947021000001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2.465042</v>
      </c>
      <c r="B100" s="1">
        <f>DATE(2010,5,3) + TIME(11,9,39)</f>
        <v>40301.46503472222</v>
      </c>
      <c r="C100">
        <v>80</v>
      </c>
      <c r="D100">
        <v>78.622741699000002</v>
      </c>
      <c r="E100">
        <v>50</v>
      </c>
      <c r="F100">
        <v>14.996178627000001</v>
      </c>
      <c r="G100">
        <v>1349.7958983999999</v>
      </c>
      <c r="H100">
        <v>1345.9775391000001</v>
      </c>
      <c r="I100">
        <v>1313.6501464999999</v>
      </c>
      <c r="J100">
        <v>1305.6956786999999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2.5305029999999999</v>
      </c>
      <c r="B101" s="1">
        <f>DATE(2010,5,3) + TIME(12,43,55)</f>
        <v>40301.530497685184</v>
      </c>
      <c r="C101">
        <v>80</v>
      </c>
      <c r="D101">
        <v>78.763153075999995</v>
      </c>
      <c r="E101">
        <v>50</v>
      </c>
      <c r="F101">
        <v>14.996197701</v>
      </c>
      <c r="G101">
        <v>1349.7901611</v>
      </c>
      <c r="H101">
        <v>1345.9696045000001</v>
      </c>
      <c r="I101">
        <v>1313.6520995999999</v>
      </c>
      <c r="J101">
        <v>1305.6965332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2.5979139999999998</v>
      </c>
      <c r="B102" s="1">
        <f>DATE(2010,5,3) + TIME(14,20,59)</f>
        <v>40301.597905092596</v>
      </c>
      <c r="C102">
        <v>80</v>
      </c>
      <c r="D102">
        <v>78.891738892000006</v>
      </c>
      <c r="E102">
        <v>50</v>
      </c>
      <c r="F102">
        <v>14.996217728</v>
      </c>
      <c r="G102">
        <v>1349.7830810999999</v>
      </c>
      <c r="H102">
        <v>1345.9600829999999</v>
      </c>
      <c r="I102">
        <v>1313.6540527</v>
      </c>
      <c r="J102">
        <v>1305.6975098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2.6674630000000001</v>
      </c>
      <c r="B103" s="1">
        <f>DATE(2010,5,3) + TIME(16,1,8)</f>
        <v>40301.667453703703</v>
      </c>
      <c r="C103">
        <v>80</v>
      </c>
      <c r="D103">
        <v>79.009246825999995</v>
      </c>
      <c r="E103">
        <v>50</v>
      </c>
      <c r="F103">
        <v>14.996236801</v>
      </c>
      <c r="G103">
        <v>1349.7745361</v>
      </c>
      <c r="H103">
        <v>1345.9490966999999</v>
      </c>
      <c r="I103">
        <v>1313.6560059000001</v>
      </c>
      <c r="J103">
        <v>1305.6984863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2.7393420000000002</v>
      </c>
      <c r="B104" s="1">
        <f>DATE(2010,5,3) + TIME(17,44,39)</f>
        <v>40301.739340277774</v>
      </c>
      <c r="C104">
        <v>80</v>
      </c>
      <c r="D104">
        <v>79.116401671999995</v>
      </c>
      <c r="E104">
        <v>50</v>
      </c>
      <c r="F104">
        <v>14.996256828</v>
      </c>
      <c r="G104">
        <v>1349.7646483999999</v>
      </c>
      <c r="H104">
        <v>1345.9364014</v>
      </c>
      <c r="I104">
        <v>1313.6578368999999</v>
      </c>
      <c r="J104">
        <v>1305.6994629000001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2.8137699999999999</v>
      </c>
      <c r="B105" s="1">
        <f>DATE(2010,5,3) + TIME(19,31,49)</f>
        <v>40301.813761574071</v>
      </c>
      <c r="C105">
        <v>80</v>
      </c>
      <c r="D105">
        <v>79.213859557999996</v>
      </c>
      <c r="E105">
        <v>50</v>
      </c>
      <c r="F105">
        <v>14.996275902000001</v>
      </c>
      <c r="G105">
        <v>1349.753418</v>
      </c>
      <c r="H105">
        <v>1345.9222411999999</v>
      </c>
      <c r="I105">
        <v>1313.6597899999999</v>
      </c>
      <c r="J105">
        <v>1305.7004394999999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2.8909859999999998</v>
      </c>
      <c r="B106" s="1">
        <f>DATE(2010,5,3) + TIME(21,23,1)</f>
        <v>40301.890983796293</v>
      </c>
      <c r="C106">
        <v>80</v>
      </c>
      <c r="D106">
        <v>79.302253723000007</v>
      </c>
      <c r="E106">
        <v>50</v>
      </c>
      <c r="F106">
        <v>14.996295929</v>
      </c>
      <c r="G106">
        <v>1349.7407227000001</v>
      </c>
      <c r="H106">
        <v>1345.9066161999999</v>
      </c>
      <c r="I106">
        <v>1313.6616211</v>
      </c>
      <c r="J106">
        <v>1305.7014160000001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2.970828</v>
      </c>
      <c r="B107" s="1">
        <f>DATE(2010,5,3) + TIME(23,17,59)</f>
        <v>40301.970821759256</v>
      </c>
      <c r="C107">
        <v>80</v>
      </c>
      <c r="D107">
        <v>79.381805420000006</v>
      </c>
      <c r="E107">
        <v>50</v>
      </c>
      <c r="F107">
        <v>14.996315956</v>
      </c>
      <c r="G107">
        <v>1349.7268065999999</v>
      </c>
      <c r="H107">
        <v>1345.8892822</v>
      </c>
      <c r="I107">
        <v>1313.6634521000001</v>
      </c>
      <c r="J107">
        <v>1305.7022704999999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3.0535199999999998</v>
      </c>
      <c r="B108" s="1">
        <f>DATE(2010,5,4) + TIME(1,17,4)</f>
        <v>40302.053518518522</v>
      </c>
      <c r="C108">
        <v>80</v>
      </c>
      <c r="D108">
        <v>79.453178406000006</v>
      </c>
      <c r="E108">
        <v>50</v>
      </c>
      <c r="F108">
        <v>14.996335983</v>
      </c>
      <c r="G108">
        <v>1349.7114257999999</v>
      </c>
      <c r="H108">
        <v>1345.8706055</v>
      </c>
      <c r="I108">
        <v>1313.6651611</v>
      </c>
      <c r="J108">
        <v>1305.7032471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3.1381809999999999</v>
      </c>
      <c r="B109" s="1">
        <f>DATE(2010,5,4) + TIME(3,18,58)</f>
        <v>40302.138171296298</v>
      </c>
      <c r="C109">
        <v>80</v>
      </c>
      <c r="D109">
        <v>79.516281128000003</v>
      </c>
      <c r="E109">
        <v>50</v>
      </c>
      <c r="F109">
        <v>14.996355057000001</v>
      </c>
      <c r="G109">
        <v>1349.6948242000001</v>
      </c>
      <c r="H109">
        <v>1345.8504639</v>
      </c>
      <c r="I109">
        <v>1313.6668701000001</v>
      </c>
      <c r="J109">
        <v>1305.7041016000001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3.222906</v>
      </c>
      <c r="B110" s="1">
        <f>DATE(2010,5,4) + TIME(5,20,59)</f>
        <v>40302.222905092596</v>
      </c>
      <c r="C110">
        <v>80</v>
      </c>
      <c r="D110">
        <v>79.570800781000003</v>
      </c>
      <c r="E110">
        <v>50</v>
      </c>
      <c r="F110">
        <v>14.996375084</v>
      </c>
      <c r="G110">
        <v>1349.6772461</v>
      </c>
      <c r="H110">
        <v>1345.8292236</v>
      </c>
      <c r="I110">
        <v>1313.668457</v>
      </c>
      <c r="J110">
        <v>1305.7049560999999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3.3078609999999999</v>
      </c>
      <c r="B111" s="1">
        <f>DATE(2010,5,4) + TIME(7,23,19)</f>
        <v>40302.307858796295</v>
      </c>
      <c r="C111">
        <v>80</v>
      </c>
      <c r="D111">
        <v>79.617988585999996</v>
      </c>
      <c r="E111">
        <v>50</v>
      </c>
      <c r="F111">
        <v>14.996393204</v>
      </c>
      <c r="G111">
        <v>1349.6590576000001</v>
      </c>
      <c r="H111">
        <v>1345.8074951000001</v>
      </c>
      <c r="I111">
        <v>1313.6700439000001</v>
      </c>
      <c r="J111">
        <v>1305.7056885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3.3932030000000002</v>
      </c>
      <c r="B112" s="1">
        <f>DATE(2010,5,4) + TIME(9,26,12)</f>
        <v>40302.393194444441</v>
      </c>
      <c r="C112">
        <v>80</v>
      </c>
      <c r="D112">
        <v>79.658882141000007</v>
      </c>
      <c r="E112">
        <v>50</v>
      </c>
      <c r="F112">
        <v>14.996412276999999</v>
      </c>
      <c r="G112">
        <v>1349.6401367000001</v>
      </c>
      <c r="H112">
        <v>1345.7851562000001</v>
      </c>
      <c r="I112">
        <v>1313.6713867000001</v>
      </c>
      <c r="J112">
        <v>1305.7064209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3.4790839999999998</v>
      </c>
      <c r="B113" s="1">
        <f>DATE(2010,5,4) + TIME(11,29,52)</f>
        <v>40302.479074074072</v>
      </c>
      <c r="C113">
        <v>80</v>
      </c>
      <c r="D113">
        <v>79.694351196</v>
      </c>
      <c r="E113">
        <v>50</v>
      </c>
      <c r="F113">
        <v>14.996430396999999</v>
      </c>
      <c r="G113">
        <v>1349.6208495999999</v>
      </c>
      <c r="H113">
        <v>1345.7624512</v>
      </c>
      <c r="I113">
        <v>1313.6727295000001</v>
      </c>
      <c r="J113">
        <v>1305.7071533000001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3.5656469999999998</v>
      </c>
      <c r="B114" s="1">
        <f>DATE(2010,5,4) + TIME(13,34,31)</f>
        <v>40302.565636574072</v>
      </c>
      <c r="C114">
        <v>80</v>
      </c>
      <c r="D114">
        <v>79.725143433</v>
      </c>
      <c r="E114">
        <v>50</v>
      </c>
      <c r="F114">
        <v>14.996447563</v>
      </c>
      <c r="G114">
        <v>1349.6009521000001</v>
      </c>
      <c r="H114">
        <v>1345.7393798999999</v>
      </c>
      <c r="I114">
        <v>1313.6740723</v>
      </c>
      <c r="J114">
        <v>1305.7078856999999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3.6528830000000001</v>
      </c>
      <c r="B115" s="1">
        <f>DATE(2010,5,4) + TIME(15,40,9)</f>
        <v>40302.652881944443</v>
      </c>
      <c r="C115">
        <v>80</v>
      </c>
      <c r="D115">
        <v>79.751853943</v>
      </c>
      <c r="E115">
        <v>50</v>
      </c>
      <c r="F115">
        <v>14.996464728999999</v>
      </c>
      <c r="G115">
        <v>1349.5806885</v>
      </c>
      <c r="H115">
        <v>1345.7158202999999</v>
      </c>
      <c r="I115">
        <v>1313.675293</v>
      </c>
      <c r="J115">
        <v>1305.7084961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3.7407379999999999</v>
      </c>
      <c r="B116" s="1">
        <f>DATE(2010,5,4) + TIME(17,46,39)</f>
        <v>40302.740729166668</v>
      </c>
      <c r="C116">
        <v>80</v>
      </c>
      <c r="D116">
        <v>79.774986267000003</v>
      </c>
      <c r="E116">
        <v>50</v>
      </c>
      <c r="F116">
        <v>14.996481895000001</v>
      </c>
      <c r="G116">
        <v>1349.5600586</v>
      </c>
      <c r="H116">
        <v>1345.6920166</v>
      </c>
      <c r="I116">
        <v>1313.6763916</v>
      </c>
      <c r="J116">
        <v>1305.7091064000001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3.8293469999999998</v>
      </c>
      <c r="B117" s="1">
        <f>DATE(2010,5,4) + TIME(19,54,15)</f>
        <v>40302.829340277778</v>
      </c>
      <c r="C117">
        <v>80</v>
      </c>
      <c r="D117">
        <v>79.795036315999994</v>
      </c>
      <c r="E117">
        <v>50</v>
      </c>
      <c r="F117">
        <v>14.996499062</v>
      </c>
      <c r="G117">
        <v>1349.5390625</v>
      </c>
      <c r="H117">
        <v>1345.6679687999999</v>
      </c>
      <c r="I117">
        <v>1313.6776123</v>
      </c>
      <c r="J117">
        <v>1305.7097168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3.9188339999999999</v>
      </c>
      <c r="B118" s="1">
        <f>DATE(2010,5,4) + TIME(22,3,7)</f>
        <v>40302.91883101852</v>
      </c>
      <c r="C118">
        <v>80</v>
      </c>
      <c r="D118">
        <v>79.812423706000004</v>
      </c>
      <c r="E118">
        <v>50</v>
      </c>
      <c r="F118">
        <v>14.996516228000001</v>
      </c>
      <c r="G118">
        <v>1349.5178223</v>
      </c>
      <c r="H118">
        <v>1345.6437988</v>
      </c>
      <c r="I118">
        <v>1313.6785889</v>
      </c>
      <c r="J118">
        <v>1305.7102050999999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4.009328</v>
      </c>
      <c r="B119" s="1">
        <f>DATE(2010,5,5) + TIME(0,13,25)</f>
        <v>40303.009317129632</v>
      </c>
      <c r="C119">
        <v>80</v>
      </c>
      <c r="D119">
        <v>79.827507018999995</v>
      </c>
      <c r="E119">
        <v>50</v>
      </c>
      <c r="F119">
        <v>14.996532439999999</v>
      </c>
      <c r="G119">
        <v>1349.4963379000001</v>
      </c>
      <c r="H119">
        <v>1345.6192627</v>
      </c>
      <c r="I119">
        <v>1313.6796875</v>
      </c>
      <c r="J119">
        <v>1305.7106934000001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4.1009599999999997</v>
      </c>
      <c r="B120" s="1">
        <f>DATE(2010,5,5) + TIME(2,25,22)</f>
        <v>40303.100949074076</v>
      </c>
      <c r="C120">
        <v>80</v>
      </c>
      <c r="D120">
        <v>79.840591431000007</v>
      </c>
      <c r="E120">
        <v>50</v>
      </c>
      <c r="F120">
        <v>14.996548653</v>
      </c>
      <c r="G120">
        <v>1349.4744873</v>
      </c>
      <c r="H120">
        <v>1345.5947266000001</v>
      </c>
      <c r="I120">
        <v>1313.6805420000001</v>
      </c>
      <c r="J120">
        <v>1305.7111815999999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4.1938630000000003</v>
      </c>
      <c r="B121" s="1">
        <f>DATE(2010,5,5) + TIME(4,39,9)</f>
        <v>40303.193854166668</v>
      </c>
      <c r="C121">
        <v>80</v>
      </c>
      <c r="D121">
        <v>79.851951599000003</v>
      </c>
      <c r="E121">
        <v>50</v>
      </c>
      <c r="F121">
        <v>14.996564865</v>
      </c>
      <c r="G121">
        <v>1349.4525146000001</v>
      </c>
      <c r="H121">
        <v>1345.5698242000001</v>
      </c>
      <c r="I121">
        <v>1313.6815185999999</v>
      </c>
      <c r="J121">
        <v>1305.7116699000001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4.2881770000000001</v>
      </c>
      <c r="B122" s="1">
        <f>DATE(2010,5,5) + TIME(6,54,58)</f>
        <v>40303.288171296299</v>
      </c>
      <c r="C122">
        <v>80</v>
      </c>
      <c r="D122">
        <v>79.861808776999993</v>
      </c>
      <c r="E122">
        <v>50</v>
      </c>
      <c r="F122">
        <v>14.996581078</v>
      </c>
      <c r="G122">
        <v>1349.4301757999999</v>
      </c>
      <c r="H122">
        <v>1345.5447998</v>
      </c>
      <c r="I122">
        <v>1313.6824951000001</v>
      </c>
      <c r="J122">
        <v>1305.7121582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4.3840490000000001</v>
      </c>
      <c r="B123" s="1">
        <f>DATE(2010,5,5) + TIME(9,13,1)</f>
        <v>40303.384039351855</v>
      </c>
      <c r="C123">
        <v>80</v>
      </c>
      <c r="D123">
        <v>79.870361328000001</v>
      </c>
      <c r="E123">
        <v>50</v>
      </c>
      <c r="F123">
        <v>14.99659729</v>
      </c>
      <c r="G123">
        <v>1349.4075928</v>
      </c>
      <c r="H123">
        <v>1345.5196533000001</v>
      </c>
      <c r="I123">
        <v>1313.6833495999999</v>
      </c>
      <c r="J123">
        <v>1305.7126464999999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4.4816339999999997</v>
      </c>
      <c r="B124" s="1">
        <f>DATE(2010,5,5) + TIME(11,33,33)</f>
        <v>40303.481631944444</v>
      </c>
      <c r="C124">
        <v>80</v>
      </c>
      <c r="D124">
        <v>79.877784728999998</v>
      </c>
      <c r="E124">
        <v>50</v>
      </c>
      <c r="F124">
        <v>14.996613503000001</v>
      </c>
      <c r="G124">
        <v>1349.3848877</v>
      </c>
      <c r="H124">
        <v>1345.4942627</v>
      </c>
      <c r="I124">
        <v>1313.6842041</v>
      </c>
      <c r="J124">
        <v>1305.7130127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4.5811130000000002</v>
      </c>
      <c r="B125" s="1">
        <f>DATE(2010,5,5) + TIME(13,56,48)</f>
        <v>40303.581111111111</v>
      </c>
      <c r="C125">
        <v>80</v>
      </c>
      <c r="D125">
        <v>79.884231567</v>
      </c>
      <c r="E125">
        <v>50</v>
      </c>
      <c r="F125">
        <v>14.996628761</v>
      </c>
      <c r="G125">
        <v>1349.3618164</v>
      </c>
      <c r="H125">
        <v>1345.4686279</v>
      </c>
      <c r="I125">
        <v>1313.6849365</v>
      </c>
      <c r="J125">
        <v>1305.713501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4.682677</v>
      </c>
      <c r="B126" s="1">
        <f>DATE(2010,5,5) + TIME(16,23,3)</f>
        <v>40303.682673611111</v>
      </c>
      <c r="C126">
        <v>80</v>
      </c>
      <c r="D126">
        <v>79.889823914000004</v>
      </c>
      <c r="E126">
        <v>50</v>
      </c>
      <c r="F126">
        <v>14.996644974000001</v>
      </c>
      <c r="G126">
        <v>1349.338501</v>
      </c>
      <c r="H126">
        <v>1345.442749</v>
      </c>
      <c r="I126">
        <v>1313.6857910000001</v>
      </c>
      <c r="J126">
        <v>1305.7138672000001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4.786492</v>
      </c>
      <c r="B127" s="1">
        <f>DATE(2010,5,5) + TIME(18,52,32)</f>
        <v>40303.786481481482</v>
      </c>
      <c r="C127">
        <v>80</v>
      </c>
      <c r="D127">
        <v>79.894683838000006</v>
      </c>
      <c r="E127">
        <v>50</v>
      </c>
      <c r="F127">
        <v>14.996661186000001</v>
      </c>
      <c r="G127">
        <v>1349.3149414</v>
      </c>
      <c r="H127">
        <v>1345.4167480000001</v>
      </c>
      <c r="I127">
        <v>1313.6866454999999</v>
      </c>
      <c r="J127">
        <v>1305.7142334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4.8927659999999999</v>
      </c>
      <c r="B128" s="1">
        <f>DATE(2010,5,5) + TIME(21,25,34)</f>
        <v>40303.892754629633</v>
      </c>
      <c r="C128">
        <v>80</v>
      </c>
      <c r="D128">
        <v>79.898895264000004</v>
      </c>
      <c r="E128">
        <v>50</v>
      </c>
      <c r="F128">
        <v>14.996676445</v>
      </c>
      <c r="G128">
        <v>1349.2910156</v>
      </c>
      <c r="H128">
        <v>1345.3903809000001</v>
      </c>
      <c r="I128">
        <v>1313.6873779</v>
      </c>
      <c r="J128">
        <v>1305.7147216999999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5.0017259999999997</v>
      </c>
      <c r="B129" s="1">
        <f>DATE(2010,5,6) + TIME(0,2,29)</f>
        <v>40304.00172453704</v>
      </c>
      <c r="C129">
        <v>80</v>
      </c>
      <c r="D129">
        <v>79.902557372999993</v>
      </c>
      <c r="E129">
        <v>50</v>
      </c>
      <c r="F129">
        <v>14.996692657000001</v>
      </c>
      <c r="G129">
        <v>1349.2668457</v>
      </c>
      <c r="H129">
        <v>1345.3638916</v>
      </c>
      <c r="I129">
        <v>1313.6881103999999</v>
      </c>
      <c r="J129">
        <v>1305.7150879000001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5.1136200000000001</v>
      </c>
      <c r="B130" s="1">
        <f>DATE(2010,5,6) + TIME(2,43,36)</f>
        <v>40304.113611111112</v>
      </c>
      <c r="C130">
        <v>80</v>
      </c>
      <c r="D130">
        <v>79.905738830999994</v>
      </c>
      <c r="E130">
        <v>50</v>
      </c>
      <c r="F130">
        <v>14.996708870000001</v>
      </c>
      <c r="G130">
        <v>1349.2423096</v>
      </c>
      <c r="H130">
        <v>1345.3370361</v>
      </c>
      <c r="I130">
        <v>1313.6888428</v>
      </c>
      <c r="J130">
        <v>1305.7154541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5.2284129999999998</v>
      </c>
      <c r="B131" s="1">
        <f>DATE(2010,5,6) + TIME(5,28,54)</f>
        <v>40304.228402777779</v>
      </c>
      <c r="C131">
        <v>80</v>
      </c>
      <c r="D131">
        <v>79.908500670999999</v>
      </c>
      <c r="E131">
        <v>50</v>
      </c>
      <c r="F131">
        <v>14.996725081999999</v>
      </c>
      <c r="G131">
        <v>1349.2174072</v>
      </c>
      <c r="H131">
        <v>1345.3098144999999</v>
      </c>
      <c r="I131">
        <v>1313.6896973</v>
      </c>
      <c r="J131">
        <v>1305.7158202999999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5.3458399999999999</v>
      </c>
      <c r="B132" s="1">
        <f>DATE(2010,5,6) + TIME(8,18,0)</f>
        <v>40304.345833333333</v>
      </c>
      <c r="C132">
        <v>80</v>
      </c>
      <c r="D132">
        <v>79.910881042</v>
      </c>
      <c r="E132">
        <v>50</v>
      </c>
      <c r="F132">
        <v>14.996741295</v>
      </c>
      <c r="G132">
        <v>1349.1922606999999</v>
      </c>
      <c r="H132">
        <v>1345.2823486</v>
      </c>
      <c r="I132">
        <v>1313.6904297000001</v>
      </c>
      <c r="J132">
        <v>1305.7161865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5.4661520000000001</v>
      </c>
      <c r="B133" s="1">
        <f>DATE(2010,5,6) + TIME(11,11,15)</f>
        <v>40304.466145833336</v>
      </c>
      <c r="C133">
        <v>80</v>
      </c>
      <c r="D133">
        <v>79.912948607999994</v>
      </c>
      <c r="E133">
        <v>50</v>
      </c>
      <c r="F133">
        <v>14.996757507</v>
      </c>
      <c r="G133">
        <v>1349.1668701000001</v>
      </c>
      <c r="H133">
        <v>1345.2547606999999</v>
      </c>
      <c r="I133">
        <v>1313.6911620999999</v>
      </c>
      <c r="J133">
        <v>1305.7165527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5.5896129999999999</v>
      </c>
      <c r="B134" s="1">
        <f>DATE(2010,5,6) + TIME(14,9,2)</f>
        <v>40304.589606481481</v>
      </c>
      <c r="C134">
        <v>80</v>
      </c>
      <c r="D134">
        <v>79.914741516000007</v>
      </c>
      <c r="E134">
        <v>50</v>
      </c>
      <c r="F134">
        <v>14.99677372</v>
      </c>
      <c r="G134">
        <v>1349.1411132999999</v>
      </c>
      <c r="H134">
        <v>1345.2268065999999</v>
      </c>
      <c r="I134">
        <v>1313.6918945</v>
      </c>
      <c r="J134">
        <v>1305.7169189000001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5.7164999999999999</v>
      </c>
      <c r="B135" s="1">
        <f>DATE(2010,5,6) + TIME(17,11,45)</f>
        <v>40304.716493055559</v>
      </c>
      <c r="C135">
        <v>80</v>
      </c>
      <c r="D135">
        <v>79.916297912999994</v>
      </c>
      <c r="E135">
        <v>50</v>
      </c>
      <c r="F135">
        <v>14.996790885999999</v>
      </c>
      <c r="G135">
        <v>1349.1152344</v>
      </c>
      <c r="H135">
        <v>1345.1987305</v>
      </c>
      <c r="I135">
        <v>1313.6926269999999</v>
      </c>
      <c r="J135">
        <v>1305.7174072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5.8471330000000004</v>
      </c>
      <c r="B136" s="1">
        <f>DATE(2010,5,6) + TIME(20,19,52)</f>
        <v>40304.847129629627</v>
      </c>
      <c r="C136">
        <v>80</v>
      </c>
      <c r="D136">
        <v>79.917663574000002</v>
      </c>
      <c r="E136">
        <v>50</v>
      </c>
      <c r="F136">
        <v>14.996807098</v>
      </c>
      <c r="G136">
        <v>1349.0889893000001</v>
      </c>
      <c r="H136">
        <v>1345.1704102000001</v>
      </c>
      <c r="I136">
        <v>1313.6933594</v>
      </c>
      <c r="J136">
        <v>1305.7177733999999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5.9811990000000002</v>
      </c>
      <c r="B137" s="1">
        <f>DATE(2010,5,6) + TIME(23,32,55)</f>
        <v>40304.981192129628</v>
      </c>
      <c r="C137">
        <v>80</v>
      </c>
      <c r="D137">
        <v>79.918846130000006</v>
      </c>
      <c r="E137">
        <v>50</v>
      </c>
      <c r="F137">
        <v>14.996824265000001</v>
      </c>
      <c r="G137">
        <v>1349.0623779</v>
      </c>
      <c r="H137">
        <v>1345.1417236</v>
      </c>
      <c r="I137">
        <v>1313.6940918</v>
      </c>
      <c r="J137">
        <v>1305.7181396000001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6.1153690000000003</v>
      </c>
      <c r="B138" s="1">
        <f>DATE(2010,5,7) + TIME(2,46,7)</f>
        <v>40305.115358796298</v>
      </c>
      <c r="C138">
        <v>80</v>
      </c>
      <c r="D138">
        <v>79.919860839999998</v>
      </c>
      <c r="E138">
        <v>50</v>
      </c>
      <c r="F138">
        <v>14.996840476999999</v>
      </c>
      <c r="G138">
        <v>1349.0356445</v>
      </c>
      <c r="H138">
        <v>1345.112793</v>
      </c>
      <c r="I138">
        <v>1313.6948242000001</v>
      </c>
      <c r="J138">
        <v>1305.7185059000001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6.249619</v>
      </c>
      <c r="B139" s="1">
        <f>DATE(2010,5,7) + TIME(5,59,27)</f>
        <v>40305.249618055554</v>
      </c>
      <c r="C139">
        <v>80</v>
      </c>
      <c r="D139">
        <v>79.920730590999995</v>
      </c>
      <c r="E139">
        <v>50</v>
      </c>
      <c r="F139">
        <v>14.996856688999999</v>
      </c>
      <c r="G139">
        <v>1349.0092772999999</v>
      </c>
      <c r="H139">
        <v>1345.0844727000001</v>
      </c>
      <c r="I139">
        <v>1313.6955565999999</v>
      </c>
      <c r="J139">
        <v>1305.7188721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6.384169</v>
      </c>
      <c r="B140" s="1">
        <f>DATE(2010,5,7) + TIME(9,13,12)</f>
        <v>40305.384166666663</v>
      </c>
      <c r="C140">
        <v>80</v>
      </c>
      <c r="D140">
        <v>79.921485900999997</v>
      </c>
      <c r="E140">
        <v>50</v>
      </c>
      <c r="F140">
        <v>14.996871948000001</v>
      </c>
      <c r="G140">
        <v>1348.9832764</v>
      </c>
      <c r="H140">
        <v>1345.0566406</v>
      </c>
      <c r="I140">
        <v>1313.6962891000001</v>
      </c>
      <c r="J140">
        <v>1305.7192382999999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6.5192019999999999</v>
      </c>
      <c r="B141" s="1">
        <f>DATE(2010,5,7) + TIME(12,27,39)</f>
        <v>40305.519201388888</v>
      </c>
      <c r="C141">
        <v>80</v>
      </c>
      <c r="D141">
        <v>79.922142029</v>
      </c>
      <c r="E141">
        <v>50</v>
      </c>
      <c r="F141">
        <v>14.996888160999999</v>
      </c>
      <c r="G141">
        <v>1348.9577637</v>
      </c>
      <c r="H141">
        <v>1345.0292969</v>
      </c>
      <c r="I141">
        <v>1313.6968993999999</v>
      </c>
      <c r="J141">
        <v>1305.7196045000001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6.6549449999999997</v>
      </c>
      <c r="B142" s="1">
        <f>DATE(2010,5,7) + TIME(15,43,7)</f>
        <v>40305.654942129629</v>
      </c>
      <c r="C142">
        <v>80</v>
      </c>
      <c r="D142">
        <v>79.922721863000007</v>
      </c>
      <c r="E142">
        <v>50</v>
      </c>
      <c r="F142">
        <v>14.996903419000001</v>
      </c>
      <c r="G142">
        <v>1348.9324951000001</v>
      </c>
      <c r="H142">
        <v>1345.0023193</v>
      </c>
      <c r="I142">
        <v>1313.6976318</v>
      </c>
      <c r="J142">
        <v>1305.7199707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6.7916040000000004</v>
      </c>
      <c r="B143" s="1">
        <f>DATE(2010,5,7) + TIME(18,59,54)</f>
        <v>40305.791597222225</v>
      </c>
      <c r="C143">
        <v>80</v>
      </c>
      <c r="D143">
        <v>79.923225403000004</v>
      </c>
      <c r="E143">
        <v>50</v>
      </c>
      <c r="F143">
        <v>14.996918678</v>
      </c>
      <c r="G143">
        <v>1348.9075928</v>
      </c>
      <c r="H143">
        <v>1344.9757079999999</v>
      </c>
      <c r="I143">
        <v>1313.6983643000001</v>
      </c>
      <c r="J143">
        <v>1305.7203368999999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6.9293810000000002</v>
      </c>
      <c r="B144" s="1">
        <f>DATE(2010,5,7) + TIME(22,18,18)</f>
        <v>40305.929375</v>
      </c>
      <c r="C144">
        <v>80</v>
      </c>
      <c r="D144">
        <v>79.923683166999993</v>
      </c>
      <c r="E144">
        <v>50</v>
      </c>
      <c r="F144">
        <v>14.996933937</v>
      </c>
      <c r="G144">
        <v>1348.8829346</v>
      </c>
      <c r="H144">
        <v>1344.9493408000001</v>
      </c>
      <c r="I144">
        <v>1313.6989745999999</v>
      </c>
      <c r="J144">
        <v>1305.7207031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7.068479</v>
      </c>
      <c r="B145" s="1">
        <f>DATE(2010,5,8) + TIME(1,38,36)</f>
        <v>40306.068472222221</v>
      </c>
      <c r="C145">
        <v>80</v>
      </c>
      <c r="D145">
        <v>79.924087524000001</v>
      </c>
      <c r="E145">
        <v>50</v>
      </c>
      <c r="F145">
        <v>14.996949195999999</v>
      </c>
      <c r="G145">
        <v>1348.8585204999999</v>
      </c>
      <c r="H145">
        <v>1344.9233397999999</v>
      </c>
      <c r="I145">
        <v>1313.699707</v>
      </c>
      <c r="J145">
        <v>1305.7210693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7.2091060000000002</v>
      </c>
      <c r="B146" s="1">
        <f>DATE(2010,5,8) + TIME(5,1,6)</f>
        <v>40306.209097222221</v>
      </c>
      <c r="C146">
        <v>80</v>
      </c>
      <c r="D146">
        <v>79.924453735</v>
      </c>
      <c r="E146">
        <v>50</v>
      </c>
      <c r="F146">
        <v>14.996964455000001</v>
      </c>
      <c r="G146">
        <v>1348.8342285000001</v>
      </c>
      <c r="H146">
        <v>1344.8975829999999</v>
      </c>
      <c r="I146">
        <v>1313.7004394999999</v>
      </c>
      <c r="J146">
        <v>1305.7214355000001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7.3514759999999999</v>
      </c>
      <c r="B147" s="1">
        <f>DATE(2010,5,8) + TIME(8,26,7)</f>
        <v>40306.351469907408</v>
      </c>
      <c r="C147">
        <v>80</v>
      </c>
      <c r="D147">
        <v>79.924781799000002</v>
      </c>
      <c r="E147">
        <v>50</v>
      </c>
      <c r="F147">
        <v>14.996978759999999</v>
      </c>
      <c r="G147">
        <v>1348.8100586</v>
      </c>
      <c r="H147">
        <v>1344.8719481999999</v>
      </c>
      <c r="I147">
        <v>1313.7010498</v>
      </c>
      <c r="J147">
        <v>1305.7219238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7.4958119999999999</v>
      </c>
      <c r="B148" s="1">
        <f>DATE(2010,5,8) + TIME(11,53,58)</f>
        <v>40306.495810185188</v>
      </c>
      <c r="C148">
        <v>80</v>
      </c>
      <c r="D148">
        <v>79.925086974999999</v>
      </c>
      <c r="E148">
        <v>50</v>
      </c>
      <c r="F148">
        <v>14.996994019000001</v>
      </c>
      <c r="G148">
        <v>1348.7860106999999</v>
      </c>
      <c r="H148">
        <v>1344.8465576000001</v>
      </c>
      <c r="I148">
        <v>1313.7017822</v>
      </c>
      <c r="J148">
        <v>1305.7222899999999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7.6423449999999997</v>
      </c>
      <c r="B149" s="1">
        <f>DATE(2010,5,8) + TIME(15,24,58)</f>
        <v>40306.642337962963</v>
      </c>
      <c r="C149">
        <v>80</v>
      </c>
      <c r="D149">
        <v>79.925361632999994</v>
      </c>
      <c r="E149">
        <v>50</v>
      </c>
      <c r="F149">
        <v>14.997008323999999</v>
      </c>
      <c r="G149">
        <v>1348.7620850000001</v>
      </c>
      <c r="H149">
        <v>1344.8211670000001</v>
      </c>
      <c r="I149">
        <v>1313.7025146000001</v>
      </c>
      <c r="J149">
        <v>1305.7226562000001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7.7913180000000004</v>
      </c>
      <c r="B150" s="1">
        <f>DATE(2010,5,8) + TIME(18,59,29)</f>
        <v>40306.791307870371</v>
      </c>
      <c r="C150">
        <v>80</v>
      </c>
      <c r="D150">
        <v>79.925613403</v>
      </c>
      <c r="E150">
        <v>50</v>
      </c>
      <c r="F150">
        <v>14.997023582000001</v>
      </c>
      <c r="G150">
        <v>1348.7382812000001</v>
      </c>
      <c r="H150">
        <v>1344.7960204999999</v>
      </c>
      <c r="I150">
        <v>1313.703125</v>
      </c>
      <c r="J150">
        <v>1305.7230225000001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7.9430480000000001</v>
      </c>
      <c r="B151" s="1">
        <f>DATE(2010,5,8) + TIME(22,37,59)</f>
        <v>40306.943043981482</v>
      </c>
      <c r="C151">
        <v>80</v>
      </c>
      <c r="D151">
        <v>79.925842285000002</v>
      </c>
      <c r="E151">
        <v>50</v>
      </c>
      <c r="F151">
        <v>14.997037887999999</v>
      </c>
      <c r="G151">
        <v>1348.7143555</v>
      </c>
      <c r="H151">
        <v>1344.770874</v>
      </c>
      <c r="I151">
        <v>1313.7038574000001</v>
      </c>
      <c r="J151">
        <v>1305.7233887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8.0977730000000001</v>
      </c>
      <c r="B152" s="1">
        <f>DATE(2010,5,9) + TIME(2,20,47)</f>
        <v>40307.097766203704</v>
      </c>
      <c r="C152">
        <v>80</v>
      </c>
      <c r="D152">
        <v>79.926055907999995</v>
      </c>
      <c r="E152">
        <v>50</v>
      </c>
      <c r="F152">
        <v>14.997053146000001</v>
      </c>
      <c r="G152">
        <v>1348.6904297000001</v>
      </c>
      <c r="H152">
        <v>1344.7457274999999</v>
      </c>
      <c r="I152">
        <v>1313.7045897999999</v>
      </c>
      <c r="J152">
        <v>1305.7237548999999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8.2557880000000008</v>
      </c>
      <c r="B153" s="1">
        <f>DATE(2010,5,9) + TIME(6,8,20)</f>
        <v>40307.255787037036</v>
      </c>
      <c r="C153">
        <v>80</v>
      </c>
      <c r="D153">
        <v>79.926254271999994</v>
      </c>
      <c r="E153">
        <v>50</v>
      </c>
      <c r="F153">
        <v>14.997068405</v>
      </c>
      <c r="G153">
        <v>1348.6665039</v>
      </c>
      <c r="H153">
        <v>1344.7204589999999</v>
      </c>
      <c r="I153">
        <v>1313.7053223</v>
      </c>
      <c r="J153">
        <v>1305.7242432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8.4174199999999999</v>
      </c>
      <c r="B154" s="1">
        <f>DATE(2010,5,9) + TIME(10,1,5)</f>
        <v>40307.41741898148</v>
      </c>
      <c r="C154">
        <v>80</v>
      </c>
      <c r="D154">
        <v>79.926437378000003</v>
      </c>
      <c r="E154">
        <v>50</v>
      </c>
      <c r="F154">
        <v>14.997082710000001</v>
      </c>
      <c r="G154">
        <v>1348.6424560999999</v>
      </c>
      <c r="H154">
        <v>1344.6953125</v>
      </c>
      <c r="I154">
        <v>1313.7060547000001</v>
      </c>
      <c r="J154">
        <v>1305.7246094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8.5821880000000004</v>
      </c>
      <c r="B155" s="1">
        <f>DATE(2010,5,9) + TIME(13,58,21)</f>
        <v>40307.582187499997</v>
      </c>
      <c r="C155">
        <v>80</v>
      </c>
      <c r="D155">
        <v>79.926612853999998</v>
      </c>
      <c r="E155">
        <v>50</v>
      </c>
      <c r="F155">
        <v>14.997097969</v>
      </c>
      <c r="G155">
        <v>1348.6184082</v>
      </c>
      <c r="H155">
        <v>1344.6700439000001</v>
      </c>
      <c r="I155">
        <v>1313.7067870999999</v>
      </c>
      <c r="J155">
        <v>1305.7249756000001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8.7498550000000002</v>
      </c>
      <c r="B156" s="1">
        <f>DATE(2010,5,9) + TIME(17,59,47)</f>
        <v>40307.749849537038</v>
      </c>
      <c r="C156">
        <v>80</v>
      </c>
      <c r="D156">
        <v>79.926773071</v>
      </c>
      <c r="E156">
        <v>50</v>
      </c>
      <c r="F156">
        <v>14.997112273999999</v>
      </c>
      <c r="G156">
        <v>1348.5942382999999</v>
      </c>
      <c r="H156">
        <v>1344.6446533000001</v>
      </c>
      <c r="I156">
        <v>1313.7075195</v>
      </c>
      <c r="J156">
        <v>1305.7254639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8.9206590000000006</v>
      </c>
      <c r="B157" s="1">
        <f>DATE(2010,5,9) + TIME(22,5,44)</f>
        <v>40307.920648148145</v>
      </c>
      <c r="C157">
        <v>80</v>
      </c>
      <c r="D157">
        <v>79.926918029999996</v>
      </c>
      <c r="E157">
        <v>50</v>
      </c>
      <c r="F157">
        <v>14.997127533</v>
      </c>
      <c r="G157">
        <v>1348.5700684000001</v>
      </c>
      <c r="H157">
        <v>1344.6193848</v>
      </c>
      <c r="I157">
        <v>1313.7082519999999</v>
      </c>
      <c r="J157">
        <v>1305.7259521000001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9.0949080000000002</v>
      </c>
      <c r="B158" s="1">
        <f>DATE(2010,5,10) + TIME(2,16,40)</f>
        <v>40308.094907407409</v>
      </c>
      <c r="C158">
        <v>80</v>
      </c>
      <c r="D158">
        <v>79.927055358999993</v>
      </c>
      <c r="E158">
        <v>50</v>
      </c>
      <c r="F158">
        <v>14.997142792</v>
      </c>
      <c r="G158">
        <v>1348.5458983999999</v>
      </c>
      <c r="H158">
        <v>1344.5941161999999</v>
      </c>
      <c r="I158">
        <v>1313.7089844</v>
      </c>
      <c r="J158">
        <v>1305.7263184000001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9.2729140000000001</v>
      </c>
      <c r="B159" s="1">
        <f>DATE(2010,5,10) + TIME(6,32,59)</f>
        <v>40308.272905092592</v>
      </c>
      <c r="C159">
        <v>80</v>
      </c>
      <c r="D159">
        <v>79.927185058999996</v>
      </c>
      <c r="E159">
        <v>50</v>
      </c>
      <c r="F159">
        <v>14.997158051</v>
      </c>
      <c r="G159">
        <v>1348.5216064000001</v>
      </c>
      <c r="H159">
        <v>1344.5688477000001</v>
      </c>
      <c r="I159">
        <v>1313.7098389</v>
      </c>
      <c r="J159">
        <v>1305.7268065999999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9.4550439999999991</v>
      </c>
      <c r="B160" s="1">
        <f>DATE(2010,5,10) + TIME(10,55,15)</f>
        <v>40308.455034722225</v>
      </c>
      <c r="C160">
        <v>80</v>
      </c>
      <c r="D160">
        <v>79.927314757999994</v>
      </c>
      <c r="E160">
        <v>50</v>
      </c>
      <c r="F160">
        <v>14.997172356</v>
      </c>
      <c r="G160">
        <v>1348.4973144999999</v>
      </c>
      <c r="H160">
        <v>1344.5435791</v>
      </c>
      <c r="I160">
        <v>1313.7105713000001</v>
      </c>
      <c r="J160">
        <v>1305.7272949000001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9.6386629999999993</v>
      </c>
      <c r="B161" s="1">
        <f>DATE(2010,5,10) + TIME(15,19,40)</f>
        <v>40308.638657407406</v>
      </c>
      <c r="C161">
        <v>80</v>
      </c>
      <c r="D161">
        <v>79.927421570000007</v>
      </c>
      <c r="E161">
        <v>50</v>
      </c>
      <c r="F161">
        <v>14.997187614</v>
      </c>
      <c r="G161">
        <v>1348.4729004000001</v>
      </c>
      <c r="H161">
        <v>1344.5181885</v>
      </c>
      <c r="I161">
        <v>1313.7114257999999</v>
      </c>
      <c r="J161">
        <v>1305.7276611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9.8224560000000007</v>
      </c>
      <c r="B162" s="1">
        <f>DATE(2010,5,10) + TIME(19,44,20)</f>
        <v>40308.822453703702</v>
      </c>
      <c r="C162">
        <v>80</v>
      </c>
      <c r="D162">
        <v>79.927528381000002</v>
      </c>
      <c r="E162">
        <v>50</v>
      </c>
      <c r="F162">
        <v>14.997202873000001</v>
      </c>
      <c r="G162">
        <v>1348.4487305</v>
      </c>
      <c r="H162">
        <v>1344.4930420000001</v>
      </c>
      <c r="I162">
        <v>1313.7121582</v>
      </c>
      <c r="J162">
        <v>1305.7281493999999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10.00671</v>
      </c>
      <c r="B163" s="1">
        <f>DATE(2010,5,11) + TIME(0,9,39)</f>
        <v>40309.006701388891</v>
      </c>
      <c r="C163">
        <v>80</v>
      </c>
      <c r="D163">
        <v>79.927627563000001</v>
      </c>
      <c r="E163">
        <v>50</v>
      </c>
      <c r="F163">
        <v>14.997217178</v>
      </c>
      <c r="G163">
        <v>1348.4249268000001</v>
      </c>
      <c r="H163">
        <v>1344.4682617000001</v>
      </c>
      <c r="I163">
        <v>1313.7130127</v>
      </c>
      <c r="J163">
        <v>1305.7286377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10.191739</v>
      </c>
      <c r="B164" s="1">
        <f>DATE(2010,5,11) + TIME(4,36,6)</f>
        <v>40309.191736111112</v>
      </c>
      <c r="C164">
        <v>80</v>
      </c>
      <c r="D164">
        <v>79.927719116000006</v>
      </c>
      <c r="E164">
        <v>50</v>
      </c>
      <c r="F164">
        <v>14.997231483</v>
      </c>
      <c r="G164">
        <v>1348.4014893000001</v>
      </c>
      <c r="H164">
        <v>1344.4439697</v>
      </c>
      <c r="I164">
        <v>1313.7137451000001</v>
      </c>
      <c r="J164">
        <v>1305.729126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10.377827999999999</v>
      </c>
      <c r="B165" s="1">
        <f>DATE(2010,5,11) + TIME(9,4,4)</f>
        <v>40309.377824074072</v>
      </c>
      <c r="C165">
        <v>80</v>
      </c>
      <c r="D165">
        <v>79.927803040000001</v>
      </c>
      <c r="E165">
        <v>50</v>
      </c>
      <c r="F165">
        <v>14.997245789000001</v>
      </c>
      <c r="G165">
        <v>1348.3782959</v>
      </c>
      <c r="H165">
        <v>1344.4200439000001</v>
      </c>
      <c r="I165">
        <v>1313.7145995999999</v>
      </c>
      <c r="J165">
        <v>1305.7296143000001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10.565264000000001</v>
      </c>
      <c r="B166" s="1">
        <f>DATE(2010,5,11) + TIME(13,33,58)</f>
        <v>40309.565254629626</v>
      </c>
      <c r="C166">
        <v>80</v>
      </c>
      <c r="D166">
        <v>79.927886963000006</v>
      </c>
      <c r="E166">
        <v>50</v>
      </c>
      <c r="F166">
        <v>14.997260094</v>
      </c>
      <c r="G166">
        <v>1348.3554687999999</v>
      </c>
      <c r="H166">
        <v>1344.3963623</v>
      </c>
      <c r="I166">
        <v>1313.715332</v>
      </c>
      <c r="J166">
        <v>1305.7301024999999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10.754333000000001</v>
      </c>
      <c r="B167" s="1">
        <f>DATE(2010,5,11) + TIME(18,6,14)</f>
        <v>40309.754328703704</v>
      </c>
      <c r="C167">
        <v>80</v>
      </c>
      <c r="D167">
        <v>79.927963257000002</v>
      </c>
      <c r="E167">
        <v>50</v>
      </c>
      <c r="F167">
        <v>14.997274399</v>
      </c>
      <c r="G167">
        <v>1348.3327637</v>
      </c>
      <c r="H167">
        <v>1344.3729248</v>
      </c>
      <c r="I167">
        <v>1313.7161865</v>
      </c>
      <c r="J167">
        <v>1305.7304687999999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10.94533</v>
      </c>
      <c r="B168" s="1">
        <f>DATE(2010,5,11) + TIME(22,41,16)</f>
        <v>40309.945324074077</v>
      </c>
      <c r="C168">
        <v>80</v>
      </c>
      <c r="D168">
        <v>79.928039550999998</v>
      </c>
      <c r="E168">
        <v>50</v>
      </c>
      <c r="F168">
        <v>14.99728775</v>
      </c>
      <c r="G168">
        <v>1348.3103027</v>
      </c>
      <c r="H168">
        <v>1344.3498535000001</v>
      </c>
      <c r="I168">
        <v>1313.7170410000001</v>
      </c>
      <c r="J168">
        <v>1305.730957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11.138558</v>
      </c>
      <c r="B169" s="1">
        <f>DATE(2010,5,12) + TIME(3,19,31)</f>
        <v>40310.138553240744</v>
      </c>
      <c r="C169">
        <v>80</v>
      </c>
      <c r="D169">
        <v>79.928108214999995</v>
      </c>
      <c r="E169">
        <v>50</v>
      </c>
      <c r="F169">
        <v>14.997302055</v>
      </c>
      <c r="G169">
        <v>1348.2879639</v>
      </c>
      <c r="H169">
        <v>1344.3267822</v>
      </c>
      <c r="I169">
        <v>1313.7177733999999</v>
      </c>
      <c r="J169">
        <v>1305.7314452999999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11.334329</v>
      </c>
      <c r="B170" s="1">
        <f>DATE(2010,5,12) + TIME(8,1,26)</f>
        <v>40310.334328703706</v>
      </c>
      <c r="C170">
        <v>80</v>
      </c>
      <c r="D170">
        <v>79.928176879999995</v>
      </c>
      <c r="E170">
        <v>50</v>
      </c>
      <c r="F170">
        <v>14.997316359999999</v>
      </c>
      <c r="G170">
        <v>1348.2657471</v>
      </c>
      <c r="H170">
        <v>1344.3039550999999</v>
      </c>
      <c r="I170">
        <v>1313.7186279</v>
      </c>
      <c r="J170">
        <v>1305.7319336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11.532971999999999</v>
      </c>
      <c r="B171" s="1">
        <f>DATE(2010,5,12) + TIME(12,47,28)</f>
        <v>40310.532962962963</v>
      </c>
      <c r="C171">
        <v>80</v>
      </c>
      <c r="D171">
        <v>79.928237914999997</v>
      </c>
      <c r="E171">
        <v>50</v>
      </c>
      <c r="F171">
        <v>14.997329712000001</v>
      </c>
      <c r="G171">
        <v>1348.2435303</v>
      </c>
      <c r="H171">
        <v>1344.28125</v>
      </c>
      <c r="I171">
        <v>1313.7194824000001</v>
      </c>
      <c r="J171">
        <v>1305.7324219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11.734862</v>
      </c>
      <c r="B172" s="1">
        <f>DATE(2010,5,12) + TIME(17,38,12)</f>
        <v>40310.734861111108</v>
      </c>
      <c r="C172">
        <v>80</v>
      </c>
      <c r="D172">
        <v>79.928306579999997</v>
      </c>
      <c r="E172">
        <v>50</v>
      </c>
      <c r="F172">
        <v>14.997344017</v>
      </c>
      <c r="G172">
        <v>1348.2214355000001</v>
      </c>
      <c r="H172">
        <v>1344.2585449000001</v>
      </c>
      <c r="I172">
        <v>1313.7203368999999</v>
      </c>
      <c r="J172">
        <v>1305.7330322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11.940395000000001</v>
      </c>
      <c r="B173" s="1">
        <f>DATE(2010,5,12) + TIME(22,34,10)</f>
        <v>40310.940393518518</v>
      </c>
      <c r="C173">
        <v>80</v>
      </c>
      <c r="D173">
        <v>79.928359985</v>
      </c>
      <c r="E173">
        <v>50</v>
      </c>
      <c r="F173">
        <v>14.997357367999999</v>
      </c>
      <c r="G173">
        <v>1348.1993408000001</v>
      </c>
      <c r="H173">
        <v>1344.2358397999999</v>
      </c>
      <c r="I173">
        <v>1313.7211914</v>
      </c>
      <c r="J173">
        <v>1305.7335204999999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12.149918</v>
      </c>
      <c r="B174" s="1">
        <f>DATE(2010,5,13) + TIME(3,35,52)</f>
        <v>40311.149907407409</v>
      </c>
      <c r="C174">
        <v>80</v>
      </c>
      <c r="D174">
        <v>79.928421021000005</v>
      </c>
      <c r="E174">
        <v>50</v>
      </c>
      <c r="F174">
        <v>14.997371674</v>
      </c>
      <c r="G174">
        <v>1348.1772461</v>
      </c>
      <c r="H174">
        <v>1344.2132568</v>
      </c>
      <c r="I174">
        <v>1313.7220459</v>
      </c>
      <c r="J174">
        <v>1305.7340088000001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12.363856</v>
      </c>
      <c r="B175" s="1">
        <f>DATE(2010,5,13) + TIME(8,43,57)</f>
        <v>40311.363854166666</v>
      </c>
      <c r="C175">
        <v>80</v>
      </c>
      <c r="D175">
        <v>79.928482056000007</v>
      </c>
      <c r="E175">
        <v>50</v>
      </c>
      <c r="F175">
        <v>14.997385025</v>
      </c>
      <c r="G175">
        <v>1348.1550293</v>
      </c>
      <c r="H175">
        <v>1344.1905518000001</v>
      </c>
      <c r="I175">
        <v>1313.7229004000001</v>
      </c>
      <c r="J175">
        <v>1305.7344971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12.580969</v>
      </c>
      <c r="B176" s="1">
        <f>DATE(2010,5,13) + TIME(13,56,35)</f>
        <v>40311.580960648149</v>
      </c>
      <c r="C176">
        <v>80</v>
      </c>
      <c r="D176">
        <v>79.928535460999996</v>
      </c>
      <c r="E176">
        <v>50</v>
      </c>
      <c r="F176">
        <v>14.99739933</v>
      </c>
      <c r="G176">
        <v>1348.1328125</v>
      </c>
      <c r="H176">
        <v>1344.1678466999999</v>
      </c>
      <c r="I176">
        <v>1313.7237548999999</v>
      </c>
      <c r="J176">
        <v>1305.7351074000001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12.80101</v>
      </c>
      <c r="B177" s="1">
        <f>DATE(2010,5,13) + TIME(19,13,27)</f>
        <v>40311.801006944443</v>
      </c>
      <c r="C177">
        <v>80</v>
      </c>
      <c r="D177">
        <v>79.928588867000002</v>
      </c>
      <c r="E177">
        <v>50</v>
      </c>
      <c r="F177">
        <v>14.997412682</v>
      </c>
      <c r="G177">
        <v>1348.1105957</v>
      </c>
      <c r="H177">
        <v>1344.1451416</v>
      </c>
      <c r="I177">
        <v>1313.7247314000001</v>
      </c>
      <c r="J177">
        <v>1305.7355957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13.024403</v>
      </c>
      <c r="B178" s="1">
        <f>DATE(2010,5,14) + TIME(0,35,8)</f>
        <v>40312.024398148147</v>
      </c>
      <c r="C178">
        <v>80</v>
      </c>
      <c r="D178">
        <v>79.928642272999994</v>
      </c>
      <c r="E178">
        <v>50</v>
      </c>
      <c r="F178">
        <v>14.997426987000001</v>
      </c>
      <c r="G178">
        <v>1348.0883789</v>
      </c>
      <c r="H178">
        <v>1344.1226807</v>
      </c>
      <c r="I178">
        <v>1313.7255858999999</v>
      </c>
      <c r="J178">
        <v>1305.7362060999999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13.251491</v>
      </c>
      <c r="B179" s="1">
        <f>DATE(2010,5,14) + TIME(6,2,8)</f>
        <v>40312.251481481479</v>
      </c>
      <c r="C179">
        <v>80</v>
      </c>
      <c r="D179">
        <v>79.928688049000002</v>
      </c>
      <c r="E179">
        <v>50</v>
      </c>
      <c r="F179">
        <v>14.997441292</v>
      </c>
      <c r="G179">
        <v>1348.0661620999999</v>
      </c>
      <c r="H179">
        <v>1344.1000977000001</v>
      </c>
      <c r="I179">
        <v>1313.7265625</v>
      </c>
      <c r="J179">
        <v>1305.7368164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13.482602999999999</v>
      </c>
      <c r="B180" s="1">
        <f>DATE(2010,5,14) + TIME(11,34,56)</f>
        <v>40312.482592592591</v>
      </c>
      <c r="C180">
        <v>80</v>
      </c>
      <c r="D180">
        <v>79.928741454999994</v>
      </c>
      <c r="E180">
        <v>50</v>
      </c>
      <c r="F180">
        <v>14.997454642999999</v>
      </c>
      <c r="G180">
        <v>1348.0440673999999</v>
      </c>
      <c r="H180">
        <v>1344.0776367000001</v>
      </c>
      <c r="I180">
        <v>1313.7274170000001</v>
      </c>
      <c r="J180">
        <v>1305.7373047000001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13.718164</v>
      </c>
      <c r="B181" s="1">
        <f>DATE(2010,5,14) + TIME(17,14,9)</f>
        <v>40312.718159722222</v>
      </c>
      <c r="C181">
        <v>80</v>
      </c>
      <c r="D181">
        <v>79.928787231000001</v>
      </c>
      <c r="E181">
        <v>50</v>
      </c>
      <c r="F181">
        <v>14.997468948</v>
      </c>
      <c r="G181">
        <v>1348.0218506000001</v>
      </c>
      <c r="H181">
        <v>1344.0551757999999</v>
      </c>
      <c r="I181">
        <v>1313.7283935999999</v>
      </c>
      <c r="J181">
        <v>1305.7379149999999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13.95501</v>
      </c>
      <c r="B182" s="1">
        <f>DATE(2010,5,14) + TIME(22,55,12)</f>
        <v>40312.955000000002</v>
      </c>
      <c r="C182">
        <v>80</v>
      </c>
      <c r="D182">
        <v>79.928840636999993</v>
      </c>
      <c r="E182">
        <v>50</v>
      </c>
      <c r="F182">
        <v>14.9974823</v>
      </c>
      <c r="G182">
        <v>1347.9997559000001</v>
      </c>
      <c r="H182">
        <v>1344.0327147999999</v>
      </c>
      <c r="I182">
        <v>1313.7293701000001</v>
      </c>
      <c r="J182">
        <v>1305.7385254000001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14.192223</v>
      </c>
      <c r="B183" s="1">
        <f>DATE(2010,5,15) + TIME(4,36,48)</f>
        <v>40313.19222222222</v>
      </c>
      <c r="C183">
        <v>80</v>
      </c>
      <c r="D183">
        <v>79.928886414000004</v>
      </c>
      <c r="E183">
        <v>50</v>
      </c>
      <c r="F183">
        <v>14.997496605</v>
      </c>
      <c r="G183">
        <v>1347.9777832</v>
      </c>
      <c r="H183">
        <v>1344.0104980000001</v>
      </c>
      <c r="I183">
        <v>1313.7303466999999</v>
      </c>
      <c r="J183">
        <v>1305.7391356999999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14.430213999999999</v>
      </c>
      <c r="B184" s="1">
        <f>DATE(2010,5,15) + TIME(10,19,30)</f>
        <v>40313.430208333331</v>
      </c>
      <c r="C184">
        <v>80</v>
      </c>
      <c r="D184">
        <v>79.928932189999998</v>
      </c>
      <c r="E184">
        <v>50</v>
      </c>
      <c r="F184">
        <v>14.997509956</v>
      </c>
      <c r="G184">
        <v>1347.9560547000001</v>
      </c>
      <c r="H184">
        <v>1343.9886475000001</v>
      </c>
      <c r="I184">
        <v>1313.7313231999999</v>
      </c>
      <c r="J184">
        <v>1305.7397461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14.669369</v>
      </c>
      <c r="B185" s="1">
        <f>DATE(2010,5,15) + TIME(16,3,53)</f>
        <v>40313.669363425928</v>
      </c>
      <c r="C185">
        <v>80</v>
      </c>
      <c r="D185">
        <v>79.928970336999996</v>
      </c>
      <c r="E185">
        <v>50</v>
      </c>
      <c r="F185">
        <v>14.997523308</v>
      </c>
      <c r="G185">
        <v>1347.9346923999999</v>
      </c>
      <c r="H185">
        <v>1343.9670410000001</v>
      </c>
      <c r="I185">
        <v>1313.7322998</v>
      </c>
      <c r="J185">
        <v>1305.7403564000001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14.910067</v>
      </c>
      <c r="B186" s="1">
        <f>DATE(2010,5,15) + TIME(21,50,29)</f>
        <v>40313.910057870373</v>
      </c>
      <c r="C186">
        <v>80</v>
      </c>
      <c r="D186">
        <v>79.929016113000003</v>
      </c>
      <c r="E186">
        <v>50</v>
      </c>
      <c r="F186">
        <v>14.997536659</v>
      </c>
      <c r="G186">
        <v>1347.9134521000001</v>
      </c>
      <c r="H186">
        <v>1343.9456786999999</v>
      </c>
      <c r="I186">
        <v>1313.7332764</v>
      </c>
      <c r="J186">
        <v>1305.7409668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15.152692</v>
      </c>
      <c r="B187" s="1">
        <f>DATE(2010,5,16) + TIME(3,39,52)</f>
        <v>40314.152685185189</v>
      </c>
      <c r="C187">
        <v>80</v>
      </c>
      <c r="D187">
        <v>79.92906189</v>
      </c>
      <c r="E187">
        <v>50</v>
      </c>
      <c r="F187">
        <v>14.997550011</v>
      </c>
      <c r="G187">
        <v>1347.8925781</v>
      </c>
      <c r="H187">
        <v>1343.9245605000001</v>
      </c>
      <c r="I187">
        <v>1313.7342529</v>
      </c>
      <c r="J187">
        <v>1305.7415771000001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15.397637</v>
      </c>
      <c r="B188" s="1">
        <f>DATE(2010,5,16) + TIME(9,32,35)</f>
        <v>40314.397627314815</v>
      </c>
      <c r="C188">
        <v>80</v>
      </c>
      <c r="D188">
        <v>79.929100036999998</v>
      </c>
      <c r="E188">
        <v>50</v>
      </c>
      <c r="F188">
        <v>14.997563361999999</v>
      </c>
      <c r="G188">
        <v>1347.8717041</v>
      </c>
      <c r="H188">
        <v>1343.9036865</v>
      </c>
      <c r="I188">
        <v>1313.7352295000001</v>
      </c>
      <c r="J188">
        <v>1305.7421875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15.645300000000001</v>
      </c>
      <c r="B189" s="1">
        <f>DATE(2010,5,16) + TIME(15,29,13)</f>
        <v>40314.645289351851</v>
      </c>
      <c r="C189">
        <v>80</v>
      </c>
      <c r="D189">
        <v>79.929145813000005</v>
      </c>
      <c r="E189">
        <v>50</v>
      </c>
      <c r="F189">
        <v>14.997576713999999</v>
      </c>
      <c r="G189">
        <v>1347.8509521000001</v>
      </c>
      <c r="H189">
        <v>1343.8828125</v>
      </c>
      <c r="I189">
        <v>1313.7362060999999</v>
      </c>
      <c r="J189">
        <v>1305.7427978999999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15.896098</v>
      </c>
      <c r="B190" s="1">
        <f>DATE(2010,5,16) + TIME(21,30,22)</f>
        <v>40314.896087962959</v>
      </c>
      <c r="C190">
        <v>80</v>
      </c>
      <c r="D190">
        <v>79.929183960000003</v>
      </c>
      <c r="E190">
        <v>50</v>
      </c>
      <c r="F190">
        <v>14.997589111</v>
      </c>
      <c r="G190">
        <v>1347.8304443</v>
      </c>
      <c r="H190">
        <v>1343.8621826000001</v>
      </c>
      <c r="I190">
        <v>1313.7373047000001</v>
      </c>
      <c r="J190">
        <v>1305.7434082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16.150465000000001</v>
      </c>
      <c r="B191" s="1">
        <f>DATE(2010,5,17) + TIME(3,36,40)</f>
        <v>40315.150462962964</v>
      </c>
      <c r="C191">
        <v>80</v>
      </c>
      <c r="D191">
        <v>79.929229735999996</v>
      </c>
      <c r="E191">
        <v>50</v>
      </c>
      <c r="F191">
        <v>14.997602463</v>
      </c>
      <c r="G191">
        <v>1347.8098144999999</v>
      </c>
      <c r="H191">
        <v>1343.8416748</v>
      </c>
      <c r="I191">
        <v>1313.7382812000001</v>
      </c>
      <c r="J191">
        <v>1305.7440185999999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16.408902000000001</v>
      </c>
      <c r="B192" s="1">
        <f>DATE(2010,5,17) + TIME(9,48,49)</f>
        <v>40315.408900462964</v>
      </c>
      <c r="C192">
        <v>80</v>
      </c>
      <c r="D192">
        <v>79.929267882999994</v>
      </c>
      <c r="E192">
        <v>50</v>
      </c>
      <c r="F192">
        <v>14.997615814</v>
      </c>
      <c r="G192">
        <v>1347.7893065999999</v>
      </c>
      <c r="H192">
        <v>1343.8211670000001</v>
      </c>
      <c r="I192">
        <v>1313.7392577999999</v>
      </c>
      <c r="J192">
        <v>1305.744751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16.671925000000002</v>
      </c>
      <c r="B193" s="1">
        <f>DATE(2010,5,17) + TIME(16,7,34)</f>
        <v>40315.6719212963</v>
      </c>
      <c r="C193">
        <v>80</v>
      </c>
      <c r="D193">
        <v>79.929313660000005</v>
      </c>
      <c r="E193">
        <v>50</v>
      </c>
      <c r="F193">
        <v>14.997629165999999</v>
      </c>
      <c r="G193">
        <v>1347.7687988</v>
      </c>
      <c r="H193">
        <v>1343.8006591999999</v>
      </c>
      <c r="I193">
        <v>1313.7403564000001</v>
      </c>
      <c r="J193">
        <v>1305.7453613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16.939995</v>
      </c>
      <c r="B194" s="1">
        <f>DATE(2010,5,17) + TIME(22,33,35)</f>
        <v>40315.939988425926</v>
      </c>
      <c r="C194">
        <v>80</v>
      </c>
      <c r="D194">
        <v>79.929351807000003</v>
      </c>
      <c r="E194">
        <v>50</v>
      </c>
      <c r="F194">
        <v>14.997641563</v>
      </c>
      <c r="G194">
        <v>1347.7481689000001</v>
      </c>
      <c r="H194">
        <v>1343.7800293</v>
      </c>
      <c r="I194">
        <v>1313.7414550999999</v>
      </c>
      <c r="J194">
        <v>1305.7460937999999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17.212419000000001</v>
      </c>
      <c r="B195" s="1">
        <f>DATE(2010,5,18) + TIME(5,5,53)</f>
        <v>40316.212418981479</v>
      </c>
      <c r="C195">
        <v>80</v>
      </c>
      <c r="D195">
        <v>79.929389954000001</v>
      </c>
      <c r="E195">
        <v>50</v>
      </c>
      <c r="F195">
        <v>14.997654915</v>
      </c>
      <c r="G195">
        <v>1347.7275391000001</v>
      </c>
      <c r="H195">
        <v>1343.7595214999999</v>
      </c>
      <c r="I195">
        <v>1313.7425536999999</v>
      </c>
      <c r="J195">
        <v>1305.7467041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17.487532000000002</v>
      </c>
      <c r="B196" s="1">
        <f>DATE(2010,5,18) + TIME(11,42,2)</f>
        <v>40316.487523148149</v>
      </c>
      <c r="C196">
        <v>80</v>
      </c>
      <c r="D196">
        <v>79.929435729999994</v>
      </c>
      <c r="E196">
        <v>50</v>
      </c>
      <c r="F196">
        <v>14.997668266</v>
      </c>
      <c r="G196">
        <v>1347.7067870999999</v>
      </c>
      <c r="H196">
        <v>1343.7388916</v>
      </c>
      <c r="I196">
        <v>1313.7436522999999</v>
      </c>
      <c r="J196">
        <v>1305.7474365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17.765778000000001</v>
      </c>
      <c r="B197" s="1">
        <f>DATE(2010,5,18) + TIME(18,22,43)</f>
        <v>40316.765775462962</v>
      </c>
      <c r="C197">
        <v>80</v>
      </c>
      <c r="D197">
        <v>79.929473877000007</v>
      </c>
      <c r="E197">
        <v>50</v>
      </c>
      <c r="F197">
        <v>14.997681618</v>
      </c>
      <c r="G197">
        <v>1347.6862793</v>
      </c>
      <c r="H197">
        <v>1343.7185059000001</v>
      </c>
      <c r="I197">
        <v>1313.744751</v>
      </c>
      <c r="J197">
        <v>1305.7481689000001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18.047597</v>
      </c>
      <c r="B198" s="1">
        <f>DATE(2010,5,19) + TIME(1,8,32)</f>
        <v>40317.047592592593</v>
      </c>
      <c r="C198">
        <v>80</v>
      </c>
      <c r="D198">
        <v>79.929512024000005</v>
      </c>
      <c r="E198">
        <v>50</v>
      </c>
      <c r="F198">
        <v>14.997694016000001</v>
      </c>
      <c r="G198">
        <v>1347.6657714999999</v>
      </c>
      <c r="H198">
        <v>1343.6981201000001</v>
      </c>
      <c r="I198">
        <v>1313.7458495999999</v>
      </c>
      <c r="J198">
        <v>1305.7489014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18.333506</v>
      </c>
      <c r="B199" s="1">
        <f>DATE(2010,5,19) + TIME(8,0,14)</f>
        <v>40317.333495370367</v>
      </c>
      <c r="C199">
        <v>80</v>
      </c>
      <c r="D199">
        <v>79.929550171000002</v>
      </c>
      <c r="E199">
        <v>50</v>
      </c>
      <c r="F199">
        <v>14.997707367</v>
      </c>
      <c r="G199">
        <v>1347.6452637</v>
      </c>
      <c r="H199">
        <v>1343.6778564000001</v>
      </c>
      <c r="I199">
        <v>1313.7469481999999</v>
      </c>
      <c r="J199">
        <v>1305.7496338000001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18.623861999999999</v>
      </c>
      <c r="B200" s="1">
        <f>DATE(2010,5,19) + TIME(14,58,21)</f>
        <v>40317.623854166668</v>
      </c>
      <c r="C200">
        <v>80</v>
      </c>
      <c r="D200">
        <v>79.929595946999996</v>
      </c>
      <c r="E200">
        <v>50</v>
      </c>
      <c r="F200">
        <v>14.997720718</v>
      </c>
      <c r="G200">
        <v>1347.6248779</v>
      </c>
      <c r="H200">
        <v>1343.6577147999999</v>
      </c>
      <c r="I200">
        <v>1313.7481689000001</v>
      </c>
      <c r="J200">
        <v>1305.7503661999999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18.917604999999998</v>
      </c>
      <c r="B201" s="1">
        <f>DATE(2010,5,19) + TIME(22,1,21)</f>
        <v>40317.917604166665</v>
      </c>
      <c r="C201">
        <v>80</v>
      </c>
      <c r="D201">
        <v>79.929634093999994</v>
      </c>
      <c r="E201">
        <v>50</v>
      </c>
      <c r="F201">
        <v>14.99773407</v>
      </c>
      <c r="G201">
        <v>1347.6043701000001</v>
      </c>
      <c r="H201">
        <v>1343.6374512</v>
      </c>
      <c r="I201">
        <v>1313.7492675999999</v>
      </c>
      <c r="J201">
        <v>1305.7510986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19.211988000000002</v>
      </c>
      <c r="B202" s="1">
        <f>DATE(2010,5,20) + TIME(5,5,15)</f>
        <v>40318.21197916667</v>
      </c>
      <c r="C202">
        <v>80</v>
      </c>
      <c r="D202">
        <v>79.929672241000006</v>
      </c>
      <c r="E202">
        <v>50</v>
      </c>
      <c r="F202">
        <v>14.997746468000001</v>
      </c>
      <c r="G202">
        <v>1347.5839844</v>
      </c>
      <c r="H202">
        <v>1343.6173096</v>
      </c>
      <c r="I202">
        <v>1313.7504882999999</v>
      </c>
      <c r="J202">
        <v>1305.7518310999999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19.507505999999999</v>
      </c>
      <c r="B203" s="1">
        <f>DATE(2010,5,20) + TIME(12,10,48)</f>
        <v>40318.5075</v>
      </c>
      <c r="C203">
        <v>80</v>
      </c>
      <c r="D203">
        <v>79.929710388000004</v>
      </c>
      <c r="E203">
        <v>50</v>
      </c>
      <c r="F203">
        <v>14.997759819000001</v>
      </c>
      <c r="G203">
        <v>1347.5639647999999</v>
      </c>
      <c r="H203">
        <v>1343.5975341999999</v>
      </c>
      <c r="I203">
        <v>1313.7517089999999</v>
      </c>
      <c r="J203">
        <v>1305.7525635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19.804646000000002</v>
      </c>
      <c r="B204" s="1">
        <f>DATE(2010,5,20) + TIME(19,18,41)</f>
        <v>40318.8046412037</v>
      </c>
      <c r="C204">
        <v>80</v>
      </c>
      <c r="D204">
        <v>79.929748535000002</v>
      </c>
      <c r="E204">
        <v>50</v>
      </c>
      <c r="F204">
        <v>14.997772217</v>
      </c>
      <c r="G204">
        <v>1347.5439452999999</v>
      </c>
      <c r="H204">
        <v>1343.5778809000001</v>
      </c>
      <c r="I204">
        <v>1313.7529297000001</v>
      </c>
      <c r="J204">
        <v>1305.7532959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20.103895999999999</v>
      </c>
      <c r="B205" s="1">
        <f>DATE(2010,5,21) + TIME(2,29,36)</f>
        <v>40319.103888888887</v>
      </c>
      <c r="C205">
        <v>80</v>
      </c>
      <c r="D205">
        <v>79.929786682</v>
      </c>
      <c r="E205">
        <v>50</v>
      </c>
      <c r="F205">
        <v>14.997784615</v>
      </c>
      <c r="G205">
        <v>1347.5242920000001</v>
      </c>
      <c r="H205">
        <v>1343.5585937999999</v>
      </c>
      <c r="I205">
        <v>1313.7541504000001</v>
      </c>
      <c r="J205">
        <v>1305.7541504000001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20.405750999999999</v>
      </c>
      <c r="B206" s="1">
        <f>DATE(2010,5,21) + TIME(9,44,16)</f>
        <v>40319.405740740738</v>
      </c>
      <c r="C206">
        <v>80</v>
      </c>
      <c r="D206">
        <v>79.929824828999998</v>
      </c>
      <c r="E206">
        <v>50</v>
      </c>
      <c r="F206">
        <v>14.997797966</v>
      </c>
      <c r="G206">
        <v>1347.5046387</v>
      </c>
      <c r="H206">
        <v>1343.5393065999999</v>
      </c>
      <c r="I206">
        <v>1313.755249</v>
      </c>
      <c r="J206">
        <v>1305.7548827999999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20.710718</v>
      </c>
      <c r="B207" s="1">
        <f>DATE(2010,5,21) + TIME(17,3,26)</f>
        <v>40319.710717592592</v>
      </c>
      <c r="C207">
        <v>80</v>
      </c>
      <c r="D207">
        <v>79.929862975999995</v>
      </c>
      <c r="E207">
        <v>50</v>
      </c>
      <c r="F207">
        <v>14.997810363999999</v>
      </c>
      <c r="G207">
        <v>1347.4852295000001</v>
      </c>
      <c r="H207">
        <v>1343.5202637</v>
      </c>
      <c r="I207">
        <v>1313.7564697</v>
      </c>
      <c r="J207">
        <v>1305.7556152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21.019323</v>
      </c>
      <c r="B208" s="1">
        <f>DATE(2010,5,22) + TIME(0,27,49)</f>
        <v>40320.019317129627</v>
      </c>
      <c r="C208">
        <v>80</v>
      </c>
      <c r="D208">
        <v>79.929901122999993</v>
      </c>
      <c r="E208">
        <v>50</v>
      </c>
      <c r="F208">
        <v>14.997822762</v>
      </c>
      <c r="G208">
        <v>1347.4658202999999</v>
      </c>
      <c r="H208">
        <v>1343.5012207</v>
      </c>
      <c r="I208">
        <v>1313.7578125</v>
      </c>
      <c r="J208">
        <v>1305.7564697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21.332111999999999</v>
      </c>
      <c r="B209" s="1">
        <f>DATE(2010,5,22) + TIME(7,58,14)</f>
        <v>40320.332106481481</v>
      </c>
      <c r="C209">
        <v>80</v>
      </c>
      <c r="D209">
        <v>79.929939270000006</v>
      </c>
      <c r="E209">
        <v>50</v>
      </c>
      <c r="F209">
        <v>14.997835158999999</v>
      </c>
      <c r="G209">
        <v>1347.4464111</v>
      </c>
      <c r="H209">
        <v>1343.4822998</v>
      </c>
      <c r="I209">
        <v>1313.7590332</v>
      </c>
      <c r="J209">
        <v>1305.7572021000001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21.649673</v>
      </c>
      <c r="B210" s="1">
        <f>DATE(2010,5,22) + TIME(15,35,31)</f>
        <v>40320.649664351855</v>
      </c>
      <c r="C210">
        <v>80</v>
      </c>
      <c r="D210">
        <v>79.929977417000003</v>
      </c>
      <c r="E210">
        <v>50</v>
      </c>
      <c r="F210">
        <v>14.997848511000001</v>
      </c>
      <c r="G210">
        <v>1347.427124</v>
      </c>
      <c r="H210">
        <v>1343.4633789</v>
      </c>
      <c r="I210">
        <v>1313.7602539</v>
      </c>
      <c r="J210">
        <v>1305.7580565999999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21.972733000000002</v>
      </c>
      <c r="B211" s="1">
        <f>DATE(2010,5,22) + TIME(23,20,44)</f>
        <v>40320.972731481481</v>
      </c>
      <c r="C211">
        <v>80</v>
      </c>
      <c r="D211">
        <v>79.930023192999997</v>
      </c>
      <c r="E211">
        <v>50</v>
      </c>
      <c r="F211">
        <v>14.997860909</v>
      </c>
      <c r="G211">
        <v>1347.4077147999999</v>
      </c>
      <c r="H211">
        <v>1343.4444579999999</v>
      </c>
      <c r="I211">
        <v>1313.7615966999999</v>
      </c>
      <c r="J211">
        <v>1305.7589111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22.301836000000002</v>
      </c>
      <c r="B212" s="1">
        <f>DATE(2010,5,23) + TIME(7,14,38)</f>
        <v>40321.301828703705</v>
      </c>
      <c r="C212">
        <v>80</v>
      </c>
      <c r="D212">
        <v>79.930061339999995</v>
      </c>
      <c r="E212">
        <v>50</v>
      </c>
      <c r="F212">
        <v>14.997873306000001</v>
      </c>
      <c r="G212">
        <v>1347.3883057</v>
      </c>
      <c r="H212">
        <v>1343.4255370999999</v>
      </c>
      <c r="I212">
        <v>1313.7629394999999</v>
      </c>
      <c r="J212">
        <v>1305.7597656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22.636030999999999</v>
      </c>
      <c r="B213" s="1">
        <f>DATE(2010,5,23) + TIME(15,15,53)</f>
        <v>40321.636030092595</v>
      </c>
      <c r="C213">
        <v>80</v>
      </c>
      <c r="D213">
        <v>79.930099487000007</v>
      </c>
      <c r="E213">
        <v>50</v>
      </c>
      <c r="F213">
        <v>14.997885704</v>
      </c>
      <c r="G213">
        <v>1347.3687743999999</v>
      </c>
      <c r="H213">
        <v>1343.4064940999999</v>
      </c>
      <c r="I213">
        <v>1313.7641602000001</v>
      </c>
      <c r="J213">
        <v>1305.7606201000001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22.972676</v>
      </c>
      <c r="B214" s="1">
        <f>DATE(2010,5,23) + TIME(23,20,39)</f>
        <v>40321.972673611112</v>
      </c>
      <c r="C214">
        <v>80</v>
      </c>
      <c r="D214">
        <v>79.930137634000005</v>
      </c>
      <c r="E214">
        <v>50</v>
      </c>
      <c r="F214">
        <v>14.997899055</v>
      </c>
      <c r="G214">
        <v>1347.3492432</v>
      </c>
      <c r="H214">
        <v>1343.3875731999999</v>
      </c>
      <c r="I214">
        <v>1313.765625</v>
      </c>
      <c r="J214">
        <v>1305.7614745999999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23.312304000000001</v>
      </c>
      <c r="B215" s="1">
        <f>DATE(2010,5,24) + TIME(7,29,43)</f>
        <v>40322.312303240738</v>
      </c>
      <c r="C215">
        <v>80</v>
      </c>
      <c r="D215">
        <v>79.930175781000003</v>
      </c>
      <c r="E215">
        <v>50</v>
      </c>
      <c r="F215">
        <v>14.997911453</v>
      </c>
      <c r="G215">
        <v>1347.3298339999999</v>
      </c>
      <c r="H215">
        <v>1343.3687743999999</v>
      </c>
      <c r="I215">
        <v>1313.7669678</v>
      </c>
      <c r="J215">
        <v>1305.7623291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23.655439999999999</v>
      </c>
      <c r="B216" s="1">
        <f>DATE(2010,5,24) + TIME(15,43,49)</f>
        <v>40322.655428240738</v>
      </c>
      <c r="C216">
        <v>80</v>
      </c>
      <c r="D216">
        <v>79.930213928000001</v>
      </c>
      <c r="E216">
        <v>50</v>
      </c>
      <c r="F216">
        <v>14.997923850999999</v>
      </c>
      <c r="G216">
        <v>1347.3105469</v>
      </c>
      <c r="H216">
        <v>1343.3500977000001</v>
      </c>
      <c r="I216">
        <v>1313.7683105000001</v>
      </c>
      <c r="J216">
        <v>1305.7631836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24.00263</v>
      </c>
      <c r="B217" s="1">
        <f>DATE(2010,5,25) + TIME(0,3,47)</f>
        <v>40323.002627314818</v>
      </c>
      <c r="C217">
        <v>80</v>
      </c>
      <c r="D217">
        <v>79.930252074999999</v>
      </c>
      <c r="E217">
        <v>50</v>
      </c>
      <c r="F217">
        <v>14.997936249</v>
      </c>
      <c r="G217">
        <v>1347.2912598</v>
      </c>
      <c r="H217">
        <v>1343.3314209</v>
      </c>
      <c r="I217">
        <v>1313.7697754000001</v>
      </c>
      <c r="J217">
        <v>1305.7641602000001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24.352269</v>
      </c>
      <c r="B218" s="1">
        <f>DATE(2010,5,25) + TIME(8,27,16)</f>
        <v>40323.352268518516</v>
      </c>
      <c r="C218">
        <v>80</v>
      </c>
      <c r="D218">
        <v>79.930290221999996</v>
      </c>
      <c r="E218">
        <v>50</v>
      </c>
      <c r="F218">
        <v>14.997948646999999</v>
      </c>
      <c r="G218">
        <v>1347.2720947</v>
      </c>
      <c r="H218">
        <v>1343.3128661999999</v>
      </c>
      <c r="I218">
        <v>1313.7711182</v>
      </c>
      <c r="J218">
        <v>1305.7650146000001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24.702749000000001</v>
      </c>
      <c r="B219" s="1">
        <f>DATE(2010,5,25) + TIME(16,51,57)</f>
        <v>40323.702743055554</v>
      </c>
      <c r="C219">
        <v>80</v>
      </c>
      <c r="D219">
        <v>79.930328368999994</v>
      </c>
      <c r="E219">
        <v>50</v>
      </c>
      <c r="F219">
        <v>14.997961044</v>
      </c>
      <c r="G219">
        <v>1347.2530518000001</v>
      </c>
      <c r="H219">
        <v>1343.2945557</v>
      </c>
      <c r="I219">
        <v>1313.7725829999999</v>
      </c>
      <c r="J219">
        <v>1305.7659911999999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25.054682</v>
      </c>
      <c r="B220" s="1">
        <f>DATE(2010,5,26) + TIME(1,18,44)</f>
        <v>40324.054675925923</v>
      </c>
      <c r="C220">
        <v>80</v>
      </c>
      <c r="D220">
        <v>79.930366516000007</v>
      </c>
      <c r="E220">
        <v>50</v>
      </c>
      <c r="F220">
        <v>14.997973441999999</v>
      </c>
      <c r="G220">
        <v>1347.2342529</v>
      </c>
      <c r="H220">
        <v>1343.2763672000001</v>
      </c>
      <c r="I220">
        <v>1313.7739257999999</v>
      </c>
      <c r="J220">
        <v>1305.7668457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25.408674999999999</v>
      </c>
      <c r="B221" s="1">
        <f>DATE(2010,5,26) + TIME(9,48,29)</f>
        <v>40324.408668981479</v>
      </c>
      <c r="C221">
        <v>80</v>
      </c>
      <c r="D221">
        <v>79.930404663000004</v>
      </c>
      <c r="E221">
        <v>50</v>
      </c>
      <c r="F221">
        <v>14.99798584</v>
      </c>
      <c r="G221">
        <v>1347.2155762</v>
      </c>
      <c r="H221">
        <v>1343.2583007999999</v>
      </c>
      <c r="I221">
        <v>1313.7753906</v>
      </c>
      <c r="J221">
        <v>1305.7678223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25.765329999999999</v>
      </c>
      <c r="B222" s="1">
        <f>DATE(2010,5,26) + TIME(18,22,4)</f>
        <v>40324.765324074076</v>
      </c>
      <c r="C222">
        <v>80</v>
      </c>
      <c r="D222">
        <v>79.930442810000002</v>
      </c>
      <c r="E222">
        <v>50</v>
      </c>
      <c r="F222">
        <v>14.997998237999999</v>
      </c>
      <c r="G222">
        <v>1347.1970214999999</v>
      </c>
      <c r="H222">
        <v>1343.2404785000001</v>
      </c>
      <c r="I222">
        <v>1313.7768555</v>
      </c>
      <c r="J222">
        <v>1305.7687988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26.125252</v>
      </c>
      <c r="B223" s="1">
        <f>DATE(2010,5,27) + TIME(3,0,21)</f>
        <v>40325.125243055554</v>
      </c>
      <c r="C223">
        <v>80</v>
      </c>
      <c r="D223">
        <v>79.930480957</v>
      </c>
      <c r="E223">
        <v>50</v>
      </c>
      <c r="F223">
        <v>14.998010635</v>
      </c>
      <c r="G223">
        <v>1347.1785889</v>
      </c>
      <c r="H223">
        <v>1343.2229004000001</v>
      </c>
      <c r="I223">
        <v>1313.7783202999999</v>
      </c>
      <c r="J223">
        <v>1305.7697754000001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26.489073000000001</v>
      </c>
      <c r="B224" s="1">
        <f>DATE(2010,5,27) + TIME(11,44,15)</f>
        <v>40325.489062499997</v>
      </c>
      <c r="C224">
        <v>80</v>
      </c>
      <c r="D224">
        <v>79.930519103999998</v>
      </c>
      <c r="E224">
        <v>50</v>
      </c>
      <c r="F224">
        <v>14.998022079</v>
      </c>
      <c r="G224">
        <v>1347.1602783000001</v>
      </c>
      <c r="H224">
        <v>1343.2052002</v>
      </c>
      <c r="I224">
        <v>1313.7797852000001</v>
      </c>
      <c r="J224">
        <v>1305.7706298999999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26.857448000000002</v>
      </c>
      <c r="B225" s="1">
        <f>DATE(2010,5,27) + TIME(20,34,43)</f>
        <v>40325.857442129629</v>
      </c>
      <c r="C225">
        <v>80</v>
      </c>
      <c r="D225">
        <v>79.930557250999996</v>
      </c>
      <c r="E225">
        <v>50</v>
      </c>
      <c r="F225">
        <v>14.998034476999999</v>
      </c>
      <c r="G225">
        <v>1347.1419678</v>
      </c>
      <c r="H225">
        <v>1343.1877440999999</v>
      </c>
      <c r="I225">
        <v>1313.7813721</v>
      </c>
      <c r="J225">
        <v>1305.7716064000001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27.231062999999999</v>
      </c>
      <c r="B226" s="1">
        <f>DATE(2010,5,28) + TIME(5,32,43)</f>
        <v>40326.231053240743</v>
      </c>
      <c r="C226">
        <v>80</v>
      </c>
      <c r="D226">
        <v>79.930603027000004</v>
      </c>
      <c r="E226">
        <v>50</v>
      </c>
      <c r="F226">
        <v>14.998046875</v>
      </c>
      <c r="G226">
        <v>1347.1236572</v>
      </c>
      <c r="H226">
        <v>1343.1701660000001</v>
      </c>
      <c r="I226">
        <v>1313.7828368999999</v>
      </c>
      <c r="J226">
        <v>1305.7725829999999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27.610710000000001</v>
      </c>
      <c r="B227" s="1">
        <f>DATE(2010,5,28) + TIME(14,39,25)</f>
        <v>40326.610706018517</v>
      </c>
      <c r="C227">
        <v>80</v>
      </c>
      <c r="D227">
        <v>79.930641174000002</v>
      </c>
      <c r="E227">
        <v>50</v>
      </c>
      <c r="F227">
        <v>14.998059273000001</v>
      </c>
      <c r="G227">
        <v>1347.1053466999999</v>
      </c>
      <c r="H227">
        <v>1343.1527100000001</v>
      </c>
      <c r="I227">
        <v>1313.7844238</v>
      </c>
      <c r="J227">
        <v>1305.7736815999999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27.997195000000001</v>
      </c>
      <c r="B228" s="1">
        <f>DATE(2010,5,28) + TIME(23,55,57)</f>
        <v>40326.997187499997</v>
      </c>
      <c r="C228">
        <v>80</v>
      </c>
      <c r="D228">
        <v>79.930679321</v>
      </c>
      <c r="E228">
        <v>50</v>
      </c>
      <c r="F228">
        <v>14.998070716999999</v>
      </c>
      <c r="G228">
        <v>1347.0870361</v>
      </c>
      <c r="H228">
        <v>1343.1352539</v>
      </c>
      <c r="I228">
        <v>1313.7860106999999</v>
      </c>
      <c r="J228">
        <v>1305.7746582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28.391135999999999</v>
      </c>
      <c r="B229" s="1">
        <f>DATE(2010,5,29) + TIME(9,23,14)</f>
        <v>40327.391134259262</v>
      </c>
      <c r="C229">
        <v>80</v>
      </c>
      <c r="D229">
        <v>79.930717467999997</v>
      </c>
      <c r="E229">
        <v>50</v>
      </c>
      <c r="F229">
        <v>14.998083115</v>
      </c>
      <c r="G229">
        <v>1347.0686035000001</v>
      </c>
      <c r="H229">
        <v>1343.1176757999999</v>
      </c>
      <c r="I229">
        <v>1313.7875977000001</v>
      </c>
      <c r="J229">
        <v>1305.7757568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28.786864999999999</v>
      </c>
      <c r="B230" s="1">
        <f>DATE(2010,5,29) + TIME(18,53,5)</f>
        <v>40327.786863425928</v>
      </c>
      <c r="C230">
        <v>80</v>
      </c>
      <c r="D230">
        <v>79.930755614999995</v>
      </c>
      <c r="E230">
        <v>50</v>
      </c>
      <c r="F230">
        <v>14.998095512000001</v>
      </c>
      <c r="G230">
        <v>1347.0500488</v>
      </c>
      <c r="H230">
        <v>1343.0999756000001</v>
      </c>
      <c r="I230">
        <v>1313.7891846</v>
      </c>
      <c r="J230">
        <v>1305.7767334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29.185003999999999</v>
      </c>
      <c r="B231" s="1">
        <f>DATE(2010,5,30) + TIME(4,26,24)</f>
        <v>40328.184999999998</v>
      </c>
      <c r="C231">
        <v>80</v>
      </c>
      <c r="D231">
        <v>79.930793761999993</v>
      </c>
      <c r="E231">
        <v>50</v>
      </c>
      <c r="F231">
        <v>14.99810791</v>
      </c>
      <c r="G231">
        <v>1347.0316161999999</v>
      </c>
      <c r="H231">
        <v>1343.0825195</v>
      </c>
      <c r="I231">
        <v>1313.7907714999999</v>
      </c>
      <c r="J231">
        <v>1305.777832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29.586165999999999</v>
      </c>
      <c r="B232" s="1">
        <f>DATE(2010,5,30) + TIME(14,4,4)</f>
        <v>40328.586157407408</v>
      </c>
      <c r="C232">
        <v>80</v>
      </c>
      <c r="D232">
        <v>79.930839539000004</v>
      </c>
      <c r="E232">
        <v>50</v>
      </c>
      <c r="F232">
        <v>14.998120308000001</v>
      </c>
      <c r="G232">
        <v>1347.0134277</v>
      </c>
      <c r="H232">
        <v>1343.0651855000001</v>
      </c>
      <c r="I232">
        <v>1313.7924805</v>
      </c>
      <c r="J232">
        <v>1305.7789307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29.990971999999999</v>
      </c>
      <c r="B233" s="1">
        <f>DATE(2010,5,30) + TIME(23,47,0)</f>
        <v>40328.990972222222</v>
      </c>
      <c r="C233">
        <v>80</v>
      </c>
      <c r="D233">
        <v>79.930877686000002</v>
      </c>
      <c r="E233">
        <v>50</v>
      </c>
      <c r="F233">
        <v>14.998131752000001</v>
      </c>
      <c r="G233">
        <v>1346.9952393000001</v>
      </c>
      <c r="H233">
        <v>1343.0479736</v>
      </c>
      <c r="I233">
        <v>1313.7941894999999</v>
      </c>
      <c r="J233">
        <v>1305.7800293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30.400054000000001</v>
      </c>
      <c r="B234" s="1">
        <f>DATE(2010,5,31) + TIME(9,36,4)</f>
        <v>40329.400046296294</v>
      </c>
      <c r="C234">
        <v>80</v>
      </c>
      <c r="D234">
        <v>79.930915833</v>
      </c>
      <c r="E234">
        <v>50</v>
      </c>
      <c r="F234">
        <v>14.99814415</v>
      </c>
      <c r="G234">
        <v>1346.9771728999999</v>
      </c>
      <c r="H234">
        <v>1343.0308838000001</v>
      </c>
      <c r="I234">
        <v>1313.7958983999999</v>
      </c>
      <c r="J234">
        <v>1305.7811279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30.811122000000001</v>
      </c>
      <c r="B235" s="1">
        <f>DATE(2010,5,31) + TIME(19,28,0)</f>
        <v>40329.811111111114</v>
      </c>
      <c r="C235">
        <v>80</v>
      </c>
      <c r="D235">
        <v>79.930953978999995</v>
      </c>
      <c r="E235">
        <v>50</v>
      </c>
      <c r="F235">
        <v>14.998156548000001</v>
      </c>
      <c r="G235">
        <v>1346.9591064000001</v>
      </c>
      <c r="H235">
        <v>1343.0137939000001</v>
      </c>
      <c r="I235">
        <v>1313.7976074000001</v>
      </c>
      <c r="J235">
        <v>1305.7822266000001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31</v>
      </c>
      <c r="B236" s="1">
        <f>DATE(2010,6,1) + TIME(0,0,0)</f>
        <v>40330</v>
      </c>
      <c r="C236">
        <v>80</v>
      </c>
      <c r="D236">
        <v>79.930953978999995</v>
      </c>
      <c r="E236">
        <v>50</v>
      </c>
      <c r="F236">
        <v>14.998163223000001</v>
      </c>
      <c r="G236">
        <v>1346.9431152</v>
      </c>
      <c r="H236">
        <v>1342.9984131000001</v>
      </c>
      <c r="I236">
        <v>1313.7987060999999</v>
      </c>
      <c r="J236">
        <v>1305.7829589999999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31.412825999999999</v>
      </c>
      <c r="B237" s="1">
        <f>DATE(2010,6,1) + TIME(9,54,28)</f>
        <v>40330.412824074076</v>
      </c>
      <c r="C237">
        <v>80</v>
      </c>
      <c r="D237">
        <v>79.931015015</v>
      </c>
      <c r="E237">
        <v>50</v>
      </c>
      <c r="F237">
        <v>14.998174667000001</v>
      </c>
      <c r="G237">
        <v>1346.9323730000001</v>
      </c>
      <c r="H237">
        <v>1342.9885254000001</v>
      </c>
      <c r="I237">
        <v>1313.800293</v>
      </c>
      <c r="J237">
        <v>1305.7840576000001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31.829685999999999</v>
      </c>
      <c r="B238" s="1">
        <f>DATE(2010,6,1) + TIME(19,54,44)</f>
        <v>40330.829675925925</v>
      </c>
      <c r="C238">
        <v>80</v>
      </c>
      <c r="D238">
        <v>79.931053161999998</v>
      </c>
      <c r="E238">
        <v>50</v>
      </c>
      <c r="F238">
        <v>14.998186111000001</v>
      </c>
      <c r="G238">
        <v>1346.9152832</v>
      </c>
      <c r="H238">
        <v>1342.9724120999999</v>
      </c>
      <c r="I238">
        <v>1313.8018798999999</v>
      </c>
      <c r="J238">
        <v>1305.7850341999999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32.250061000000002</v>
      </c>
      <c r="B239" s="1">
        <f>DATE(2010,6,2) + TIME(6,0,5)</f>
        <v>40331.250057870369</v>
      </c>
      <c r="C239">
        <v>80</v>
      </c>
      <c r="D239">
        <v>79.931098938000005</v>
      </c>
      <c r="E239">
        <v>50</v>
      </c>
      <c r="F239">
        <v>14.998197555999999</v>
      </c>
      <c r="G239">
        <v>1346.8977050999999</v>
      </c>
      <c r="H239">
        <v>1342.9558105000001</v>
      </c>
      <c r="I239">
        <v>1313.8035889</v>
      </c>
      <c r="J239">
        <v>1305.7861327999999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32.674756000000002</v>
      </c>
      <c r="B240" s="1">
        <f>DATE(2010,6,2) + TIME(16,11,38)</f>
        <v>40331.674745370372</v>
      </c>
      <c r="C240">
        <v>80</v>
      </c>
      <c r="D240">
        <v>79.931137085000003</v>
      </c>
      <c r="E240">
        <v>50</v>
      </c>
      <c r="F240">
        <v>14.998209953</v>
      </c>
      <c r="G240">
        <v>1346.880249</v>
      </c>
      <c r="H240">
        <v>1342.9393310999999</v>
      </c>
      <c r="I240">
        <v>1313.8054199000001</v>
      </c>
      <c r="J240">
        <v>1305.7873535000001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33.104562000000001</v>
      </c>
      <c r="B241" s="1">
        <f>DATE(2010,6,3) + TIME(2,30,34)</f>
        <v>40332.104560185187</v>
      </c>
      <c r="C241">
        <v>80</v>
      </c>
      <c r="D241">
        <v>79.931175232000001</v>
      </c>
      <c r="E241">
        <v>50</v>
      </c>
      <c r="F241">
        <v>14.998221397</v>
      </c>
      <c r="G241">
        <v>1346.862793</v>
      </c>
      <c r="H241">
        <v>1342.9229736</v>
      </c>
      <c r="I241">
        <v>1313.807251</v>
      </c>
      <c r="J241">
        <v>1305.7885742000001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33.540295</v>
      </c>
      <c r="B242" s="1">
        <f>DATE(2010,6,3) + TIME(12,58,1)</f>
        <v>40332.540289351855</v>
      </c>
      <c r="C242">
        <v>80</v>
      </c>
      <c r="D242">
        <v>79.931213378999999</v>
      </c>
      <c r="E242">
        <v>50</v>
      </c>
      <c r="F242">
        <v>14.998232841</v>
      </c>
      <c r="G242">
        <v>1346.8453368999999</v>
      </c>
      <c r="H242">
        <v>1342.9066161999999</v>
      </c>
      <c r="I242">
        <v>1313.809082</v>
      </c>
      <c r="J242">
        <v>1305.7896728999999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33.982818000000002</v>
      </c>
      <c r="B243" s="1">
        <f>DATE(2010,6,3) + TIME(23,35,15)</f>
        <v>40332.982812499999</v>
      </c>
      <c r="C243">
        <v>80</v>
      </c>
      <c r="D243">
        <v>79.931259155000006</v>
      </c>
      <c r="E243">
        <v>50</v>
      </c>
      <c r="F243">
        <v>14.998245238999999</v>
      </c>
      <c r="G243">
        <v>1346.8277588000001</v>
      </c>
      <c r="H243">
        <v>1342.8901367000001</v>
      </c>
      <c r="I243">
        <v>1313.8109131000001</v>
      </c>
      <c r="J243">
        <v>1305.7908935999999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34.433219000000001</v>
      </c>
      <c r="B244" s="1">
        <f>DATE(2010,6,4) + TIME(10,23,50)</f>
        <v>40333.433217592596</v>
      </c>
      <c r="C244">
        <v>80</v>
      </c>
      <c r="D244">
        <v>79.931297302000004</v>
      </c>
      <c r="E244">
        <v>50</v>
      </c>
      <c r="F244">
        <v>14.998256682999999</v>
      </c>
      <c r="G244">
        <v>1346.8103027</v>
      </c>
      <c r="H244">
        <v>1342.8737793</v>
      </c>
      <c r="I244">
        <v>1313.8128661999999</v>
      </c>
      <c r="J244">
        <v>1305.7922363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34.892358000000002</v>
      </c>
      <c r="B245" s="1">
        <f>DATE(2010,6,4) + TIME(21,24,59)</f>
        <v>40333.89234953704</v>
      </c>
      <c r="C245">
        <v>80</v>
      </c>
      <c r="D245">
        <v>79.931343079000001</v>
      </c>
      <c r="E245">
        <v>50</v>
      </c>
      <c r="F245">
        <v>14.998269081</v>
      </c>
      <c r="G245">
        <v>1346.7926024999999</v>
      </c>
      <c r="H245">
        <v>1342.8571777</v>
      </c>
      <c r="I245">
        <v>1313.8146973</v>
      </c>
      <c r="J245">
        <v>1305.793457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35.353254</v>
      </c>
      <c r="B246" s="1">
        <f>DATE(2010,6,5) + TIME(8,28,41)</f>
        <v>40334.353252314817</v>
      </c>
      <c r="C246">
        <v>80</v>
      </c>
      <c r="D246">
        <v>79.931381225999999</v>
      </c>
      <c r="E246">
        <v>50</v>
      </c>
      <c r="F246">
        <v>14.998281478999999</v>
      </c>
      <c r="G246">
        <v>1346.7749022999999</v>
      </c>
      <c r="H246">
        <v>1342.8406981999999</v>
      </c>
      <c r="I246">
        <v>1313.8167725000001</v>
      </c>
      <c r="J246">
        <v>1305.7947998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35.815961000000001</v>
      </c>
      <c r="B247" s="1">
        <f>DATE(2010,6,5) + TIME(19,34,59)</f>
        <v>40334.815960648149</v>
      </c>
      <c r="C247">
        <v>80</v>
      </c>
      <c r="D247">
        <v>79.931427002000007</v>
      </c>
      <c r="E247">
        <v>50</v>
      </c>
      <c r="F247">
        <v>14.998292922999999</v>
      </c>
      <c r="G247">
        <v>1346.7573242000001</v>
      </c>
      <c r="H247">
        <v>1342.8242187999999</v>
      </c>
      <c r="I247">
        <v>1313.8187256000001</v>
      </c>
      <c r="J247">
        <v>1305.7960204999999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36.281190000000002</v>
      </c>
      <c r="B248" s="1">
        <f>DATE(2010,6,6) + TIME(6,44,54)</f>
        <v>40335.281180555554</v>
      </c>
      <c r="C248">
        <v>80</v>
      </c>
      <c r="D248">
        <v>79.931465149000005</v>
      </c>
      <c r="E248">
        <v>50</v>
      </c>
      <c r="F248">
        <v>14.998305321</v>
      </c>
      <c r="G248">
        <v>1346.7398682</v>
      </c>
      <c r="H248">
        <v>1342.8079834</v>
      </c>
      <c r="I248">
        <v>1313.8206786999999</v>
      </c>
      <c r="J248">
        <v>1305.7973632999999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36.749661000000003</v>
      </c>
      <c r="B249" s="1">
        <f>DATE(2010,6,6) + TIME(17,59,30)</f>
        <v>40335.749652777777</v>
      </c>
      <c r="C249">
        <v>80</v>
      </c>
      <c r="D249">
        <v>79.931510924999998</v>
      </c>
      <c r="E249">
        <v>50</v>
      </c>
      <c r="F249">
        <v>14.998316765</v>
      </c>
      <c r="G249">
        <v>1346.7224120999999</v>
      </c>
      <c r="H249">
        <v>1342.7918701000001</v>
      </c>
      <c r="I249">
        <v>1313.8227539</v>
      </c>
      <c r="J249">
        <v>1305.7987060999999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37.221434000000002</v>
      </c>
      <c r="B250" s="1">
        <f>DATE(2010,6,7) + TIME(5,18,51)</f>
        <v>40336.22142361111</v>
      </c>
      <c r="C250">
        <v>80</v>
      </c>
      <c r="D250">
        <v>79.931556701999995</v>
      </c>
      <c r="E250">
        <v>50</v>
      </c>
      <c r="F250">
        <v>14.998328209</v>
      </c>
      <c r="G250">
        <v>1346.7052002</v>
      </c>
      <c r="H250">
        <v>1342.7757568</v>
      </c>
      <c r="I250">
        <v>1313.8248291</v>
      </c>
      <c r="J250">
        <v>1305.8000488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37.694982000000003</v>
      </c>
      <c r="B251" s="1">
        <f>DATE(2010,6,7) + TIME(16,40,46)</f>
        <v>40336.694976851853</v>
      </c>
      <c r="C251">
        <v>80</v>
      </c>
      <c r="D251">
        <v>79.931594849000007</v>
      </c>
      <c r="E251">
        <v>50</v>
      </c>
      <c r="F251">
        <v>14.998340606999999</v>
      </c>
      <c r="G251">
        <v>1346.6879882999999</v>
      </c>
      <c r="H251">
        <v>1342.7598877</v>
      </c>
      <c r="I251">
        <v>1313.8269043</v>
      </c>
      <c r="J251">
        <v>1305.8013916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38.171185999999999</v>
      </c>
      <c r="B252" s="1">
        <f>DATE(2010,6,8) + TIME(4,6,30)</f>
        <v>40337.171180555553</v>
      </c>
      <c r="C252">
        <v>80</v>
      </c>
      <c r="D252">
        <v>79.931640625</v>
      </c>
      <c r="E252">
        <v>50</v>
      </c>
      <c r="F252">
        <v>14.998352050999999</v>
      </c>
      <c r="G252">
        <v>1346.6710204999999</v>
      </c>
      <c r="H252">
        <v>1342.7441406</v>
      </c>
      <c r="I252">
        <v>1313.8289795000001</v>
      </c>
      <c r="J252">
        <v>1305.8027344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38.650931</v>
      </c>
      <c r="B253" s="1">
        <f>DATE(2010,6,8) + TIME(15,37,20)</f>
        <v>40337.650925925926</v>
      </c>
      <c r="C253">
        <v>80</v>
      </c>
      <c r="D253">
        <v>79.931678771999998</v>
      </c>
      <c r="E253">
        <v>50</v>
      </c>
      <c r="F253">
        <v>14.998363495</v>
      </c>
      <c r="G253">
        <v>1346.6540527</v>
      </c>
      <c r="H253">
        <v>1342.7283935999999</v>
      </c>
      <c r="I253">
        <v>1313.8310547000001</v>
      </c>
      <c r="J253">
        <v>1305.8040771000001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39.135111000000002</v>
      </c>
      <c r="B254" s="1">
        <f>DATE(2010,6,9) + TIME(3,14,33)</f>
        <v>40338.135104166664</v>
      </c>
      <c r="C254">
        <v>80</v>
      </c>
      <c r="D254">
        <v>79.931724548000005</v>
      </c>
      <c r="E254">
        <v>50</v>
      </c>
      <c r="F254">
        <v>14.998375893</v>
      </c>
      <c r="G254">
        <v>1346.637207</v>
      </c>
      <c r="H254">
        <v>1342.7127685999999</v>
      </c>
      <c r="I254">
        <v>1313.8332519999999</v>
      </c>
      <c r="J254">
        <v>1305.8055420000001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39.624650000000003</v>
      </c>
      <c r="B255" s="1">
        <f>DATE(2010,6,9) + TIME(14,59,29)</f>
        <v>40338.624641203707</v>
      </c>
      <c r="C255">
        <v>80</v>
      </c>
      <c r="D255">
        <v>79.931762695000003</v>
      </c>
      <c r="E255">
        <v>50</v>
      </c>
      <c r="F255">
        <v>14.998387337</v>
      </c>
      <c r="G255">
        <v>1346.6204834</v>
      </c>
      <c r="H255">
        <v>1342.6972656</v>
      </c>
      <c r="I255">
        <v>1313.8353271000001</v>
      </c>
      <c r="J255">
        <v>1305.8068848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40.120480000000001</v>
      </c>
      <c r="B256" s="1">
        <f>DATE(2010,6,10) + TIME(2,53,29)</f>
        <v>40339.120474537034</v>
      </c>
      <c r="C256">
        <v>80</v>
      </c>
      <c r="D256">
        <v>79.931808472</v>
      </c>
      <c r="E256">
        <v>50</v>
      </c>
      <c r="F256">
        <v>14.998398781000001</v>
      </c>
      <c r="G256">
        <v>1346.6036377</v>
      </c>
      <c r="H256">
        <v>1342.6817627</v>
      </c>
      <c r="I256">
        <v>1313.8375243999999</v>
      </c>
      <c r="J256">
        <v>1305.8083495999999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40.623593</v>
      </c>
      <c r="B257" s="1">
        <f>DATE(2010,6,10) + TIME(14,57,58)</f>
        <v>40339.62358796296</v>
      </c>
      <c r="C257">
        <v>80</v>
      </c>
      <c r="D257">
        <v>79.931854247999993</v>
      </c>
      <c r="E257">
        <v>50</v>
      </c>
      <c r="F257">
        <v>14.998410225000001</v>
      </c>
      <c r="G257">
        <v>1346.5867920000001</v>
      </c>
      <c r="H257">
        <v>1342.6662598</v>
      </c>
      <c r="I257">
        <v>1313.8397216999999</v>
      </c>
      <c r="J257">
        <v>1305.8098144999999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41.135088000000003</v>
      </c>
      <c r="B258" s="1">
        <f>DATE(2010,6,11) + TIME(3,14,31)</f>
        <v>40340.135081018518</v>
      </c>
      <c r="C258">
        <v>80</v>
      </c>
      <c r="D258">
        <v>79.931900024000001</v>
      </c>
      <c r="E258">
        <v>50</v>
      </c>
      <c r="F258">
        <v>14.998422623</v>
      </c>
      <c r="G258">
        <v>1346.5699463000001</v>
      </c>
      <c r="H258">
        <v>1342.6507568</v>
      </c>
      <c r="I258">
        <v>1313.8420410000001</v>
      </c>
      <c r="J258">
        <v>1305.8112793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41.656143999999998</v>
      </c>
      <c r="B259" s="1">
        <f>DATE(2010,6,11) + TIME(15,44,50)</f>
        <v>40340.656134259261</v>
      </c>
      <c r="C259">
        <v>80</v>
      </c>
      <c r="D259">
        <v>79.931945800999998</v>
      </c>
      <c r="E259">
        <v>50</v>
      </c>
      <c r="F259">
        <v>14.998434067</v>
      </c>
      <c r="G259">
        <v>1346.5531006000001</v>
      </c>
      <c r="H259">
        <v>1342.6352539</v>
      </c>
      <c r="I259">
        <v>1313.8443603999999</v>
      </c>
      <c r="J259">
        <v>1305.8128661999999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42.185409999999997</v>
      </c>
      <c r="B260" s="1">
        <f>DATE(2010,6,12) + TIME(4,26,59)</f>
        <v>40341.18540509259</v>
      </c>
      <c r="C260">
        <v>80</v>
      </c>
      <c r="D260">
        <v>79.931991577000005</v>
      </c>
      <c r="E260">
        <v>50</v>
      </c>
      <c r="F260">
        <v>14.998446465000001</v>
      </c>
      <c r="G260">
        <v>1346.5360106999999</v>
      </c>
      <c r="H260">
        <v>1342.6195068</v>
      </c>
      <c r="I260">
        <v>1313.8466797000001</v>
      </c>
      <c r="J260">
        <v>1305.8143310999999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42.715122999999998</v>
      </c>
      <c r="B261" s="1">
        <f>DATE(2010,6,12) + TIME(17,9,46)</f>
        <v>40341.715115740742</v>
      </c>
      <c r="C261">
        <v>80</v>
      </c>
      <c r="D261">
        <v>79.932037354000002</v>
      </c>
      <c r="E261">
        <v>50</v>
      </c>
      <c r="F261">
        <v>14.998457909000001</v>
      </c>
      <c r="G261">
        <v>1346.5189209</v>
      </c>
      <c r="H261">
        <v>1342.6038818</v>
      </c>
      <c r="I261">
        <v>1313.8491211</v>
      </c>
      <c r="J261">
        <v>1305.815918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43.246133</v>
      </c>
      <c r="B262" s="1">
        <f>DATE(2010,6,13) + TIME(5,54,25)</f>
        <v>40342.246122685188</v>
      </c>
      <c r="C262">
        <v>80</v>
      </c>
      <c r="D262">
        <v>79.932083129999995</v>
      </c>
      <c r="E262">
        <v>50</v>
      </c>
      <c r="F262">
        <v>14.998470306</v>
      </c>
      <c r="G262">
        <v>1346.5019531</v>
      </c>
      <c r="H262">
        <v>1342.5883789</v>
      </c>
      <c r="I262">
        <v>1313.8515625</v>
      </c>
      <c r="J262">
        <v>1305.8175048999999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43.778485000000003</v>
      </c>
      <c r="B263" s="1">
        <f>DATE(2010,6,13) + TIME(18,41,1)</f>
        <v>40342.778483796297</v>
      </c>
      <c r="C263">
        <v>80</v>
      </c>
      <c r="D263">
        <v>79.932128906000003</v>
      </c>
      <c r="E263">
        <v>50</v>
      </c>
      <c r="F263">
        <v>14.99848175</v>
      </c>
      <c r="G263">
        <v>1346.4852295000001</v>
      </c>
      <c r="H263">
        <v>1342.5729980000001</v>
      </c>
      <c r="I263">
        <v>1313.8540039</v>
      </c>
      <c r="J263">
        <v>1305.8190918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44.312102000000003</v>
      </c>
      <c r="B264" s="1">
        <f>DATE(2010,6,14) + TIME(7,29,25)</f>
        <v>40343.312094907407</v>
      </c>
      <c r="C264">
        <v>80</v>
      </c>
      <c r="D264">
        <v>79.932174683</v>
      </c>
      <c r="E264">
        <v>50</v>
      </c>
      <c r="F264">
        <v>14.998493195</v>
      </c>
      <c r="G264">
        <v>1346.4686279</v>
      </c>
      <c r="H264">
        <v>1342.5578613</v>
      </c>
      <c r="I264">
        <v>1313.8564452999999</v>
      </c>
      <c r="J264">
        <v>1305.8208007999999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44.847991999999998</v>
      </c>
      <c r="B265" s="1">
        <f>DATE(2010,6,14) + TIME(20,21,6)</f>
        <v>40343.847986111112</v>
      </c>
      <c r="C265">
        <v>80</v>
      </c>
      <c r="D265">
        <v>79.932220459000007</v>
      </c>
      <c r="E265">
        <v>50</v>
      </c>
      <c r="F265">
        <v>14.998505592000001</v>
      </c>
      <c r="G265">
        <v>1346.4521483999999</v>
      </c>
      <c r="H265">
        <v>1342.5428466999999</v>
      </c>
      <c r="I265">
        <v>1313.8588867000001</v>
      </c>
      <c r="J265">
        <v>1305.8223877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45.387157999999999</v>
      </c>
      <c r="B266" s="1">
        <f>DATE(2010,6,15) + TIME(9,17,30)</f>
        <v>40344.387152777781</v>
      </c>
      <c r="C266">
        <v>80</v>
      </c>
      <c r="D266">
        <v>79.932266235</v>
      </c>
      <c r="E266">
        <v>50</v>
      </c>
      <c r="F266">
        <v>14.998517036000001</v>
      </c>
      <c r="G266">
        <v>1346.4357910000001</v>
      </c>
      <c r="H266">
        <v>1342.527832</v>
      </c>
      <c r="I266">
        <v>1313.8614502</v>
      </c>
      <c r="J266">
        <v>1305.8239745999999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45.930638000000002</v>
      </c>
      <c r="B267" s="1">
        <f>DATE(2010,6,15) + TIME(22,20,7)</f>
        <v>40344.930636574078</v>
      </c>
      <c r="C267">
        <v>80</v>
      </c>
      <c r="D267">
        <v>79.932312011999997</v>
      </c>
      <c r="E267">
        <v>50</v>
      </c>
      <c r="F267">
        <v>14.998528480999999</v>
      </c>
      <c r="G267">
        <v>1346.4194336</v>
      </c>
      <c r="H267">
        <v>1342.5130615</v>
      </c>
      <c r="I267">
        <v>1313.8638916</v>
      </c>
      <c r="J267">
        <v>1305.8256836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46.479491000000003</v>
      </c>
      <c r="B268" s="1">
        <f>DATE(2010,6,16) + TIME(11,30,28)</f>
        <v>40345.479490740741</v>
      </c>
      <c r="C268">
        <v>80</v>
      </c>
      <c r="D268">
        <v>79.932357788000004</v>
      </c>
      <c r="E268">
        <v>50</v>
      </c>
      <c r="F268">
        <v>14.998539924999999</v>
      </c>
      <c r="G268">
        <v>1346.4033202999999</v>
      </c>
      <c r="H268">
        <v>1342.4982910000001</v>
      </c>
      <c r="I268">
        <v>1313.8664550999999</v>
      </c>
      <c r="J268">
        <v>1305.8273925999999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47.034813999999997</v>
      </c>
      <c r="B269" s="1">
        <f>DATE(2010,6,17) + TIME(0,50,7)</f>
        <v>40346.034803240742</v>
      </c>
      <c r="C269">
        <v>80</v>
      </c>
      <c r="D269">
        <v>79.932403563999998</v>
      </c>
      <c r="E269">
        <v>50</v>
      </c>
      <c r="F269">
        <v>14.998551368999999</v>
      </c>
      <c r="G269">
        <v>1346.3870850000001</v>
      </c>
      <c r="H269">
        <v>1342.4835204999999</v>
      </c>
      <c r="I269">
        <v>1313.8691406</v>
      </c>
      <c r="J269">
        <v>1305.8289795000001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47.597743000000001</v>
      </c>
      <c r="B270" s="1">
        <f>DATE(2010,6,17) + TIME(14,20,45)</f>
        <v>40346.597743055558</v>
      </c>
      <c r="C270">
        <v>80</v>
      </c>
      <c r="D270">
        <v>79.932449340999995</v>
      </c>
      <c r="E270">
        <v>50</v>
      </c>
      <c r="F270">
        <v>14.998562812999999</v>
      </c>
      <c r="G270">
        <v>1346.3708495999999</v>
      </c>
      <c r="H270">
        <v>1342.4688721</v>
      </c>
      <c r="I270">
        <v>1313.8717041</v>
      </c>
      <c r="J270">
        <v>1305.8308105000001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48.169449999999998</v>
      </c>
      <c r="B271" s="1">
        <f>DATE(2010,6,18) + TIME(4,4,0)</f>
        <v>40347.169444444444</v>
      </c>
      <c r="C271">
        <v>80</v>
      </c>
      <c r="D271">
        <v>79.932495117000002</v>
      </c>
      <c r="E271">
        <v>50</v>
      </c>
      <c r="F271">
        <v>14.998575211</v>
      </c>
      <c r="G271">
        <v>1346.3546143000001</v>
      </c>
      <c r="H271">
        <v>1342.4541016000001</v>
      </c>
      <c r="I271">
        <v>1313.8743896000001</v>
      </c>
      <c r="J271">
        <v>1305.8325195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48.751258999999997</v>
      </c>
      <c r="B272" s="1">
        <f>DATE(2010,6,18) + TIME(18,1,48)</f>
        <v>40347.751250000001</v>
      </c>
      <c r="C272">
        <v>80</v>
      </c>
      <c r="D272">
        <v>79.932548522999994</v>
      </c>
      <c r="E272">
        <v>50</v>
      </c>
      <c r="F272">
        <v>14.998586655</v>
      </c>
      <c r="G272">
        <v>1346.3382568</v>
      </c>
      <c r="H272">
        <v>1342.4393310999999</v>
      </c>
      <c r="I272">
        <v>1313.8771973</v>
      </c>
      <c r="J272">
        <v>1305.8343506000001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49.343566000000003</v>
      </c>
      <c r="B273" s="1">
        <f>DATE(2010,6,19) + TIME(8,14,44)</f>
        <v>40348.343564814815</v>
      </c>
      <c r="C273">
        <v>80</v>
      </c>
      <c r="D273">
        <v>79.932594299000002</v>
      </c>
      <c r="E273">
        <v>50</v>
      </c>
      <c r="F273">
        <v>14.998598099000001</v>
      </c>
      <c r="G273">
        <v>1346.3218993999999</v>
      </c>
      <c r="H273">
        <v>1342.4244385</v>
      </c>
      <c r="I273">
        <v>1313.8798827999999</v>
      </c>
      <c r="J273">
        <v>1305.8361815999999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49.642156999999997</v>
      </c>
      <c r="B274" s="1">
        <f>DATE(2010,6,19) + TIME(15,24,42)</f>
        <v>40348.642152777778</v>
      </c>
      <c r="C274">
        <v>80</v>
      </c>
      <c r="D274">
        <v>79.932601929</v>
      </c>
      <c r="E274">
        <v>50</v>
      </c>
      <c r="F274">
        <v>14.998606682</v>
      </c>
      <c r="G274">
        <v>1346.3068848</v>
      </c>
      <c r="H274">
        <v>1342.4107666</v>
      </c>
      <c r="I274">
        <v>1313.8820800999999</v>
      </c>
      <c r="J274">
        <v>1305.8376464999999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49.940559</v>
      </c>
      <c r="B275" s="1">
        <f>DATE(2010,6,19) + TIME(22,34,24)</f>
        <v>40348.940555555557</v>
      </c>
      <c r="C275">
        <v>80</v>
      </c>
      <c r="D275">
        <v>79.932632446</v>
      </c>
      <c r="E275">
        <v>50</v>
      </c>
      <c r="F275">
        <v>14.998613358</v>
      </c>
      <c r="G275">
        <v>1346.2976074000001</v>
      </c>
      <c r="H275">
        <v>1342.4023437999999</v>
      </c>
      <c r="I275">
        <v>1313.8840332</v>
      </c>
      <c r="J275">
        <v>1305.8388672000001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50.238961000000003</v>
      </c>
      <c r="B276" s="1">
        <f>DATE(2010,6,20) + TIME(5,44,6)</f>
        <v>40349.238958333335</v>
      </c>
      <c r="C276">
        <v>80</v>
      </c>
      <c r="D276">
        <v>79.932655334000003</v>
      </c>
      <c r="E276">
        <v>50</v>
      </c>
      <c r="F276">
        <v>14.998620033</v>
      </c>
      <c r="G276">
        <v>1346.2890625</v>
      </c>
      <c r="H276">
        <v>1342.3946533000001</v>
      </c>
      <c r="I276">
        <v>1313.8856201000001</v>
      </c>
      <c r="J276">
        <v>1305.8398437999999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50.537362999999999</v>
      </c>
      <c r="B277" s="1">
        <f>DATE(2010,6,20) + TIME(12,53,48)</f>
        <v>40349.537361111114</v>
      </c>
      <c r="C277">
        <v>80</v>
      </c>
      <c r="D277">
        <v>79.932678222999996</v>
      </c>
      <c r="E277">
        <v>50</v>
      </c>
      <c r="F277">
        <v>14.998626709</v>
      </c>
      <c r="G277">
        <v>1346.2807617000001</v>
      </c>
      <c r="H277">
        <v>1342.387207</v>
      </c>
      <c r="I277">
        <v>1313.8870850000001</v>
      </c>
      <c r="J277">
        <v>1305.8408202999999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50.835763999999998</v>
      </c>
      <c r="B278" s="1">
        <f>DATE(2010,6,20) + TIME(20,3,30)</f>
        <v>40349.835763888892</v>
      </c>
      <c r="C278">
        <v>80</v>
      </c>
      <c r="D278">
        <v>79.932708739999995</v>
      </c>
      <c r="E278">
        <v>50</v>
      </c>
      <c r="F278">
        <v>14.998633385</v>
      </c>
      <c r="G278">
        <v>1346.2724608999999</v>
      </c>
      <c r="H278">
        <v>1342.3797606999999</v>
      </c>
      <c r="I278">
        <v>1313.8885498</v>
      </c>
      <c r="J278">
        <v>1305.8417969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51.134166</v>
      </c>
      <c r="B279" s="1">
        <f>DATE(2010,6,21) + TIME(3,13,11)</f>
        <v>40350.134155092594</v>
      </c>
      <c r="C279">
        <v>80</v>
      </c>
      <c r="D279">
        <v>79.932731627999999</v>
      </c>
      <c r="E279">
        <v>50</v>
      </c>
      <c r="F279">
        <v>14.99864006</v>
      </c>
      <c r="G279">
        <v>1346.2644043</v>
      </c>
      <c r="H279">
        <v>1342.3724365</v>
      </c>
      <c r="I279">
        <v>1313.8901367000001</v>
      </c>
      <c r="J279">
        <v>1305.8427733999999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51.432568000000003</v>
      </c>
      <c r="B280" s="1">
        <f>DATE(2010,6,21) + TIME(10,22,53)</f>
        <v>40350.432557870372</v>
      </c>
      <c r="C280">
        <v>80</v>
      </c>
      <c r="D280">
        <v>79.932754517000006</v>
      </c>
      <c r="E280">
        <v>50</v>
      </c>
      <c r="F280">
        <v>14.998645782000001</v>
      </c>
      <c r="G280">
        <v>1346.2563477000001</v>
      </c>
      <c r="H280">
        <v>1342.3651123</v>
      </c>
      <c r="I280">
        <v>1313.8916016000001</v>
      </c>
      <c r="J280">
        <v>1305.84375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52.029372000000002</v>
      </c>
      <c r="B281" s="1">
        <f>DATE(2010,6,22) + TIME(0,42,17)</f>
        <v>40351.029363425929</v>
      </c>
      <c r="C281">
        <v>80</v>
      </c>
      <c r="D281">
        <v>79.932823181000003</v>
      </c>
      <c r="E281">
        <v>50</v>
      </c>
      <c r="F281">
        <v>14.998655318999999</v>
      </c>
      <c r="G281">
        <v>1346.2473144999999</v>
      </c>
      <c r="H281">
        <v>1342.3571777</v>
      </c>
      <c r="I281">
        <v>1313.8934326000001</v>
      </c>
      <c r="J281">
        <v>1305.8449707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52.626798999999998</v>
      </c>
      <c r="B282" s="1">
        <f>DATE(2010,6,22) + TIME(15,2,35)</f>
        <v>40351.626793981479</v>
      </c>
      <c r="C282">
        <v>80</v>
      </c>
      <c r="D282">
        <v>79.932868958</v>
      </c>
      <c r="E282">
        <v>50</v>
      </c>
      <c r="F282">
        <v>14.998664856</v>
      </c>
      <c r="G282">
        <v>1346.2322998</v>
      </c>
      <c r="H282">
        <v>1342.3435059000001</v>
      </c>
      <c r="I282">
        <v>1313.8959961</v>
      </c>
      <c r="J282">
        <v>1305.8466797000001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53.228572</v>
      </c>
      <c r="B283" s="1">
        <f>DATE(2010,6,23) + TIME(5,29,8)</f>
        <v>40352.228564814817</v>
      </c>
      <c r="C283">
        <v>80</v>
      </c>
      <c r="D283">
        <v>79.932922363000003</v>
      </c>
      <c r="E283">
        <v>50</v>
      </c>
      <c r="F283">
        <v>14.9986763</v>
      </c>
      <c r="G283">
        <v>1346.2167969</v>
      </c>
      <c r="H283">
        <v>1342.3295897999999</v>
      </c>
      <c r="I283">
        <v>1313.8989257999999</v>
      </c>
      <c r="J283">
        <v>1305.8486327999999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53.835895000000001</v>
      </c>
      <c r="B284" s="1">
        <f>DATE(2010,6,23) + TIME(20,3,41)</f>
        <v>40352.8358912037</v>
      </c>
      <c r="C284">
        <v>80</v>
      </c>
      <c r="D284">
        <v>79.93296814</v>
      </c>
      <c r="E284">
        <v>50</v>
      </c>
      <c r="F284">
        <v>14.998686790000001</v>
      </c>
      <c r="G284">
        <v>1346.2011719</v>
      </c>
      <c r="H284">
        <v>1342.3155518000001</v>
      </c>
      <c r="I284">
        <v>1313.9019774999999</v>
      </c>
      <c r="J284">
        <v>1305.8505858999999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54.449964000000001</v>
      </c>
      <c r="B285" s="1">
        <f>DATE(2010,6,24) + TIME(10,47,56)</f>
        <v>40353.449953703705</v>
      </c>
      <c r="C285">
        <v>80</v>
      </c>
      <c r="D285">
        <v>79.933021545000003</v>
      </c>
      <c r="E285">
        <v>50</v>
      </c>
      <c r="F285">
        <v>14.998698235000001</v>
      </c>
      <c r="G285">
        <v>1346.1855469</v>
      </c>
      <c r="H285">
        <v>1342.3016356999999</v>
      </c>
      <c r="I285">
        <v>1313.9050293</v>
      </c>
      <c r="J285">
        <v>1305.8525391000001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55.072037000000002</v>
      </c>
      <c r="B286" s="1">
        <f>DATE(2010,6,25) + TIME(1,43,43)</f>
        <v>40354.072025462963</v>
      </c>
      <c r="C286">
        <v>80</v>
      </c>
      <c r="D286">
        <v>79.933067321999999</v>
      </c>
      <c r="E286">
        <v>50</v>
      </c>
      <c r="F286">
        <v>14.998709678999999</v>
      </c>
      <c r="G286">
        <v>1346.1699219</v>
      </c>
      <c r="H286">
        <v>1342.2875977000001</v>
      </c>
      <c r="I286">
        <v>1313.9082031</v>
      </c>
      <c r="J286">
        <v>1305.8546143000001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55.703426999999998</v>
      </c>
      <c r="B287" s="1">
        <f>DATE(2010,6,25) + TIME(16,52,56)</f>
        <v>40354.703425925924</v>
      </c>
      <c r="C287">
        <v>80</v>
      </c>
      <c r="D287">
        <v>79.933120728000006</v>
      </c>
      <c r="E287">
        <v>50</v>
      </c>
      <c r="F287">
        <v>14.998721122999999</v>
      </c>
      <c r="G287">
        <v>1346.1542969</v>
      </c>
      <c r="H287">
        <v>1342.2735596</v>
      </c>
      <c r="I287">
        <v>1313.9113769999999</v>
      </c>
      <c r="J287">
        <v>1305.8566894999999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56.345081999999998</v>
      </c>
      <c r="B288" s="1">
        <f>DATE(2010,6,26) + TIME(8,16,55)</f>
        <v>40355.345081018517</v>
      </c>
      <c r="C288">
        <v>80</v>
      </c>
      <c r="D288">
        <v>79.933174132999994</v>
      </c>
      <c r="E288">
        <v>50</v>
      </c>
      <c r="F288">
        <v>14.998733521</v>
      </c>
      <c r="G288">
        <v>1346.1385498</v>
      </c>
      <c r="H288">
        <v>1342.2595214999999</v>
      </c>
      <c r="I288">
        <v>1313.9145507999999</v>
      </c>
      <c r="J288">
        <v>1305.8587646000001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56.996637</v>
      </c>
      <c r="B289" s="1">
        <f>DATE(2010,6,26) + TIME(23,55,9)</f>
        <v>40355.996631944443</v>
      </c>
      <c r="C289">
        <v>80</v>
      </c>
      <c r="D289">
        <v>79.933227539000001</v>
      </c>
      <c r="E289">
        <v>50</v>
      </c>
      <c r="F289">
        <v>14.998744965</v>
      </c>
      <c r="G289">
        <v>1346.1226807</v>
      </c>
      <c r="H289">
        <v>1342.2453613</v>
      </c>
      <c r="I289">
        <v>1313.9178466999999</v>
      </c>
      <c r="J289">
        <v>1305.8609618999999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57.65943</v>
      </c>
      <c r="B290" s="1">
        <f>DATE(2010,6,27) + TIME(15,49,34)</f>
        <v>40356.659421296295</v>
      </c>
      <c r="C290">
        <v>80</v>
      </c>
      <c r="D290">
        <v>79.933280945000007</v>
      </c>
      <c r="E290">
        <v>50</v>
      </c>
      <c r="F290">
        <v>14.998757361999999</v>
      </c>
      <c r="G290">
        <v>1346.1068115</v>
      </c>
      <c r="H290">
        <v>1342.2312012</v>
      </c>
      <c r="I290">
        <v>1313.9212646000001</v>
      </c>
      <c r="J290">
        <v>1305.8631591999999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57.992423000000002</v>
      </c>
      <c r="B291" s="1">
        <f>DATE(2010,6,27) + TIME(23,49,5)</f>
        <v>40356.992418981485</v>
      </c>
      <c r="C291">
        <v>80</v>
      </c>
      <c r="D291">
        <v>79.933288574000002</v>
      </c>
      <c r="E291">
        <v>50</v>
      </c>
      <c r="F291">
        <v>14.998764992</v>
      </c>
      <c r="G291">
        <v>1346.0924072</v>
      </c>
      <c r="H291">
        <v>1342.2181396000001</v>
      </c>
      <c r="I291">
        <v>1313.9239502</v>
      </c>
      <c r="J291">
        <v>1305.8649902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58.325415</v>
      </c>
      <c r="B292" s="1">
        <f>DATE(2010,6,28) + TIME(7,48,35)</f>
        <v>40357.32540509259</v>
      </c>
      <c r="C292">
        <v>80</v>
      </c>
      <c r="D292">
        <v>79.933319092000005</v>
      </c>
      <c r="E292">
        <v>50</v>
      </c>
      <c r="F292">
        <v>14.998772621000001</v>
      </c>
      <c r="G292">
        <v>1346.0832519999999</v>
      </c>
      <c r="H292">
        <v>1342.2100829999999</v>
      </c>
      <c r="I292">
        <v>1313.9262695</v>
      </c>
      <c r="J292">
        <v>1305.8664550999999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58.658408000000001</v>
      </c>
      <c r="B293" s="1">
        <f>DATE(2010,6,28) + TIME(15,48,6)</f>
        <v>40357.658402777779</v>
      </c>
      <c r="C293">
        <v>80</v>
      </c>
      <c r="D293">
        <v>79.933341979999994</v>
      </c>
      <c r="E293">
        <v>50</v>
      </c>
      <c r="F293">
        <v>14.998779297</v>
      </c>
      <c r="G293">
        <v>1346.0750731999999</v>
      </c>
      <c r="H293">
        <v>1342.2027588000001</v>
      </c>
      <c r="I293">
        <v>1313.9281006000001</v>
      </c>
      <c r="J293">
        <v>1305.8676757999999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58.991399999999999</v>
      </c>
      <c r="B294" s="1">
        <f>DATE(2010,6,28) + TIME(23,47,36)</f>
        <v>40357.991388888891</v>
      </c>
      <c r="C294">
        <v>80</v>
      </c>
      <c r="D294">
        <v>79.933372497999997</v>
      </c>
      <c r="E294">
        <v>50</v>
      </c>
      <c r="F294">
        <v>14.998785973</v>
      </c>
      <c r="G294">
        <v>1346.0670166</v>
      </c>
      <c r="H294">
        <v>1342.1955565999999</v>
      </c>
      <c r="I294">
        <v>1313.9299315999999</v>
      </c>
      <c r="J294">
        <v>1305.8687743999999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59.324393000000001</v>
      </c>
      <c r="B295" s="1">
        <f>DATE(2010,6,29) + TIME(7,47,7)</f>
        <v>40358.324386574073</v>
      </c>
      <c r="C295">
        <v>80</v>
      </c>
      <c r="D295">
        <v>79.933395386000001</v>
      </c>
      <c r="E295">
        <v>50</v>
      </c>
      <c r="F295">
        <v>14.998792648</v>
      </c>
      <c r="G295">
        <v>1346.059082</v>
      </c>
      <c r="H295">
        <v>1342.1884766000001</v>
      </c>
      <c r="I295">
        <v>1313.9317627</v>
      </c>
      <c r="J295">
        <v>1305.8699951000001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59.990378</v>
      </c>
      <c r="B296" s="1">
        <f>DATE(2010,6,29) + TIME(23,46,8)</f>
        <v>40358.990370370368</v>
      </c>
      <c r="C296">
        <v>80</v>
      </c>
      <c r="D296">
        <v>79.933471679999997</v>
      </c>
      <c r="E296">
        <v>50</v>
      </c>
      <c r="F296">
        <v>14.998802185000001</v>
      </c>
      <c r="G296">
        <v>1346.050293</v>
      </c>
      <c r="H296">
        <v>1342.1807861</v>
      </c>
      <c r="I296">
        <v>1313.9339600000001</v>
      </c>
      <c r="J296">
        <v>1305.8714600000001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60.656993999999997</v>
      </c>
      <c r="B297" s="1">
        <f>DATE(2010,6,30) + TIME(15,46,4)</f>
        <v>40359.656990740739</v>
      </c>
      <c r="C297">
        <v>80</v>
      </c>
      <c r="D297">
        <v>79.933525084999999</v>
      </c>
      <c r="E297">
        <v>50</v>
      </c>
      <c r="F297">
        <v>14.998812675</v>
      </c>
      <c r="G297">
        <v>1346.0355225000001</v>
      </c>
      <c r="H297">
        <v>1342.1676024999999</v>
      </c>
      <c r="I297">
        <v>1313.9371338000001</v>
      </c>
      <c r="J297">
        <v>1305.8735352000001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61</v>
      </c>
      <c r="B298" s="1">
        <f>DATE(2010,7,1) + TIME(0,0,0)</f>
        <v>40360</v>
      </c>
      <c r="C298">
        <v>80</v>
      </c>
      <c r="D298">
        <v>79.933532714999998</v>
      </c>
      <c r="E298">
        <v>50</v>
      </c>
      <c r="F298">
        <v>14.998820305000001</v>
      </c>
      <c r="G298">
        <v>1346.0217285000001</v>
      </c>
      <c r="H298">
        <v>1342.1552733999999</v>
      </c>
      <c r="I298">
        <v>1313.9399414</v>
      </c>
      <c r="J298">
        <v>1305.8753661999999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61.671335999999997</v>
      </c>
      <c r="B299" s="1">
        <f>DATE(2010,7,1) + TIME(16,6,43)</f>
        <v>40360.671331018515</v>
      </c>
      <c r="C299">
        <v>80</v>
      </c>
      <c r="D299">
        <v>79.933601378999995</v>
      </c>
      <c r="E299">
        <v>50</v>
      </c>
      <c r="F299">
        <v>14.998830795</v>
      </c>
      <c r="G299">
        <v>1346.0118408000001</v>
      </c>
      <c r="H299">
        <v>1342.1466064000001</v>
      </c>
      <c r="I299">
        <v>1313.942749</v>
      </c>
      <c r="J299">
        <v>1305.8771973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62.351537999999998</v>
      </c>
      <c r="B300" s="1">
        <f>DATE(2010,7,2) + TIME(8,26,12)</f>
        <v>40361.351527777777</v>
      </c>
      <c r="C300">
        <v>80</v>
      </c>
      <c r="D300">
        <v>79.933654785000002</v>
      </c>
      <c r="E300">
        <v>50</v>
      </c>
      <c r="F300">
        <v>14.998841285999999</v>
      </c>
      <c r="G300">
        <v>1345.9970702999999</v>
      </c>
      <c r="H300">
        <v>1342.1335449000001</v>
      </c>
      <c r="I300">
        <v>1313.9462891000001</v>
      </c>
      <c r="J300">
        <v>1305.8793945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63.036929000000001</v>
      </c>
      <c r="B301" s="1">
        <f>DATE(2010,7,3) + TIME(0,53,10)</f>
        <v>40362.036921296298</v>
      </c>
      <c r="C301">
        <v>80</v>
      </c>
      <c r="D301">
        <v>79.933715820000003</v>
      </c>
      <c r="E301">
        <v>50</v>
      </c>
      <c r="F301">
        <v>14.998852729999999</v>
      </c>
      <c r="G301">
        <v>1345.9819336</v>
      </c>
      <c r="H301">
        <v>1342.1201172000001</v>
      </c>
      <c r="I301">
        <v>1313.9499512</v>
      </c>
      <c r="J301">
        <v>1305.8818358999999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63.728198999999996</v>
      </c>
      <c r="B302" s="1">
        <f>DATE(2010,7,3) + TIME(17,28,36)</f>
        <v>40362.728194444448</v>
      </c>
      <c r="C302">
        <v>80</v>
      </c>
      <c r="D302">
        <v>79.933769225999995</v>
      </c>
      <c r="E302">
        <v>50</v>
      </c>
      <c r="F302">
        <v>14.998865128</v>
      </c>
      <c r="G302">
        <v>1345.9666748</v>
      </c>
      <c r="H302">
        <v>1342.1066894999999</v>
      </c>
      <c r="I302">
        <v>1313.9537353999999</v>
      </c>
      <c r="J302">
        <v>1305.8842772999999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64.426744999999997</v>
      </c>
      <c r="B303" s="1">
        <f>DATE(2010,7,4) + TIME(10,14,30)</f>
        <v>40363.426736111112</v>
      </c>
      <c r="C303">
        <v>80</v>
      </c>
      <c r="D303">
        <v>79.933822632000002</v>
      </c>
      <c r="E303">
        <v>50</v>
      </c>
      <c r="F303">
        <v>14.998876572</v>
      </c>
      <c r="G303">
        <v>1345.9515381000001</v>
      </c>
      <c r="H303">
        <v>1342.0931396000001</v>
      </c>
      <c r="I303">
        <v>1313.9575195</v>
      </c>
      <c r="J303">
        <v>1305.8867187999999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65.133823000000007</v>
      </c>
      <c r="B304" s="1">
        <f>DATE(2010,7,5) + TIME(3,12,42)</f>
        <v>40364.133819444447</v>
      </c>
      <c r="C304">
        <v>80</v>
      </c>
      <c r="D304">
        <v>79.933876037999994</v>
      </c>
      <c r="E304">
        <v>50</v>
      </c>
      <c r="F304">
        <v>14.998888968999999</v>
      </c>
      <c r="G304">
        <v>1345.9362793</v>
      </c>
      <c r="H304">
        <v>1342.0797118999999</v>
      </c>
      <c r="I304">
        <v>1313.9614257999999</v>
      </c>
      <c r="J304">
        <v>1305.8892822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65.850635999999994</v>
      </c>
      <c r="B305" s="1">
        <f>DATE(2010,7,5) + TIME(20,24,54)</f>
        <v>40364.850624999999</v>
      </c>
      <c r="C305">
        <v>80</v>
      </c>
      <c r="D305">
        <v>79.933937072999996</v>
      </c>
      <c r="E305">
        <v>50</v>
      </c>
      <c r="F305">
        <v>14.998900414</v>
      </c>
      <c r="G305">
        <v>1345.9210204999999</v>
      </c>
      <c r="H305">
        <v>1342.0662841999999</v>
      </c>
      <c r="I305">
        <v>1313.9654541</v>
      </c>
      <c r="J305">
        <v>1305.8918457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66.578221999999997</v>
      </c>
      <c r="B306" s="1">
        <f>DATE(2010,7,6) + TIME(13,52,38)</f>
        <v>40365.578217592592</v>
      </c>
      <c r="C306">
        <v>80</v>
      </c>
      <c r="D306">
        <v>79.933990479000002</v>
      </c>
      <c r="E306">
        <v>50</v>
      </c>
      <c r="F306">
        <v>14.998912811</v>
      </c>
      <c r="G306">
        <v>1345.9056396000001</v>
      </c>
      <c r="H306">
        <v>1342.0527344</v>
      </c>
      <c r="I306">
        <v>1313.9694824000001</v>
      </c>
      <c r="J306">
        <v>1305.8945312000001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67.311807999999999</v>
      </c>
      <c r="B307" s="1">
        <f>DATE(2010,7,7) + TIME(7,29,0)</f>
        <v>40366.311805555553</v>
      </c>
      <c r="C307">
        <v>80</v>
      </c>
      <c r="D307">
        <v>79.934051514000004</v>
      </c>
      <c r="E307">
        <v>50</v>
      </c>
      <c r="F307">
        <v>14.998926163</v>
      </c>
      <c r="G307">
        <v>1345.8902588000001</v>
      </c>
      <c r="H307">
        <v>1342.0391846</v>
      </c>
      <c r="I307">
        <v>1313.9736327999999</v>
      </c>
      <c r="J307">
        <v>1305.8972168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68.046594999999996</v>
      </c>
      <c r="B308" s="1">
        <f>DATE(2010,7,8) + TIME(1,7,5)</f>
        <v>40367.046585648146</v>
      </c>
      <c r="C308">
        <v>80</v>
      </c>
      <c r="D308">
        <v>79.934112549000005</v>
      </c>
      <c r="E308">
        <v>50</v>
      </c>
      <c r="F308">
        <v>14.998938559999999</v>
      </c>
      <c r="G308">
        <v>1345.8748779</v>
      </c>
      <c r="H308">
        <v>1342.0256348</v>
      </c>
      <c r="I308">
        <v>1313.9779053</v>
      </c>
      <c r="J308">
        <v>1305.8999022999999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68.784085000000005</v>
      </c>
      <c r="B309" s="1">
        <f>DATE(2010,7,8) + TIME(18,49,4)</f>
        <v>40367.784074074072</v>
      </c>
      <c r="C309">
        <v>80</v>
      </c>
      <c r="D309">
        <v>79.934165954999997</v>
      </c>
      <c r="E309">
        <v>50</v>
      </c>
      <c r="F309">
        <v>14.998950958</v>
      </c>
      <c r="G309">
        <v>1345.8596190999999</v>
      </c>
      <c r="H309">
        <v>1342.012207</v>
      </c>
      <c r="I309">
        <v>1313.9821777</v>
      </c>
      <c r="J309">
        <v>1305.9027100000001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69.524465000000006</v>
      </c>
      <c r="B310" s="1">
        <f>DATE(2010,7,9) + TIME(12,35,13)</f>
        <v>40368.524456018517</v>
      </c>
      <c r="C310">
        <v>80</v>
      </c>
      <c r="D310">
        <v>79.934226989999999</v>
      </c>
      <c r="E310">
        <v>50</v>
      </c>
      <c r="F310">
        <v>14.99896431</v>
      </c>
      <c r="G310">
        <v>1345.8444824000001</v>
      </c>
      <c r="H310">
        <v>1341.9989014</v>
      </c>
      <c r="I310">
        <v>1313.9864502</v>
      </c>
      <c r="J310">
        <v>1305.9055175999999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70.266795999999999</v>
      </c>
      <c r="B311" s="1">
        <f>DATE(2010,7,10) + TIME(6,24,11)</f>
        <v>40369.266793981478</v>
      </c>
      <c r="C311">
        <v>80</v>
      </c>
      <c r="D311">
        <v>79.934288025000001</v>
      </c>
      <c r="E311">
        <v>50</v>
      </c>
      <c r="F311">
        <v>14.998976707000001</v>
      </c>
      <c r="G311">
        <v>1345.8294678</v>
      </c>
      <c r="H311">
        <v>1341.9857178</v>
      </c>
      <c r="I311">
        <v>1313.9908447</v>
      </c>
      <c r="J311">
        <v>1305.9083252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71.012332000000001</v>
      </c>
      <c r="B312" s="1">
        <f>DATE(2010,7,11) + TIME(0,17,45)</f>
        <v>40370.012326388889</v>
      </c>
      <c r="C312">
        <v>80</v>
      </c>
      <c r="D312">
        <v>79.934341431000007</v>
      </c>
      <c r="E312">
        <v>50</v>
      </c>
      <c r="F312">
        <v>14.998990059</v>
      </c>
      <c r="G312">
        <v>1345.8144531</v>
      </c>
      <c r="H312">
        <v>1341.9725341999999</v>
      </c>
      <c r="I312">
        <v>1313.9952393000001</v>
      </c>
      <c r="J312">
        <v>1305.9111327999999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71.762309999999999</v>
      </c>
      <c r="B313" s="1">
        <f>DATE(2010,7,11) + TIME(18,17,43)</f>
        <v>40370.762303240743</v>
      </c>
      <c r="C313">
        <v>80</v>
      </c>
      <c r="D313">
        <v>79.934402465999995</v>
      </c>
      <c r="E313">
        <v>50</v>
      </c>
      <c r="F313">
        <v>14.99900341</v>
      </c>
      <c r="G313">
        <v>1345.7995605000001</v>
      </c>
      <c r="H313">
        <v>1341.9594727000001</v>
      </c>
      <c r="I313">
        <v>1313.9997559000001</v>
      </c>
      <c r="J313">
        <v>1305.9140625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72.517787999999996</v>
      </c>
      <c r="B314" s="1">
        <f>DATE(2010,7,12) + TIME(12,25,36)</f>
        <v>40371.517777777779</v>
      </c>
      <c r="C314">
        <v>80</v>
      </c>
      <c r="D314">
        <v>79.934463500999996</v>
      </c>
      <c r="E314">
        <v>50</v>
      </c>
      <c r="F314">
        <v>14.999017715000001</v>
      </c>
      <c r="G314">
        <v>1345.784668</v>
      </c>
      <c r="H314">
        <v>1341.9464111</v>
      </c>
      <c r="I314">
        <v>1314.0042725000001</v>
      </c>
      <c r="J314">
        <v>1305.9169922000001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73.279179999999997</v>
      </c>
      <c r="B315" s="1">
        <f>DATE(2010,7,13) + TIME(6,42,1)</f>
        <v>40372.279178240744</v>
      </c>
      <c r="C315">
        <v>80</v>
      </c>
      <c r="D315">
        <v>79.934516907000003</v>
      </c>
      <c r="E315">
        <v>50</v>
      </c>
      <c r="F315">
        <v>14.999031067000001</v>
      </c>
      <c r="G315">
        <v>1345.7698975000001</v>
      </c>
      <c r="H315">
        <v>1341.9334716999999</v>
      </c>
      <c r="I315">
        <v>1314.0089111</v>
      </c>
      <c r="J315">
        <v>1305.9199219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74.047908000000007</v>
      </c>
      <c r="B316" s="1">
        <f>DATE(2010,7,14) + TIME(1,8,59)</f>
        <v>40373.047905092593</v>
      </c>
      <c r="C316">
        <v>80</v>
      </c>
      <c r="D316">
        <v>79.934577942000004</v>
      </c>
      <c r="E316">
        <v>50</v>
      </c>
      <c r="F316">
        <v>14.999046326</v>
      </c>
      <c r="G316">
        <v>1345.7551269999999</v>
      </c>
      <c r="H316">
        <v>1341.9205322</v>
      </c>
      <c r="I316">
        <v>1314.0135498</v>
      </c>
      <c r="J316">
        <v>1305.9229736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74.825613000000004</v>
      </c>
      <c r="B317" s="1">
        <f>DATE(2010,7,14) + TIME(19,48,52)</f>
        <v>40373.825601851851</v>
      </c>
      <c r="C317">
        <v>80</v>
      </c>
      <c r="D317">
        <v>79.934638977000006</v>
      </c>
      <c r="E317">
        <v>50</v>
      </c>
      <c r="F317">
        <v>14.999061584</v>
      </c>
      <c r="G317">
        <v>1345.7402344</v>
      </c>
      <c r="H317">
        <v>1341.9075928</v>
      </c>
      <c r="I317">
        <v>1314.0184326000001</v>
      </c>
      <c r="J317">
        <v>1305.9260254000001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75.612859999999998</v>
      </c>
      <c r="B318" s="1">
        <f>DATE(2010,7,15) + TIME(14,42,31)</f>
        <v>40374.612858796296</v>
      </c>
      <c r="C318">
        <v>80</v>
      </c>
      <c r="D318">
        <v>79.934700011999993</v>
      </c>
      <c r="E318">
        <v>50</v>
      </c>
      <c r="F318">
        <v>14.999077797</v>
      </c>
      <c r="G318">
        <v>1345.7254639</v>
      </c>
      <c r="H318">
        <v>1341.8946533000001</v>
      </c>
      <c r="I318">
        <v>1314.0233154</v>
      </c>
      <c r="J318">
        <v>1305.9290771000001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76.407602999999995</v>
      </c>
      <c r="B319" s="1">
        <f>DATE(2010,7,16) + TIME(9,46,56)</f>
        <v>40375.407592592594</v>
      </c>
      <c r="C319">
        <v>80</v>
      </c>
      <c r="D319">
        <v>79.934768676999994</v>
      </c>
      <c r="E319">
        <v>50</v>
      </c>
      <c r="F319">
        <v>14.999094009</v>
      </c>
      <c r="G319">
        <v>1345.7105713000001</v>
      </c>
      <c r="H319">
        <v>1341.8817139</v>
      </c>
      <c r="I319">
        <v>1314.0281981999999</v>
      </c>
      <c r="J319">
        <v>1305.9323730000001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77.205410999999998</v>
      </c>
      <c r="B320" s="1">
        <f>DATE(2010,7,17) + TIME(4,55,47)</f>
        <v>40376.205405092594</v>
      </c>
      <c r="C320">
        <v>80</v>
      </c>
      <c r="D320">
        <v>79.934829711999996</v>
      </c>
      <c r="E320">
        <v>50</v>
      </c>
      <c r="F320">
        <v>14.999112129</v>
      </c>
      <c r="G320">
        <v>1345.6956786999999</v>
      </c>
      <c r="H320">
        <v>1341.8687743999999</v>
      </c>
      <c r="I320">
        <v>1314.0333252</v>
      </c>
      <c r="J320">
        <v>1305.9355469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78.005869000000004</v>
      </c>
      <c r="B321" s="1">
        <f>DATE(2010,7,18) + TIME(0,8,27)</f>
        <v>40377.005868055552</v>
      </c>
      <c r="C321">
        <v>80</v>
      </c>
      <c r="D321">
        <v>79.934890746999997</v>
      </c>
      <c r="E321">
        <v>50</v>
      </c>
      <c r="F321">
        <v>14.999132156</v>
      </c>
      <c r="G321">
        <v>1345.6809082</v>
      </c>
      <c r="H321">
        <v>1341.8558350000001</v>
      </c>
      <c r="I321">
        <v>1314.0384521000001</v>
      </c>
      <c r="J321">
        <v>1305.9388428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78.810372000000001</v>
      </c>
      <c r="B322" s="1">
        <f>DATE(2010,7,18) + TIME(19,26,56)</f>
        <v>40377.810370370367</v>
      </c>
      <c r="C322">
        <v>80</v>
      </c>
      <c r="D322">
        <v>79.934951781999999</v>
      </c>
      <c r="E322">
        <v>50</v>
      </c>
      <c r="F322">
        <v>14.999152184</v>
      </c>
      <c r="G322">
        <v>1345.6662598</v>
      </c>
      <c r="H322">
        <v>1341.8430175999999</v>
      </c>
      <c r="I322">
        <v>1314.0437012</v>
      </c>
      <c r="J322">
        <v>1305.9422606999999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79.620296999999994</v>
      </c>
      <c r="B323" s="1">
        <f>DATE(2010,7,19) + TIME(14,53,13)</f>
        <v>40378.620289351849</v>
      </c>
      <c r="C323">
        <v>80</v>
      </c>
      <c r="D323">
        <v>79.935012817</v>
      </c>
      <c r="E323">
        <v>50</v>
      </c>
      <c r="F323">
        <v>14.999175072</v>
      </c>
      <c r="G323">
        <v>1345.6516113</v>
      </c>
      <c r="H323">
        <v>1341.8303223</v>
      </c>
      <c r="I323">
        <v>1314.0490723</v>
      </c>
      <c r="J323">
        <v>1305.9455565999999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80.434600000000003</v>
      </c>
      <c r="B324" s="1">
        <f>DATE(2010,7,20) + TIME(10,25,49)</f>
        <v>40379.434594907405</v>
      </c>
      <c r="C324">
        <v>80</v>
      </c>
      <c r="D324">
        <v>79.935073853000006</v>
      </c>
      <c r="E324">
        <v>50</v>
      </c>
      <c r="F324">
        <v>14.999199867</v>
      </c>
      <c r="G324">
        <v>1345.6369629000001</v>
      </c>
      <c r="H324">
        <v>1341.8175048999999</v>
      </c>
      <c r="I324">
        <v>1314.0544434000001</v>
      </c>
      <c r="J324">
        <v>1305.9489745999999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81.252476000000001</v>
      </c>
      <c r="B325" s="1">
        <f>DATE(2010,7,21) + TIME(6,3,33)</f>
        <v>40380.252465277779</v>
      </c>
      <c r="C325">
        <v>80</v>
      </c>
      <c r="D325">
        <v>79.935142517000003</v>
      </c>
      <c r="E325">
        <v>50</v>
      </c>
      <c r="F325">
        <v>14.999227524</v>
      </c>
      <c r="G325">
        <v>1345.6224365</v>
      </c>
      <c r="H325">
        <v>1341.8049315999999</v>
      </c>
      <c r="I325">
        <v>1314.0599365</v>
      </c>
      <c r="J325">
        <v>1305.9525146000001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82.075321000000002</v>
      </c>
      <c r="B326" s="1">
        <f>DATE(2010,7,22) + TIME(1,48,27)</f>
        <v>40381.075312499997</v>
      </c>
      <c r="C326">
        <v>80</v>
      </c>
      <c r="D326">
        <v>79.935203552000004</v>
      </c>
      <c r="E326">
        <v>50</v>
      </c>
      <c r="F326">
        <v>14.999258040999999</v>
      </c>
      <c r="G326">
        <v>1345.6079102000001</v>
      </c>
      <c r="H326">
        <v>1341.7923584</v>
      </c>
      <c r="I326">
        <v>1314.0654297000001</v>
      </c>
      <c r="J326">
        <v>1305.9560547000001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82.903942000000001</v>
      </c>
      <c r="B327" s="1">
        <f>DATE(2010,7,22) + TIME(21,41,40)</f>
        <v>40381.903935185182</v>
      </c>
      <c r="C327">
        <v>80</v>
      </c>
      <c r="D327">
        <v>79.935264587000006</v>
      </c>
      <c r="E327">
        <v>50</v>
      </c>
      <c r="F327">
        <v>14.999293327</v>
      </c>
      <c r="G327">
        <v>1345.5933838000001</v>
      </c>
      <c r="H327">
        <v>1341.7797852000001</v>
      </c>
      <c r="I327">
        <v>1314.0711670000001</v>
      </c>
      <c r="J327">
        <v>1305.9595947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83.739176</v>
      </c>
      <c r="B328" s="1">
        <f>DATE(2010,7,23) + TIME(17,44,24)</f>
        <v>40382.739166666666</v>
      </c>
      <c r="C328">
        <v>80</v>
      </c>
      <c r="D328">
        <v>79.935333252000007</v>
      </c>
      <c r="E328">
        <v>50</v>
      </c>
      <c r="F328">
        <v>14.999332428000001</v>
      </c>
      <c r="G328">
        <v>1345.5789795000001</v>
      </c>
      <c r="H328">
        <v>1341.7672118999999</v>
      </c>
      <c r="I328">
        <v>1314.0769043</v>
      </c>
      <c r="J328">
        <v>1305.9632568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84.159323999999998</v>
      </c>
      <c r="B329" s="1">
        <f>DATE(2010,7,24) + TIME(3,49,25)</f>
        <v>40383.159317129626</v>
      </c>
      <c r="C329">
        <v>80</v>
      </c>
      <c r="D329">
        <v>79.935348511000001</v>
      </c>
      <c r="E329">
        <v>50</v>
      </c>
      <c r="F329">
        <v>14.999362946</v>
      </c>
      <c r="G329">
        <v>1345.5661620999999</v>
      </c>
      <c r="H329">
        <v>1341.7559814000001</v>
      </c>
      <c r="I329">
        <v>1314.0819091999999</v>
      </c>
      <c r="J329">
        <v>1305.9664307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84.579470999999998</v>
      </c>
      <c r="B330" s="1">
        <f>DATE(2010,7,24) + TIME(13,54,26)</f>
        <v>40383.579467592594</v>
      </c>
      <c r="C330">
        <v>80</v>
      </c>
      <c r="D330">
        <v>79.935379028</v>
      </c>
      <c r="E330">
        <v>50</v>
      </c>
      <c r="F330">
        <v>14.999392509</v>
      </c>
      <c r="G330">
        <v>1345.5578613</v>
      </c>
      <c r="H330">
        <v>1341.7487793</v>
      </c>
      <c r="I330">
        <v>1314.0855713000001</v>
      </c>
      <c r="J330">
        <v>1305.96875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84.999617999999998</v>
      </c>
      <c r="B331" s="1">
        <f>DATE(2010,7,24) + TIME(23,59,27)</f>
        <v>40383.999618055554</v>
      </c>
      <c r="C331">
        <v>80</v>
      </c>
      <c r="D331">
        <v>79.935409546000002</v>
      </c>
      <c r="E331">
        <v>50</v>
      </c>
      <c r="F331">
        <v>14.999423027000001</v>
      </c>
      <c r="G331">
        <v>1345.550293</v>
      </c>
      <c r="H331">
        <v>1341.7423096</v>
      </c>
      <c r="I331">
        <v>1314.0887451000001</v>
      </c>
      <c r="J331">
        <v>1305.9708252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85.419765999999996</v>
      </c>
      <c r="B332" s="1">
        <f>DATE(2010,7,25) + TIME(10,4,27)</f>
        <v>40384.419756944444</v>
      </c>
      <c r="C332">
        <v>80</v>
      </c>
      <c r="D332">
        <v>79.935447693</v>
      </c>
      <c r="E332">
        <v>50</v>
      </c>
      <c r="F332">
        <v>14.999455451999999</v>
      </c>
      <c r="G332">
        <v>1345.5430908000001</v>
      </c>
      <c r="H332">
        <v>1341.7359618999999</v>
      </c>
      <c r="I332">
        <v>1314.0917969</v>
      </c>
      <c r="J332">
        <v>1305.9727783000001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85.839912999999996</v>
      </c>
      <c r="B333" s="1">
        <f>DATE(2010,7,25) + TIME(20,9,28)</f>
        <v>40384.839907407404</v>
      </c>
      <c r="C333">
        <v>80</v>
      </c>
      <c r="D333">
        <v>79.935478209999999</v>
      </c>
      <c r="E333">
        <v>50</v>
      </c>
      <c r="F333">
        <v>14.999487877</v>
      </c>
      <c r="G333">
        <v>1345.5358887</v>
      </c>
      <c r="H333">
        <v>1341.7297363</v>
      </c>
      <c r="I333">
        <v>1314.0948486</v>
      </c>
      <c r="J333">
        <v>1305.9746094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86.260060999999993</v>
      </c>
      <c r="B334" s="1">
        <f>DATE(2010,7,26) + TIME(6,14,29)</f>
        <v>40385.260057870371</v>
      </c>
      <c r="C334">
        <v>80</v>
      </c>
      <c r="D334">
        <v>79.935508728000002</v>
      </c>
      <c r="E334">
        <v>50</v>
      </c>
      <c r="F334">
        <v>14.999523162999999</v>
      </c>
      <c r="G334">
        <v>1345.5286865</v>
      </c>
      <c r="H334">
        <v>1341.7235106999999</v>
      </c>
      <c r="I334">
        <v>1314.0979004000001</v>
      </c>
      <c r="J334">
        <v>1305.9765625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86.680207999999993</v>
      </c>
      <c r="B335" s="1">
        <f>DATE(2010,7,26) + TIME(16,19,29)</f>
        <v>40385.680196759262</v>
      </c>
      <c r="C335">
        <v>80</v>
      </c>
      <c r="D335">
        <v>79.935539246000005</v>
      </c>
      <c r="E335">
        <v>50</v>
      </c>
      <c r="F335">
        <v>14.999561310000001</v>
      </c>
      <c r="G335">
        <v>1345.5216064000001</v>
      </c>
      <c r="H335">
        <v>1341.7174072</v>
      </c>
      <c r="I335">
        <v>1314.1009521000001</v>
      </c>
      <c r="J335">
        <v>1305.9785156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87.100354999999993</v>
      </c>
      <c r="B336" s="1">
        <f>DATE(2010,7,27) + TIME(2,24,30)</f>
        <v>40386.100347222222</v>
      </c>
      <c r="C336">
        <v>80</v>
      </c>
      <c r="D336">
        <v>79.935577393000003</v>
      </c>
      <c r="E336">
        <v>50</v>
      </c>
      <c r="F336">
        <v>14.999601364</v>
      </c>
      <c r="G336">
        <v>1345.5146483999999</v>
      </c>
      <c r="H336">
        <v>1341.7113036999999</v>
      </c>
      <c r="I336">
        <v>1314.104126</v>
      </c>
      <c r="J336">
        <v>1305.9804687999999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87.520503000000005</v>
      </c>
      <c r="B337" s="1">
        <f>DATE(2010,7,27) + TIME(12,29,31)</f>
        <v>40386.520497685182</v>
      </c>
      <c r="C337">
        <v>80</v>
      </c>
      <c r="D337">
        <v>79.935607910000002</v>
      </c>
      <c r="E337">
        <v>50</v>
      </c>
      <c r="F337">
        <v>14.999645233000001</v>
      </c>
      <c r="G337">
        <v>1345.5075684000001</v>
      </c>
      <c r="H337">
        <v>1341.7052002</v>
      </c>
      <c r="I337">
        <v>1314.1071777</v>
      </c>
      <c r="J337">
        <v>1305.9824219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88.360797000000005</v>
      </c>
      <c r="B338" s="1">
        <f>DATE(2010,7,28) + TIME(8,39,32)</f>
        <v>40387.36078703704</v>
      </c>
      <c r="C338">
        <v>80</v>
      </c>
      <c r="D338">
        <v>79.935684203999998</v>
      </c>
      <c r="E338">
        <v>50</v>
      </c>
      <c r="F338">
        <v>14.999714851</v>
      </c>
      <c r="G338">
        <v>1345.4997559000001</v>
      </c>
      <c r="H338">
        <v>1341.6983643000001</v>
      </c>
      <c r="I338">
        <v>1314.1108397999999</v>
      </c>
      <c r="J338">
        <v>1305.9847411999999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89.201920000000001</v>
      </c>
      <c r="B339" s="1">
        <f>DATE(2010,7,29) + TIME(4,50,45)</f>
        <v>40388.201909722222</v>
      </c>
      <c r="C339">
        <v>80</v>
      </c>
      <c r="D339">
        <v>79.935752868999998</v>
      </c>
      <c r="E339">
        <v>50</v>
      </c>
      <c r="F339">
        <v>14.999808311000001</v>
      </c>
      <c r="G339">
        <v>1345.4865723</v>
      </c>
      <c r="H339">
        <v>1341.6870117000001</v>
      </c>
      <c r="I339">
        <v>1314.1166992000001</v>
      </c>
      <c r="J339">
        <v>1305.9884033000001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90.049948000000001</v>
      </c>
      <c r="B340" s="1">
        <f>DATE(2010,7,30) + TIME(1,11,55)</f>
        <v>40389.049942129626</v>
      </c>
      <c r="C340">
        <v>80</v>
      </c>
      <c r="D340">
        <v>79.935813904</v>
      </c>
      <c r="E340">
        <v>50</v>
      </c>
      <c r="F340">
        <v>14.999922752</v>
      </c>
      <c r="G340">
        <v>1345.4730225000001</v>
      </c>
      <c r="H340">
        <v>1341.675293</v>
      </c>
      <c r="I340">
        <v>1314.1230469</v>
      </c>
      <c r="J340">
        <v>1305.9924315999999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90.906452000000002</v>
      </c>
      <c r="B341" s="1">
        <f>DATE(2010,7,30) + TIME(21,45,17)</f>
        <v>40389.906446759262</v>
      </c>
      <c r="C341">
        <v>80</v>
      </c>
      <c r="D341">
        <v>79.935882567999997</v>
      </c>
      <c r="E341">
        <v>50</v>
      </c>
      <c r="F341">
        <v>15.000061035</v>
      </c>
      <c r="G341">
        <v>1345.4593506000001</v>
      </c>
      <c r="H341">
        <v>1341.6634521000001</v>
      </c>
      <c r="I341">
        <v>1314.1296387</v>
      </c>
      <c r="J341">
        <v>1305.9964600000001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91.772946000000005</v>
      </c>
      <c r="B342" s="1">
        <f>DATE(2010,7,31) + TIME(18,33,2)</f>
        <v>40390.772939814815</v>
      </c>
      <c r="C342">
        <v>80</v>
      </c>
      <c r="D342">
        <v>79.935951232999997</v>
      </c>
      <c r="E342">
        <v>50</v>
      </c>
      <c r="F342">
        <v>15.000225067000001</v>
      </c>
      <c r="G342">
        <v>1345.4455565999999</v>
      </c>
      <c r="H342">
        <v>1341.6516113</v>
      </c>
      <c r="I342">
        <v>1314.1363524999999</v>
      </c>
      <c r="J342">
        <v>1306.0007324000001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92</v>
      </c>
      <c r="B343" s="1">
        <f>DATE(2010,8,1) + TIME(0,0,0)</f>
        <v>40391</v>
      </c>
      <c r="C343">
        <v>80</v>
      </c>
      <c r="D343">
        <v>79.935951232999997</v>
      </c>
      <c r="E343">
        <v>50</v>
      </c>
      <c r="F343">
        <v>15.000308037</v>
      </c>
      <c r="G343">
        <v>1345.4351807</v>
      </c>
      <c r="H343">
        <v>1341.6424560999999</v>
      </c>
      <c r="I343">
        <v>1314.1411132999999</v>
      </c>
      <c r="J343">
        <v>1306.0035399999999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92.878051999999997</v>
      </c>
      <c r="B344" s="1">
        <f>DATE(2010,8,1) + TIME(21,4,23)</f>
        <v>40391.87804398148</v>
      </c>
      <c r="C344">
        <v>80</v>
      </c>
      <c r="D344">
        <v>79.936035156000003</v>
      </c>
      <c r="E344">
        <v>50</v>
      </c>
      <c r="F344">
        <v>15.000495911</v>
      </c>
      <c r="G344">
        <v>1345.4274902</v>
      </c>
      <c r="H344">
        <v>1341.6359863</v>
      </c>
      <c r="I344">
        <v>1314.1455077999999</v>
      </c>
      <c r="J344">
        <v>1306.0064697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93.321966000000003</v>
      </c>
      <c r="B345" s="1">
        <f>DATE(2010,8,2) + TIME(7,43,37)</f>
        <v>40392.321956018517</v>
      </c>
      <c r="C345">
        <v>80</v>
      </c>
      <c r="D345">
        <v>79.936050414999997</v>
      </c>
      <c r="E345">
        <v>50</v>
      </c>
      <c r="F345">
        <v>15.000654221</v>
      </c>
      <c r="G345">
        <v>1345.4156493999999</v>
      </c>
      <c r="H345">
        <v>1341.6256103999999</v>
      </c>
      <c r="I345">
        <v>1314.1513672000001</v>
      </c>
      <c r="J345">
        <v>1306.0100098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93.765880999999993</v>
      </c>
      <c r="B346" s="1">
        <f>DATE(2010,8,2) + TIME(18,22,52)</f>
        <v>40392.765879629631</v>
      </c>
      <c r="C346">
        <v>80</v>
      </c>
      <c r="D346">
        <v>79.936088561999995</v>
      </c>
      <c r="E346">
        <v>50</v>
      </c>
      <c r="F346">
        <v>15.000814438000001</v>
      </c>
      <c r="G346">
        <v>1345.4077147999999</v>
      </c>
      <c r="H346">
        <v>1341.6188964999999</v>
      </c>
      <c r="I346">
        <v>1314.1556396000001</v>
      </c>
      <c r="J346">
        <v>1306.0126952999999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94.209795999999997</v>
      </c>
      <c r="B347" s="1">
        <f>DATE(2010,8,3) + TIME(5,2,6)</f>
        <v>40393.209791666668</v>
      </c>
      <c r="C347">
        <v>80</v>
      </c>
      <c r="D347">
        <v>79.936119079999997</v>
      </c>
      <c r="E347">
        <v>50</v>
      </c>
      <c r="F347">
        <v>15.000980376999999</v>
      </c>
      <c r="G347">
        <v>1345.4005127</v>
      </c>
      <c r="H347">
        <v>1341.6125488</v>
      </c>
      <c r="I347">
        <v>1314.1594238</v>
      </c>
      <c r="J347">
        <v>1306.0150146000001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94.653711000000001</v>
      </c>
      <c r="B348" s="1">
        <f>DATE(2010,8,3) + TIME(15,41,20)</f>
        <v>40393.653703703705</v>
      </c>
      <c r="C348">
        <v>80</v>
      </c>
      <c r="D348">
        <v>79.936149596999996</v>
      </c>
      <c r="E348">
        <v>50</v>
      </c>
      <c r="F348">
        <v>15.0011549</v>
      </c>
      <c r="G348">
        <v>1345.3934326000001</v>
      </c>
      <c r="H348">
        <v>1341.6065673999999</v>
      </c>
      <c r="I348">
        <v>1314.1630858999999</v>
      </c>
      <c r="J348">
        <v>1306.0173339999999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95.097626000000005</v>
      </c>
      <c r="B349" s="1">
        <f>DATE(2010,8,4) + TIME(2,20,34)</f>
        <v>40394.097615740742</v>
      </c>
      <c r="C349">
        <v>80</v>
      </c>
      <c r="D349">
        <v>79.936187743999994</v>
      </c>
      <c r="E349">
        <v>50</v>
      </c>
      <c r="F349">
        <v>15.00134182</v>
      </c>
      <c r="G349">
        <v>1345.3864745999999</v>
      </c>
      <c r="H349">
        <v>1341.6004639</v>
      </c>
      <c r="I349">
        <v>1314.1668701000001</v>
      </c>
      <c r="J349">
        <v>1306.0196533000001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95.541540999999995</v>
      </c>
      <c r="B350" s="1">
        <f>DATE(2010,8,4) + TIME(12,59,49)</f>
        <v>40394.541539351849</v>
      </c>
      <c r="C350">
        <v>80</v>
      </c>
      <c r="D350">
        <v>79.936218261999997</v>
      </c>
      <c r="E350">
        <v>50</v>
      </c>
      <c r="F350">
        <v>15.001542090999999</v>
      </c>
      <c r="G350">
        <v>1345.3796387</v>
      </c>
      <c r="H350">
        <v>1341.5944824000001</v>
      </c>
      <c r="I350">
        <v>1314.1705322</v>
      </c>
      <c r="J350">
        <v>1306.0219727000001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95.985455999999999</v>
      </c>
      <c r="B351" s="1">
        <f>DATE(2010,8,4) + TIME(23,39,3)</f>
        <v>40394.985451388886</v>
      </c>
      <c r="C351">
        <v>80</v>
      </c>
      <c r="D351">
        <v>79.936256408999995</v>
      </c>
      <c r="E351">
        <v>50</v>
      </c>
      <c r="F351">
        <v>15.001758575</v>
      </c>
      <c r="G351">
        <v>1345.3728027</v>
      </c>
      <c r="H351">
        <v>1341.5886230000001</v>
      </c>
      <c r="I351">
        <v>1314.1743164</v>
      </c>
      <c r="J351">
        <v>1306.0242920000001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96.429371000000003</v>
      </c>
      <c r="B352" s="1">
        <f>DATE(2010,8,5) + TIME(10,18,17)</f>
        <v>40395.429363425923</v>
      </c>
      <c r="C352">
        <v>80</v>
      </c>
      <c r="D352">
        <v>79.936286925999994</v>
      </c>
      <c r="E352">
        <v>50</v>
      </c>
      <c r="F352">
        <v>15.001991272</v>
      </c>
      <c r="G352">
        <v>1345.3659668</v>
      </c>
      <c r="H352">
        <v>1341.5826416</v>
      </c>
      <c r="I352">
        <v>1314.1781006000001</v>
      </c>
      <c r="J352">
        <v>1306.0266113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96.873285999999993</v>
      </c>
      <c r="B353" s="1">
        <f>DATE(2010,8,5) + TIME(20,57,31)</f>
        <v>40395.87327546296</v>
      </c>
      <c r="C353">
        <v>80</v>
      </c>
      <c r="D353">
        <v>79.936325073000006</v>
      </c>
      <c r="E353">
        <v>50</v>
      </c>
      <c r="F353">
        <v>15.002243996000001</v>
      </c>
      <c r="G353">
        <v>1345.3591309000001</v>
      </c>
      <c r="H353">
        <v>1341.5767822</v>
      </c>
      <c r="I353">
        <v>1314.1820068</v>
      </c>
      <c r="J353">
        <v>1306.0290527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97.317200999999997</v>
      </c>
      <c r="B354" s="1">
        <f>DATE(2010,8,6) + TIME(7,36,46)</f>
        <v>40396.317199074074</v>
      </c>
      <c r="C354">
        <v>80</v>
      </c>
      <c r="D354">
        <v>79.936355590999995</v>
      </c>
      <c r="E354">
        <v>50</v>
      </c>
      <c r="F354">
        <v>15.0025177</v>
      </c>
      <c r="G354">
        <v>1345.3524170000001</v>
      </c>
      <c r="H354">
        <v>1341.5709228999999</v>
      </c>
      <c r="I354">
        <v>1314.1857910000001</v>
      </c>
      <c r="J354">
        <v>1306.0313721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97.761116000000001</v>
      </c>
      <c r="B355" s="1">
        <f>DATE(2010,8,6) + TIME(18,16,0)</f>
        <v>40396.761111111111</v>
      </c>
      <c r="C355">
        <v>80</v>
      </c>
      <c r="D355">
        <v>79.936393738000007</v>
      </c>
      <c r="E355">
        <v>50</v>
      </c>
      <c r="F355">
        <v>15.002814293</v>
      </c>
      <c r="G355">
        <v>1345.3455810999999</v>
      </c>
      <c r="H355">
        <v>1341.5651855000001</v>
      </c>
      <c r="I355">
        <v>1314.1896973</v>
      </c>
      <c r="J355">
        <v>1306.0338135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98.205029999999994</v>
      </c>
      <c r="B356" s="1">
        <f>DATE(2010,8,7) + TIME(4,55,14)</f>
        <v>40397.205023148148</v>
      </c>
      <c r="C356">
        <v>80</v>
      </c>
      <c r="D356">
        <v>79.936424255000006</v>
      </c>
      <c r="E356">
        <v>50</v>
      </c>
      <c r="F356">
        <v>15.003134727000001</v>
      </c>
      <c r="G356">
        <v>1345.3388672000001</v>
      </c>
      <c r="H356">
        <v>1341.5593262</v>
      </c>
      <c r="I356">
        <v>1314.1937256000001</v>
      </c>
      <c r="J356">
        <v>1306.0362548999999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98.648944999999998</v>
      </c>
      <c r="B357" s="1">
        <f>DATE(2010,8,7) + TIME(15,34,28)</f>
        <v>40397.648935185185</v>
      </c>
      <c r="C357">
        <v>80</v>
      </c>
      <c r="D357">
        <v>79.936454772999994</v>
      </c>
      <c r="E357">
        <v>50</v>
      </c>
      <c r="F357">
        <v>15.003480911</v>
      </c>
      <c r="G357">
        <v>1345.3322754000001</v>
      </c>
      <c r="H357">
        <v>1341.5535889</v>
      </c>
      <c r="I357">
        <v>1314.1976318</v>
      </c>
      <c r="J357">
        <v>1306.0386963000001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99.092860000000002</v>
      </c>
      <c r="B358" s="1">
        <f>DATE(2010,8,8) + TIME(2,13,43)</f>
        <v>40398.092858796299</v>
      </c>
      <c r="C358">
        <v>80</v>
      </c>
      <c r="D358">
        <v>79.936492920000006</v>
      </c>
      <c r="E358">
        <v>50</v>
      </c>
      <c r="F358">
        <v>15.003856659</v>
      </c>
      <c r="G358">
        <v>1345.3255615</v>
      </c>
      <c r="H358">
        <v>1341.5478516000001</v>
      </c>
      <c r="I358">
        <v>1314.2016602000001</v>
      </c>
      <c r="J358">
        <v>1306.0411377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99.980689999999996</v>
      </c>
      <c r="B359" s="1">
        <f>DATE(2010,8,8) + TIME(23,32,11)</f>
        <v>40398.980682870373</v>
      </c>
      <c r="C359">
        <v>80</v>
      </c>
      <c r="D359">
        <v>79.936576842999997</v>
      </c>
      <c r="E359">
        <v>50</v>
      </c>
      <c r="F359">
        <v>15.004455566000001</v>
      </c>
      <c r="G359">
        <v>1345.3179932</v>
      </c>
      <c r="H359">
        <v>1341.5412598</v>
      </c>
      <c r="I359">
        <v>1314.2061768000001</v>
      </c>
      <c r="J359">
        <v>1306.0439452999999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100.868865</v>
      </c>
      <c r="B360" s="1">
        <f>DATE(2010,8,9) + TIME(20,51,9)</f>
        <v>40399.868854166663</v>
      </c>
      <c r="C360">
        <v>80</v>
      </c>
      <c r="D360">
        <v>79.936637877999999</v>
      </c>
      <c r="E360">
        <v>50</v>
      </c>
      <c r="F360">
        <v>15.005262374999999</v>
      </c>
      <c r="G360">
        <v>1345.3055420000001</v>
      </c>
      <c r="H360">
        <v>1341.5306396000001</v>
      </c>
      <c r="I360">
        <v>1314.2138672000001</v>
      </c>
      <c r="J360">
        <v>1306.0487060999999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101.768377</v>
      </c>
      <c r="B361" s="1">
        <f>DATE(2010,8,10) + TIME(18,26,27)</f>
        <v>40400.768368055556</v>
      </c>
      <c r="C361">
        <v>80</v>
      </c>
      <c r="D361">
        <v>79.936706543</v>
      </c>
      <c r="E361">
        <v>50</v>
      </c>
      <c r="F361">
        <v>15.006257056999999</v>
      </c>
      <c r="G361">
        <v>1345.2926024999999</v>
      </c>
      <c r="H361">
        <v>1341.5194091999999</v>
      </c>
      <c r="I361">
        <v>1314.2220459</v>
      </c>
      <c r="J361">
        <v>1306.0537108999999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102.680992</v>
      </c>
      <c r="B362" s="1">
        <f>DATE(2010,8,11) + TIME(16,20,37)</f>
        <v>40401.680983796294</v>
      </c>
      <c r="C362">
        <v>80</v>
      </c>
      <c r="D362">
        <v>79.936775208</v>
      </c>
      <c r="E362">
        <v>50</v>
      </c>
      <c r="F362">
        <v>15.007450104</v>
      </c>
      <c r="G362">
        <v>1345.2795410000001</v>
      </c>
      <c r="H362">
        <v>1341.5081786999999</v>
      </c>
      <c r="I362">
        <v>1314.2305908000001</v>
      </c>
      <c r="J362">
        <v>1306.0589600000001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103.14496800000001</v>
      </c>
      <c r="B363" s="1">
        <f>DATE(2010,8,12) + TIME(3,28,45)</f>
        <v>40402.144965277781</v>
      </c>
      <c r="C363">
        <v>80</v>
      </c>
      <c r="D363">
        <v>79.936798096000004</v>
      </c>
      <c r="E363">
        <v>50</v>
      </c>
      <c r="F363">
        <v>15.00841713</v>
      </c>
      <c r="G363">
        <v>1345.2678223</v>
      </c>
      <c r="H363">
        <v>1341.4980469</v>
      </c>
      <c r="I363">
        <v>1314.2385254000001</v>
      </c>
      <c r="J363">
        <v>1306.0637207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103.60894399999999</v>
      </c>
      <c r="B364" s="1">
        <f>DATE(2010,8,12) + TIME(14,36,52)</f>
        <v>40402.608935185184</v>
      </c>
      <c r="C364">
        <v>80</v>
      </c>
      <c r="D364">
        <v>79.936836243000002</v>
      </c>
      <c r="E364">
        <v>50</v>
      </c>
      <c r="F364">
        <v>15.009373665</v>
      </c>
      <c r="G364">
        <v>1345.2600098</v>
      </c>
      <c r="H364">
        <v>1341.4914550999999</v>
      </c>
      <c r="I364">
        <v>1314.2437743999999</v>
      </c>
      <c r="J364">
        <v>1306.0670166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104.07292</v>
      </c>
      <c r="B365" s="1">
        <f>DATE(2010,8,13) + TIME(1,45,0)</f>
        <v>40403.072916666664</v>
      </c>
      <c r="C365">
        <v>80</v>
      </c>
      <c r="D365">
        <v>79.936866760000001</v>
      </c>
      <c r="E365">
        <v>50</v>
      </c>
      <c r="F365">
        <v>15.010351181000001</v>
      </c>
      <c r="G365">
        <v>1345.2530518000001</v>
      </c>
      <c r="H365">
        <v>1341.4853516000001</v>
      </c>
      <c r="I365">
        <v>1314.2485352000001</v>
      </c>
      <c r="J365">
        <v>1306.0699463000001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104.536896</v>
      </c>
      <c r="B366" s="1">
        <f>DATE(2010,8,13) + TIME(12,53,7)</f>
        <v>40403.536886574075</v>
      </c>
      <c r="C366">
        <v>80</v>
      </c>
      <c r="D366">
        <v>79.936904906999999</v>
      </c>
      <c r="E366">
        <v>50</v>
      </c>
      <c r="F366">
        <v>15.011371613</v>
      </c>
      <c r="G366">
        <v>1345.2462158000001</v>
      </c>
      <c r="H366">
        <v>1341.4794922000001</v>
      </c>
      <c r="I366">
        <v>1314.2532959</v>
      </c>
      <c r="J366">
        <v>1306.072876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105.000873</v>
      </c>
      <c r="B367" s="1">
        <f>DATE(2010,8,14) + TIME(0,1,15)</f>
        <v>40404.000868055555</v>
      </c>
      <c r="C367">
        <v>80</v>
      </c>
      <c r="D367">
        <v>79.936935425000001</v>
      </c>
      <c r="E367">
        <v>50</v>
      </c>
      <c r="F367">
        <v>15.012451172</v>
      </c>
      <c r="G367">
        <v>1345.2395019999999</v>
      </c>
      <c r="H367">
        <v>1341.4736327999999</v>
      </c>
      <c r="I367">
        <v>1314.2579346</v>
      </c>
      <c r="J367">
        <v>1306.0756836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105.464849</v>
      </c>
      <c r="B368" s="1">
        <f>DATE(2010,8,14) + TIME(11,9,22)</f>
        <v>40404.464837962965</v>
      </c>
      <c r="C368">
        <v>80</v>
      </c>
      <c r="D368">
        <v>79.936973571999999</v>
      </c>
      <c r="E368">
        <v>50</v>
      </c>
      <c r="F368">
        <v>15.013600349000001</v>
      </c>
      <c r="G368">
        <v>1345.2329102000001</v>
      </c>
      <c r="H368">
        <v>1341.4678954999999</v>
      </c>
      <c r="I368">
        <v>1314.2626952999999</v>
      </c>
      <c r="J368">
        <v>1306.0786132999999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105.928825</v>
      </c>
      <c r="B369" s="1">
        <f>DATE(2010,8,14) + TIME(22,17,30)</f>
        <v>40404.928819444445</v>
      </c>
      <c r="C369">
        <v>80</v>
      </c>
      <c r="D369">
        <v>79.937004088999998</v>
      </c>
      <c r="E369">
        <v>50</v>
      </c>
      <c r="F369">
        <v>15.014831543</v>
      </c>
      <c r="G369">
        <v>1345.2261963000001</v>
      </c>
      <c r="H369">
        <v>1341.4621582</v>
      </c>
      <c r="I369">
        <v>1314.2674560999999</v>
      </c>
      <c r="J369">
        <v>1306.081543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106.39280100000001</v>
      </c>
      <c r="B370" s="1">
        <f>DATE(2010,8,15) + TIME(9,25,37)</f>
        <v>40405.392789351848</v>
      </c>
      <c r="C370">
        <v>80</v>
      </c>
      <c r="D370">
        <v>79.937042235999996</v>
      </c>
      <c r="E370">
        <v>50</v>
      </c>
      <c r="F370">
        <v>15.016152382</v>
      </c>
      <c r="G370">
        <v>1345.2196045000001</v>
      </c>
      <c r="H370">
        <v>1341.456543</v>
      </c>
      <c r="I370">
        <v>1314.2722168</v>
      </c>
      <c r="J370">
        <v>1306.0844727000001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106.85677699999999</v>
      </c>
      <c r="B371" s="1">
        <f>DATE(2010,8,15) + TIME(20,33,45)</f>
        <v>40405.856770833336</v>
      </c>
      <c r="C371">
        <v>80</v>
      </c>
      <c r="D371">
        <v>79.937080382999994</v>
      </c>
      <c r="E371">
        <v>50</v>
      </c>
      <c r="F371">
        <v>15.017571449</v>
      </c>
      <c r="G371">
        <v>1345.2131348</v>
      </c>
      <c r="H371">
        <v>1341.4508057</v>
      </c>
      <c r="I371">
        <v>1314.2770995999999</v>
      </c>
      <c r="J371">
        <v>1306.0875243999999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107.320753</v>
      </c>
      <c r="B372" s="1">
        <f>DATE(2010,8,16) + TIME(7,41,53)</f>
        <v>40406.320752314816</v>
      </c>
      <c r="C372">
        <v>80</v>
      </c>
      <c r="D372">
        <v>79.937110900999997</v>
      </c>
      <c r="E372">
        <v>50</v>
      </c>
      <c r="F372">
        <v>15.019098282</v>
      </c>
      <c r="G372">
        <v>1345.206543</v>
      </c>
      <c r="H372">
        <v>1341.4451904</v>
      </c>
      <c r="I372">
        <v>1314.2821045000001</v>
      </c>
      <c r="J372">
        <v>1306.0905762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107.784729</v>
      </c>
      <c r="B373" s="1">
        <f>DATE(2010,8,16) + TIME(18,50,0)</f>
        <v>40406.784722222219</v>
      </c>
      <c r="C373">
        <v>80</v>
      </c>
      <c r="D373">
        <v>79.937149047999995</v>
      </c>
      <c r="E373">
        <v>50</v>
      </c>
      <c r="F373">
        <v>15.020738602</v>
      </c>
      <c r="G373">
        <v>1345.2000731999999</v>
      </c>
      <c r="H373">
        <v>1341.4395752</v>
      </c>
      <c r="I373">
        <v>1314.2869873</v>
      </c>
      <c r="J373">
        <v>1306.0936279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108.248705</v>
      </c>
      <c r="B374" s="1">
        <f>DATE(2010,8,17) + TIME(5,58,8)</f>
        <v>40407.248703703706</v>
      </c>
      <c r="C374">
        <v>80</v>
      </c>
      <c r="D374">
        <v>79.937179564999994</v>
      </c>
      <c r="E374">
        <v>50</v>
      </c>
      <c r="F374">
        <v>15.022503853</v>
      </c>
      <c r="G374">
        <v>1345.1934814000001</v>
      </c>
      <c r="H374">
        <v>1341.4339600000001</v>
      </c>
      <c r="I374">
        <v>1314.2921143000001</v>
      </c>
      <c r="J374">
        <v>1306.0966797000001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108.712681</v>
      </c>
      <c r="B375" s="1">
        <f>DATE(2010,8,17) + TIME(17,6,15)</f>
        <v>40407.712673611109</v>
      </c>
      <c r="C375">
        <v>80</v>
      </c>
      <c r="D375">
        <v>79.937217712000006</v>
      </c>
      <c r="E375">
        <v>50</v>
      </c>
      <c r="F375">
        <v>15.024400711</v>
      </c>
      <c r="G375">
        <v>1345.1870117000001</v>
      </c>
      <c r="H375">
        <v>1341.4283447</v>
      </c>
      <c r="I375">
        <v>1314.2971190999999</v>
      </c>
      <c r="J375">
        <v>1306.0998535000001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109.17665700000001</v>
      </c>
      <c r="B376" s="1">
        <f>DATE(2010,8,18) + TIME(4,14,23)</f>
        <v>40408.176655092589</v>
      </c>
      <c r="C376">
        <v>80</v>
      </c>
      <c r="D376">
        <v>79.937255859000004</v>
      </c>
      <c r="E376">
        <v>50</v>
      </c>
      <c r="F376">
        <v>15.026438712999999</v>
      </c>
      <c r="G376">
        <v>1345.1806641000001</v>
      </c>
      <c r="H376">
        <v>1341.4228516000001</v>
      </c>
      <c r="I376">
        <v>1314.3023682</v>
      </c>
      <c r="J376">
        <v>1306.1030272999999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109.64063299999999</v>
      </c>
      <c r="B377" s="1">
        <f>DATE(2010,8,18) + TIME(15,22,30)</f>
        <v>40408.640625</v>
      </c>
      <c r="C377">
        <v>80</v>
      </c>
      <c r="D377">
        <v>79.937286377000007</v>
      </c>
      <c r="E377">
        <v>50</v>
      </c>
      <c r="F377">
        <v>15.028627395999999</v>
      </c>
      <c r="G377">
        <v>1345.1741943</v>
      </c>
      <c r="H377">
        <v>1341.4172363</v>
      </c>
      <c r="I377">
        <v>1314.3074951000001</v>
      </c>
      <c r="J377">
        <v>1306.1062012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110.568585</v>
      </c>
      <c r="B378" s="1">
        <f>DATE(2010,8,19) + TIME(13,38,45)</f>
        <v>40409.568576388891</v>
      </c>
      <c r="C378">
        <v>80</v>
      </c>
      <c r="D378">
        <v>79.937370299999998</v>
      </c>
      <c r="E378">
        <v>50</v>
      </c>
      <c r="F378">
        <v>15.03207016</v>
      </c>
      <c r="G378">
        <v>1345.1668701000001</v>
      </c>
      <c r="H378">
        <v>1341.4108887</v>
      </c>
      <c r="I378">
        <v>1314.3132324000001</v>
      </c>
      <c r="J378">
        <v>1306.1098632999999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111.499916</v>
      </c>
      <c r="B379" s="1">
        <f>DATE(2010,8,20) + TIME(11,59,52)</f>
        <v>40410.499907407408</v>
      </c>
      <c r="C379">
        <v>80</v>
      </c>
      <c r="D379">
        <v>79.937438964999998</v>
      </c>
      <c r="E379">
        <v>50</v>
      </c>
      <c r="F379">
        <v>15.036695480000001</v>
      </c>
      <c r="G379">
        <v>1345.1549072</v>
      </c>
      <c r="H379">
        <v>1341.4006348</v>
      </c>
      <c r="I379">
        <v>1314.3233643000001</v>
      </c>
      <c r="J379">
        <v>1306.1160889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112.447469</v>
      </c>
      <c r="B380" s="1">
        <f>DATE(2010,8,21) + TIME(10,44,21)</f>
        <v>40411.447465277779</v>
      </c>
      <c r="C380">
        <v>80</v>
      </c>
      <c r="D380">
        <v>79.937515258999994</v>
      </c>
      <c r="E380">
        <v>50</v>
      </c>
      <c r="F380">
        <v>15.042357445</v>
      </c>
      <c r="G380">
        <v>1345.1423339999999</v>
      </c>
      <c r="H380">
        <v>1341.3897704999999</v>
      </c>
      <c r="I380">
        <v>1314.3342285000001</v>
      </c>
      <c r="J380">
        <v>1306.1228027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112.927768</v>
      </c>
      <c r="B381" s="1">
        <f>DATE(2010,8,21) + TIME(22,15,59)</f>
        <v>40411.927766203706</v>
      </c>
      <c r="C381">
        <v>80</v>
      </c>
      <c r="D381">
        <v>79.937538146999998</v>
      </c>
      <c r="E381">
        <v>50</v>
      </c>
      <c r="F381">
        <v>15.046970367</v>
      </c>
      <c r="G381">
        <v>1345.1311035000001</v>
      </c>
      <c r="H381">
        <v>1341.3801269999999</v>
      </c>
      <c r="I381">
        <v>1314.3448486</v>
      </c>
      <c r="J381">
        <v>1306.1290283000001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113.874866</v>
      </c>
      <c r="B382" s="1">
        <f>DATE(2010,8,22) + TIME(20,59,48)</f>
        <v>40412.874861111108</v>
      </c>
      <c r="C382">
        <v>80</v>
      </c>
      <c r="D382">
        <v>79.937614440999994</v>
      </c>
      <c r="E382">
        <v>50</v>
      </c>
      <c r="F382">
        <v>15.053507805000001</v>
      </c>
      <c r="G382">
        <v>1345.1224365</v>
      </c>
      <c r="H382">
        <v>1341.3726807</v>
      </c>
      <c r="I382">
        <v>1314.3519286999999</v>
      </c>
      <c r="J382">
        <v>1306.1337891000001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114.828818</v>
      </c>
      <c r="B383" s="1">
        <f>DATE(2010,8,23) + TIME(19,53,29)</f>
        <v>40413.82880787037</v>
      </c>
      <c r="C383">
        <v>80</v>
      </c>
      <c r="D383">
        <v>79.937690735000004</v>
      </c>
      <c r="E383">
        <v>50</v>
      </c>
      <c r="F383">
        <v>15.061526299000001</v>
      </c>
      <c r="G383">
        <v>1345.1102295000001</v>
      </c>
      <c r="H383">
        <v>1341.3621826000001</v>
      </c>
      <c r="I383">
        <v>1314.3632812000001</v>
      </c>
      <c r="J383">
        <v>1306.1408690999999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115.783219</v>
      </c>
      <c r="B384" s="1">
        <f>DATE(2010,8,24) + TIME(18,47,50)</f>
        <v>40414.783217592594</v>
      </c>
      <c r="C384">
        <v>80</v>
      </c>
      <c r="D384">
        <v>79.937759399000001</v>
      </c>
      <c r="E384">
        <v>50</v>
      </c>
      <c r="F384">
        <v>15.070951462</v>
      </c>
      <c r="G384">
        <v>1345.0975341999999</v>
      </c>
      <c r="H384">
        <v>1341.3511963000001</v>
      </c>
      <c r="I384">
        <v>1314.3752440999999</v>
      </c>
      <c r="J384">
        <v>1306.1484375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116.739841</v>
      </c>
      <c r="B385" s="1">
        <f>DATE(2010,8,25) + TIME(17,45,22)</f>
        <v>40415.739837962959</v>
      </c>
      <c r="C385">
        <v>80</v>
      </c>
      <c r="D385">
        <v>79.937828064000001</v>
      </c>
      <c r="E385">
        <v>50</v>
      </c>
      <c r="F385">
        <v>15.081840515</v>
      </c>
      <c r="G385">
        <v>1345.0849608999999</v>
      </c>
      <c r="H385">
        <v>1341.340332</v>
      </c>
      <c r="I385">
        <v>1314.3876952999999</v>
      </c>
      <c r="J385">
        <v>1306.15625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117.701213</v>
      </c>
      <c r="B386" s="1">
        <f>DATE(2010,8,26) + TIME(16,49,44)</f>
        <v>40416.701203703706</v>
      </c>
      <c r="C386">
        <v>80</v>
      </c>
      <c r="D386">
        <v>79.937904357999997</v>
      </c>
      <c r="E386">
        <v>50</v>
      </c>
      <c r="F386">
        <v>15.094348907000001</v>
      </c>
      <c r="G386">
        <v>1345.0722656</v>
      </c>
      <c r="H386">
        <v>1341.3294678</v>
      </c>
      <c r="I386">
        <v>1314.4003906</v>
      </c>
      <c r="J386">
        <v>1306.1644286999999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118.181949</v>
      </c>
      <c r="B387" s="1">
        <f>DATE(2010,8,27) + TIME(4,22,0)</f>
        <v>40417.181944444441</v>
      </c>
      <c r="C387">
        <v>80</v>
      </c>
      <c r="D387">
        <v>79.937927246000001</v>
      </c>
      <c r="E387">
        <v>50</v>
      </c>
      <c r="F387">
        <v>15.104183196999999</v>
      </c>
      <c r="G387">
        <v>1345.0612793</v>
      </c>
      <c r="H387">
        <v>1341.3198242000001</v>
      </c>
      <c r="I387">
        <v>1314.4129639</v>
      </c>
      <c r="J387">
        <v>1306.1719971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118.66268599999999</v>
      </c>
      <c r="B388" s="1">
        <f>DATE(2010,8,27) + TIME(15,54,16)</f>
        <v>40417.662685185183</v>
      </c>
      <c r="C388">
        <v>80</v>
      </c>
      <c r="D388">
        <v>79.937957764000004</v>
      </c>
      <c r="E388">
        <v>50</v>
      </c>
      <c r="F388">
        <v>15.113696098</v>
      </c>
      <c r="G388">
        <v>1345.0539550999999</v>
      </c>
      <c r="H388">
        <v>1341.3135986</v>
      </c>
      <c r="I388">
        <v>1314.4204102000001</v>
      </c>
      <c r="J388">
        <v>1306.1770019999999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119.143422</v>
      </c>
      <c r="B389" s="1">
        <f>DATE(2010,8,28) + TIME(3,26,31)</f>
        <v>40418.143414351849</v>
      </c>
      <c r="C389">
        <v>80</v>
      </c>
      <c r="D389">
        <v>79.937995911000002</v>
      </c>
      <c r="E389">
        <v>50</v>
      </c>
      <c r="F389">
        <v>15.123234749</v>
      </c>
      <c r="G389">
        <v>1345.0473632999999</v>
      </c>
      <c r="H389">
        <v>1341.3078613</v>
      </c>
      <c r="I389">
        <v>1314.4272461</v>
      </c>
      <c r="J389">
        <v>1306.1816406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119.62415799999999</v>
      </c>
      <c r="B390" s="1">
        <f>DATE(2010,8,28) + TIME(14,58,47)</f>
        <v>40418.624155092592</v>
      </c>
      <c r="C390">
        <v>80</v>
      </c>
      <c r="D390">
        <v>79.938034058</v>
      </c>
      <c r="E390">
        <v>50</v>
      </c>
      <c r="F390">
        <v>15.133030891000001</v>
      </c>
      <c r="G390">
        <v>1345.0408935999999</v>
      </c>
      <c r="H390">
        <v>1341.3022461</v>
      </c>
      <c r="I390">
        <v>1314.4342041</v>
      </c>
      <c r="J390">
        <v>1306.1861572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120.104895</v>
      </c>
      <c r="B391" s="1">
        <f>DATE(2010,8,29) + TIME(2,31,2)</f>
        <v>40419.104884259257</v>
      </c>
      <c r="C391">
        <v>80</v>
      </c>
      <c r="D391">
        <v>79.938064574999999</v>
      </c>
      <c r="E391">
        <v>50</v>
      </c>
      <c r="F391">
        <v>15.143240928999999</v>
      </c>
      <c r="G391">
        <v>1345.0345459</v>
      </c>
      <c r="H391">
        <v>1341.2967529</v>
      </c>
      <c r="I391">
        <v>1314.4410399999999</v>
      </c>
      <c r="J391">
        <v>1306.1907959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120.58563100000001</v>
      </c>
      <c r="B392" s="1">
        <f>DATE(2010,8,29) + TIME(14,3,18)</f>
        <v>40419.585625</v>
      </c>
      <c r="C392">
        <v>80</v>
      </c>
      <c r="D392">
        <v>79.938102721999996</v>
      </c>
      <c r="E392">
        <v>50</v>
      </c>
      <c r="F392">
        <v>15.153979301</v>
      </c>
      <c r="G392">
        <v>1345.0283202999999</v>
      </c>
      <c r="H392">
        <v>1341.2913818</v>
      </c>
      <c r="I392">
        <v>1314.4481201000001</v>
      </c>
      <c r="J392">
        <v>1306.1955565999999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121.066368</v>
      </c>
      <c r="B393" s="1">
        <f>DATE(2010,8,30) + TIME(1,35,34)</f>
        <v>40420.066365740742</v>
      </c>
      <c r="C393">
        <v>80</v>
      </c>
      <c r="D393">
        <v>79.938140868999994</v>
      </c>
      <c r="E393">
        <v>50</v>
      </c>
      <c r="F393">
        <v>15.165332793999999</v>
      </c>
      <c r="G393">
        <v>1345.0220947</v>
      </c>
      <c r="H393">
        <v>1341.2858887</v>
      </c>
      <c r="I393">
        <v>1314.4552002</v>
      </c>
      <c r="J393">
        <v>1306.2003173999999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121.547104</v>
      </c>
      <c r="B394" s="1">
        <f>DATE(2010,8,30) + TIME(13,7,49)</f>
        <v>40420.547094907408</v>
      </c>
      <c r="C394">
        <v>80</v>
      </c>
      <c r="D394">
        <v>79.938171386999997</v>
      </c>
      <c r="E394">
        <v>50</v>
      </c>
      <c r="F394">
        <v>15.177370071</v>
      </c>
      <c r="G394">
        <v>1345.0158690999999</v>
      </c>
      <c r="H394">
        <v>1341.2805175999999</v>
      </c>
      <c r="I394">
        <v>1314.4624022999999</v>
      </c>
      <c r="J394">
        <v>1306.2052002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122.02784</v>
      </c>
      <c r="B395" s="1">
        <f>DATE(2010,8,31) + TIME(0,40,5)</f>
        <v>40421.02783564815</v>
      </c>
      <c r="C395">
        <v>80</v>
      </c>
      <c r="D395">
        <v>79.938209533999995</v>
      </c>
      <c r="E395">
        <v>50</v>
      </c>
      <c r="F395">
        <v>15.190153122</v>
      </c>
      <c r="G395">
        <v>1345.0096435999999</v>
      </c>
      <c r="H395">
        <v>1341.2751464999999</v>
      </c>
      <c r="I395">
        <v>1314.4697266000001</v>
      </c>
      <c r="J395">
        <v>1306.2102050999999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122.51392</v>
      </c>
      <c r="B396" s="1">
        <f>DATE(2010,8,31) + TIME(12,20,2)</f>
        <v>40421.513912037037</v>
      </c>
      <c r="C396">
        <v>80</v>
      </c>
      <c r="D396">
        <v>79.938247681000007</v>
      </c>
      <c r="E396">
        <v>50</v>
      </c>
      <c r="F396">
        <v>15.203831673</v>
      </c>
      <c r="G396">
        <v>1345.003418</v>
      </c>
      <c r="H396">
        <v>1341.2697754000001</v>
      </c>
      <c r="I396">
        <v>1314.4771728999999</v>
      </c>
      <c r="J396">
        <v>1306.2152100000001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123</v>
      </c>
      <c r="B397" s="1">
        <f>DATE(2010,9,1) + TIME(0,0,0)</f>
        <v>40422</v>
      </c>
      <c r="C397">
        <v>80</v>
      </c>
      <c r="D397">
        <v>79.938285828000005</v>
      </c>
      <c r="E397">
        <v>50</v>
      </c>
      <c r="F397">
        <v>15.218401909000001</v>
      </c>
      <c r="G397">
        <v>1344.9973144999999</v>
      </c>
      <c r="H397">
        <v>1341.2644043</v>
      </c>
      <c r="I397">
        <v>1314.4846190999999</v>
      </c>
      <c r="J397">
        <v>1306.2204589999999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123.48608</v>
      </c>
      <c r="B398" s="1">
        <f>DATE(2010,9,1) + TIME(11,39,57)</f>
        <v>40422.486076388886</v>
      </c>
      <c r="C398">
        <v>80</v>
      </c>
      <c r="D398">
        <v>79.938316345000004</v>
      </c>
      <c r="E398">
        <v>50</v>
      </c>
      <c r="F398">
        <v>15.233910561</v>
      </c>
      <c r="G398">
        <v>1344.9910889</v>
      </c>
      <c r="H398">
        <v>1341.2590332</v>
      </c>
      <c r="I398">
        <v>1314.4923096</v>
      </c>
      <c r="J398">
        <v>1306.2258300999999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123.967934</v>
      </c>
      <c r="B399" s="1">
        <f>DATE(2010,9,1) + TIME(23,13,49)</f>
        <v>40422.967928240738</v>
      </c>
      <c r="C399">
        <v>80</v>
      </c>
      <c r="D399">
        <v>79.938354492000002</v>
      </c>
      <c r="E399">
        <v>50</v>
      </c>
      <c r="F399">
        <v>15.250320435000001</v>
      </c>
      <c r="G399">
        <v>1344.9848632999999</v>
      </c>
      <c r="H399">
        <v>1341.2536620999999</v>
      </c>
      <c r="I399">
        <v>1314.5001221</v>
      </c>
      <c r="J399">
        <v>1306.2313231999999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124.449788</v>
      </c>
      <c r="B400" s="1">
        <f>DATE(2010,9,2) + TIME(10,47,41)</f>
        <v>40423.449780092589</v>
      </c>
      <c r="C400">
        <v>80</v>
      </c>
      <c r="D400">
        <v>79.938392639</v>
      </c>
      <c r="E400">
        <v>50</v>
      </c>
      <c r="F400">
        <v>15.267738341999999</v>
      </c>
      <c r="G400">
        <v>1344.9787598</v>
      </c>
      <c r="H400">
        <v>1341.2482910000001</v>
      </c>
      <c r="I400">
        <v>1314.5079346</v>
      </c>
      <c r="J400">
        <v>1306.2369385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124.931538</v>
      </c>
      <c r="B401" s="1">
        <f>DATE(2010,9,2) + TIME(22,21,24)</f>
        <v>40423.931527777779</v>
      </c>
      <c r="C401">
        <v>80</v>
      </c>
      <c r="D401">
        <v>79.938423157000003</v>
      </c>
      <c r="E401">
        <v>50</v>
      </c>
      <c r="F401">
        <v>15.286222457999999</v>
      </c>
      <c r="G401">
        <v>1344.9726562000001</v>
      </c>
      <c r="H401">
        <v>1341.2429199000001</v>
      </c>
      <c r="I401">
        <v>1314.5157471</v>
      </c>
      <c r="J401">
        <v>1306.2425536999999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125.413273</v>
      </c>
      <c r="B402" s="1">
        <f>DATE(2010,9,3) + TIME(9,55,6)</f>
        <v>40424.413263888891</v>
      </c>
      <c r="C402">
        <v>80</v>
      </c>
      <c r="D402">
        <v>79.938461304</v>
      </c>
      <c r="E402">
        <v>50</v>
      </c>
      <c r="F402">
        <v>15.305834770000001</v>
      </c>
      <c r="G402">
        <v>1344.9665527</v>
      </c>
      <c r="H402">
        <v>1341.2376709</v>
      </c>
      <c r="I402">
        <v>1314.5236815999999</v>
      </c>
      <c r="J402">
        <v>1306.2484131000001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125.89500700000001</v>
      </c>
      <c r="B403" s="1">
        <f>DATE(2010,9,3) + TIME(21,28,48)</f>
        <v>40424.894999999997</v>
      </c>
      <c r="C403">
        <v>80</v>
      </c>
      <c r="D403">
        <v>79.938499450999998</v>
      </c>
      <c r="E403">
        <v>50</v>
      </c>
      <c r="F403">
        <v>15.326638222</v>
      </c>
      <c r="G403">
        <v>1344.9604492000001</v>
      </c>
      <c r="H403">
        <v>1341.2322998</v>
      </c>
      <c r="I403">
        <v>1314.5317382999999</v>
      </c>
      <c r="J403">
        <v>1306.2543945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126.37674199999999</v>
      </c>
      <c r="B404" s="1">
        <f>DATE(2010,9,4) + TIME(9,2,30)</f>
        <v>40425.376736111109</v>
      </c>
      <c r="C404">
        <v>80</v>
      </c>
      <c r="D404">
        <v>79.938537597999996</v>
      </c>
      <c r="E404">
        <v>50</v>
      </c>
      <c r="F404">
        <v>15.348694801000001</v>
      </c>
      <c r="G404">
        <v>1344.9543457</v>
      </c>
      <c r="H404">
        <v>1341.2270507999999</v>
      </c>
      <c r="I404">
        <v>1314.5399170000001</v>
      </c>
      <c r="J404">
        <v>1306.260376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126.858476</v>
      </c>
      <c r="B405" s="1">
        <f>DATE(2010,9,4) + TIME(20,36,12)</f>
        <v>40425.858472222222</v>
      </c>
      <c r="C405">
        <v>80</v>
      </c>
      <c r="D405">
        <v>79.938568114999995</v>
      </c>
      <c r="E405">
        <v>50</v>
      </c>
      <c r="F405">
        <v>15.372071266000001</v>
      </c>
      <c r="G405">
        <v>1344.9483643000001</v>
      </c>
      <c r="H405">
        <v>1341.2218018000001</v>
      </c>
      <c r="I405">
        <v>1314.5480957</v>
      </c>
      <c r="J405">
        <v>1306.2666016000001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127.821945</v>
      </c>
      <c r="B406" s="1">
        <f>DATE(2010,9,5) + TIME(19,43,36)</f>
        <v>40426.821944444448</v>
      </c>
      <c r="C406">
        <v>80</v>
      </c>
      <c r="D406">
        <v>79.938652039000004</v>
      </c>
      <c r="E406">
        <v>50</v>
      </c>
      <c r="F406">
        <v>15.40798378</v>
      </c>
      <c r="G406">
        <v>1344.9412841999999</v>
      </c>
      <c r="H406">
        <v>1341.2155762</v>
      </c>
      <c r="I406">
        <v>1314.5557861</v>
      </c>
      <c r="J406">
        <v>1306.2738036999999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128.78890999999999</v>
      </c>
      <c r="B407" s="1">
        <f>DATE(2010,9,6) + TIME(18,56,1)</f>
        <v>40427.788900462961</v>
      </c>
      <c r="C407">
        <v>80</v>
      </c>
      <c r="D407">
        <v>79.938728333</v>
      </c>
      <c r="E407">
        <v>50</v>
      </c>
      <c r="F407">
        <v>15.455676079</v>
      </c>
      <c r="G407">
        <v>1344.9300536999999</v>
      </c>
      <c r="H407">
        <v>1341.2058105000001</v>
      </c>
      <c r="I407">
        <v>1314.5725098</v>
      </c>
      <c r="J407">
        <v>1306.2861327999999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129.77421699999999</v>
      </c>
      <c r="B408" s="1">
        <f>DATE(2010,9,7) + TIME(18,34,52)</f>
        <v>40428.774212962962</v>
      </c>
      <c r="C408">
        <v>80</v>
      </c>
      <c r="D408">
        <v>79.938804626000007</v>
      </c>
      <c r="E408">
        <v>50</v>
      </c>
      <c r="F408">
        <v>15.512856483</v>
      </c>
      <c r="G408">
        <v>1344.9182129000001</v>
      </c>
      <c r="H408">
        <v>1341.1954346</v>
      </c>
      <c r="I408">
        <v>1314.5898437999999</v>
      </c>
      <c r="J408">
        <v>1306.2998047000001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130.27088900000001</v>
      </c>
      <c r="B409" s="1">
        <f>DATE(2010,9,8) + TIME(6,30,4)</f>
        <v>40429.270879629628</v>
      </c>
      <c r="C409">
        <v>80</v>
      </c>
      <c r="D409">
        <v>79.938827515</v>
      </c>
      <c r="E409">
        <v>50</v>
      </c>
      <c r="F409">
        <v>15.558694838999999</v>
      </c>
      <c r="G409">
        <v>1344.9075928</v>
      </c>
      <c r="H409">
        <v>1341.1862793</v>
      </c>
      <c r="I409">
        <v>1314.6090088000001</v>
      </c>
      <c r="J409">
        <v>1306.3129882999999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131.242503</v>
      </c>
      <c r="B410" s="1">
        <f>DATE(2010,9,9) + TIME(5,49,12)</f>
        <v>40430.2425</v>
      </c>
      <c r="C410">
        <v>80</v>
      </c>
      <c r="D410">
        <v>79.938911438000005</v>
      </c>
      <c r="E410">
        <v>50</v>
      </c>
      <c r="F410">
        <v>15.621301651</v>
      </c>
      <c r="G410">
        <v>1344.8992920000001</v>
      </c>
      <c r="H410">
        <v>1341.1789550999999</v>
      </c>
      <c r="I410">
        <v>1314.6169434000001</v>
      </c>
      <c r="J410">
        <v>1306.322876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132.23038</v>
      </c>
      <c r="B411" s="1">
        <f>DATE(2010,9,10) + TIME(5,31,44)</f>
        <v>40431.230370370373</v>
      </c>
      <c r="C411">
        <v>80</v>
      </c>
      <c r="D411">
        <v>79.938987732000001</v>
      </c>
      <c r="E411">
        <v>50</v>
      </c>
      <c r="F411">
        <v>15.696463585</v>
      </c>
      <c r="G411">
        <v>1344.8878173999999</v>
      </c>
      <c r="H411">
        <v>1341.1688231999999</v>
      </c>
      <c r="I411">
        <v>1314.6347656</v>
      </c>
      <c r="J411">
        <v>1306.3380127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132.72672499999999</v>
      </c>
      <c r="B412" s="1">
        <f>DATE(2010,9,10) + TIME(17,26,29)</f>
        <v>40431.726724537039</v>
      </c>
      <c r="C412">
        <v>80</v>
      </c>
      <c r="D412">
        <v>79.939010620000005</v>
      </c>
      <c r="E412">
        <v>50</v>
      </c>
      <c r="F412">
        <v>15.756484031999999</v>
      </c>
      <c r="G412">
        <v>1344.8774414</v>
      </c>
      <c r="H412">
        <v>1341.159668</v>
      </c>
      <c r="I412">
        <v>1314.6552733999999</v>
      </c>
      <c r="J412">
        <v>1306.3529053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133.22307000000001</v>
      </c>
      <c r="B413" s="1">
        <f>DATE(2010,9,11) + TIME(5,21,13)</f>
        <v>40432.223067129627</v>
      </c>
      <c r="C413">
        <v>80</v>
      </c>
      <c r="D413">
        <v>79.939048767000003</v>
      </c>
      <c r="E413">
        <v>50</v>
      </c>
      <c r="F413">
        <v>15.813696861</v>
      </c>
      <c r="G413">
        <v>1344.8702393000001</v>
      </c>
      <c r="H413">
        <v>1341.1534423999999</v>
      </c>
      <c r="I413">
        <v>1314.6649170000001</v>
      </c>
      <c r="J413">
        <v>1306.362793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133.719415</v>
      </c>
      <c r="B414" s="1">
        <f>DATE(2010,9,11) + TIME(17,15,57)</f>
        <v>40432.719409722224</v>
      </c>
      <c r="C414">
        <v>80</v>
      </c>
      <c r="D414">
        <v>79.939079285000005</v>
      </c>
      <c r="E414">
        <v>50</v>
      </c>
      <c r="F414">
        <v>15.870263100000001</v>
      </c>
      <c r="G414">
        <v>1344.8638916</v>
      </c>
      <c r="H414">
        <v>1341.1478271000001</v>
      </c>
      <c r="I414">
        <v>1314.6740723</v>
      </c>
      <c r="J414">
        <v>1306.3723144999999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134.21575999999999</v>
      </c>
      <c r="B415" s="1">
        <f>DATE(2010,9,12) + TIME(5,10,41)</f>
        <v>40433.215752314813</v>
      </c>
      <c r="C415">
        <v>80</v>
      </c>
      <c r="D415">
        <v>79.939117432000003</v>
      </c>
      <c r="E415">
        <v>50</v>
      </c>
      <c r="F415">
        <v>15.92754364</v>
      </c>
      <c r="G415">
        <v>1344.8576660000001</v>
      </c>
      <c r="H415">
        <v>1341.1423339999999</v>
      </c>
      <c r="I415">
        <v>1314.6834716999999</v>
      </c>
      <c r="J415">
        <v>1306.3818358999999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134.71210500000001</v>
      </c>
      <c r="B416" s="1">
        <f>DATE(2010,9,12) + TIME(17,5,25)</f>
        <v>40433.712094907409</v>
      </c>
      <c r="C416">
        <v>80</v>
      </c>
      <c r="D416">
        <v>79.939155579000001</v>
      </c>
      <c r="E416">
        <v>50</v>
      </c>
      <c r="F416">
        <v>15.986405373</v>
      </c>
      <c r="G416">
        <v>1344.8515625</v>
      </c>
      <c r="H416">
        <v>1341.1369629000001</v>
      </c>
      <c r="I416">
        <v>1314.6928711</v>
      </c>
      <c r="J416">
        <v>1306.3914795000001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135.20845</v>
      </c>
      <c r="B417" s="1">
        <f>DATE(2010,9,13) + TIME(5,0,10)</f>
        <v>40434.208449074074</v>
      </c>
      <c r="C417">
        <v>80</v>
      </c>
      <c r="D417">
        <v>79.939193725999999</v>
      </c>
      <c r="E417">
        <v>50</v>
      </c>
      <c r="F417">
        <v>16.047412871999999</v>
      </c>
      <c r="G417">
        <v>1344.8454589999999</v>
      </c>
      <c r="H417">
        <v>1341.1314697</v>
      </c>
      <c r="I417">
        <v>1314.7025146000001</v>
      </c>
      <c r="J417">
        <v>1306.4013672000001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135.70479499999999</v>
      </c>
      <c r="B418" s="1">
        <f>DATE(2010,9,13) + TIME(16,54,54)</f>
        <v>40434.704791666663</v>
      </c>
      <c r="C418">
        <v>80</v>
      </c>
      <c r="D418">
        <v>79.939231872999997</v>
      </c>
      <c r="E418">
        <v>50</v>
      </c>
      <c r="F418">
        <v>16.110944748000001</v>
      </c>
      <c r="G418">
        <v>1344.8393555</v>
      </c>
      <c r="H418">
        <v>1341.1262207</v>
      </c>
      <c r="I418">
        <v>1314.7121582</v>
      </c>
      <c r="J418">
        <v>1306.411499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136.20114000000001</v>
      </c>
      <c r="B419" s="1">
        <f>DATE(2010,9,14) + TIME(4,49,38)</f>
        <v>40435.20113425926</v>
      </c>
      <c r="C419">
        <v>80</v>
      </c>
      <c r="D419">
        <v>79.939270019999995</v>
      </c>
      <c r="E419">
        <v>50</v>
      </c>
      <c r="F419">
        <v>16.17726326</v>
      </c>
      <c r="G419">
        <v>1344.833374</v>
      </c>
      <c r="H419">
        <v>1341.1208495999999</v>
      </c>
      <c r="I419">
        <v>1314.7218018000001</v>
      </c>
      <c r="J419">
        <v>1306.4219971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136.697485</v>
      </c>
      <c r="B420" s="1">
        <f>DATE(2010,9,14) + TIME(16,44,22)</f>
        <v>40435.697476851848</v>
      </c>
      <c r="C420">
        <v>80</v>
      </c>
      <c r="D420">
        <v>79.939308166999993</v>
      </c>
      <c r="E420">
        <v>50</v>
      </c>
      <c r="F420">
        <v>16.246564865</v>
      </c>
      <c r="G420">
        <v>1344.8272704999999</v>
      </c>
      <c r="H420">
        <v>1341.1154785000001</v>
      </c>
      <c r="I420">
        <v>1314.7315673999999</v>
      </c>
      <c r="J420">
        <v>1306.4327393000001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137.19382999999999</v>
      </c>
      <c r="B421" s="1">
        <f>DATE(2010,9,15) + TIME(4,39,6)</f>
        <v>40436.193819444445</v>
      </c>
      <c r="C421">
        <v>80</v>
      </c>
      <c r="D421">
        <v>79.939346313000001</v>
      </c>
      <c r="E421">
        <v>50</v>
      </c>
      <c r="F421">
        <v>16.319004059000001</v>
      </c>
      <c r="G421">
        <v>1344.8212891000001</v>
      </c>
      <c r="H421">
        <v>1341.1101074000001</v>
      </c>
      <c r="I421">
        <v>1314.7414550999999</v>
      </c>
      <c r="J421">
        <v>1306.4437256000001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137.69017500000001</v>
      </c>
      <c r="B422" s="1">
        <f>DATE(2010,9,15) + TIME(16,33,51)</f>
        <v>40436.69017361111</v>
      </c>
      <c r="C422">
        <v>80</v>
      </c>
      <c r="D422">
        <v>79.939384459999999</v>
      </c>
      <c r="E422">
        <v>50</v>
      </c>
      <c r="F422">
        <v>16.394699097</v>
      </c>
      <c r="G422">
        <v>1344.8153076000001</v>
      </c>
      <c r="H422">
        <v>1341.1047363</v>
      </c>
      <c r="I422">
        <v>1314.7512207</v>
      </c>
      <c r="J422">
        <v>1306.4549560999999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138.18652</v>
      </c>
      <c r="B423" s="1">
        <f>DATE(2010,9,16) + TIME(4,28,35)</f>
        <v>40437.186516203707</v>
      </c>
      <c r="C423">
        <v>80</v>
      </c>
      <c r="D423">
        <v>79.939414978000002</v>
      </c>
      <c r="E423">
        <v>50</v>
      </c>
      <c r="F423">
        <v>16.473752975</v>
      </c>
      <c r="G423">
        <v>1344.8093262</v>
      </c>
      <c r="H423">
        <v>1341.0994873</v>
      </c>
      <c r="I423">
        <v>1314.7611084</v>
      </c>
      <c r="J423">
        <v>1306.4665527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138.68286499999999</v>
      </c>
      <c r="B424" s="1">
        <f>DATE(2010,9,16) + TIME(16,23,19)</f>
        <v>40437.682858796295</v>
      </c>
      <c r="C424">
        <v>80</v>
      </c>
      <c r="D424">
        <v>79.939453125</v>
      </c>
      <c r="E424">
        <v>50</v>
      </c>
      <c r="F424">
        <v>16.556253432999998</v>
      </c>
      <c r="G424">
        <v>1344.8033447</v>
      </c>
      <c r="H424">
        <v>1341.0941161999999</v>
      </c>
      <c r="I424">
        <v>1314.770874</v>
      </c>
      <c r="J424">
        <v>1306.4783935999999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139.17884900000001</v>
      </c>
      <c r="B425" s="1">
        <f>DATE(2010,9,17) + TIME(4,17,32)</f>
        <v>40438.178842592592</v>
      </c>
      <c r="C425">
        <v>80</v>
      </c>
      <c r="D425">
        <v>79.939491271999998</v>
      </c>
      <c r="E425">
        <v>50</v>
      </c>
      <c r="F425">
        <v>16.642236709999999</v>
      </c>
      <c r="G425">
        <v>1344.7973632999999</v>
      </c>
      <c r="H425">
        <v>1341.0887451000001</v>
      </c>
      <c r="I425">
        <v>1314.7807617000001</v>
      </c>
      <c r="J425">
        <v>1306.4906006000001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139.67452499999999</v>
      </c>
      <c r="B426" s="1">
        <f>DATE(2010,9,17) + TIME(16,11,18)</f>
        <v>40438.674513888887</v>
      </c>
      <c r="C426">
        <v>80</v>
      </c>
      <c r="D426">
        <v>79.939529418999996</v>
      </c>
      <c r="E426">
        <v>50</v>
      </c>
      <c r="F426">
        <v>16.731761932000001</v>
      </c>
      <c r="G426">
        <v>1344.7913818</v>
      </c>
      <c r="H426">
        <v>1341.0834961</v>
      </c>
      <c r="I426">
        <v>1314.7906493999999</v>
      </c>
      <c r="J426">
        <v>1306.5031738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140.16998699999999</v>
      </c>
      <c r="B427" s="1">
        <f>DATE(2010,9,18) + TIME(4,4,46)</f>
        <v>40439.169976851852</v>
      </c>
      <c r="C427">
        <v>80</v>
      </c>
      <c r="D427">
        <v>79.939567565999994</v>
      </c>
      <c r="E427">
        <v>50</v>
      </c>
      <c r="F427">
        <v>16.824884415</v>
      </c>
      <c r="G427">
        <v>1344.7854004000001</v>
      </c>
      <c r="H427">
        <v>1341.078125</v>
      </c>
      <c r="I427">
        <v>1314.8004149999999</v>
      </c>
      <c r="J427">
        <v>1306.5159911999999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140.665346</v>
      </c>
      <c r="B428" s="1">
        <f>DATE(2010,9,18) + TIME(15,58,5)</f>
        <v>40439.665335648147</v>
      </c>
      <c r="C428">
        <v>80</v>
      </c>
      <c r="D428">
        <v>79.939605713000006</v>
      </c>
      <c r="E428">
        <v>50</v>
      </c>
      <c r="F428">
        <v>16.921636581000001</v>
      </c>
      <c r="G428">
        <v>1344.7794189000001</v>
      </c>
      <c r="H428">
        <v>1341.072876</v>
      </c>
      <c r="I428">
        <v>1314.8101807</v>
      </c>
      <c r="J428">
        <v>1306.5291748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141.16070400000001</v>
      </c>
      <c r="B429" s="1">
        <f>DATE(2010,9,19) + TIME(3,51,24)</f>
        <v>40440.160694444443</v>
      </c>
      <c r="C429">
        <v>80</v>
      </c>
      <c r="D429">
        <v>79.939643860000004</v>
      </c>
      <c r="E429">
        <v>50</v>
      </c>
      <c r="F429">
        <v>17.022081374999999</v>
      </c>
      <c r="G429">
        <v>1344.7734375</v>
      </c>
      <c r="H429">
        <v>1341.0675048999999</v>
      </c>
      <c r="I429">
        <v>1314.8199463000001</v>
      </c>
      <c r="J429">
        <v>1306.5427245999999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141.65606299999999</v>
      </c>
      <c r="B430" s="1">
        <f>DATE(2010,9,19) + TIME(15,44,43)</f>
        <v>40440.656053240738</v>
      </c>
      <c r="C430">
        <v>80</v>
      </c>
      <c r="D430">
        <v>79.939682007000002</v>
      </c>
      <c r="E430">
        <v>50</v>
      </c>
      <c r="F430">
        <v>17.126270294000001</v>
      </c>
      <c r="G430">
        <v>1344.7675781</v>
      </c>
      <c r="H430">
        <v>1341.0622559000001</v>
      </c>
      <c r="I430">
        <v>1314.8297118999999</v>
      </c>
      <c r="J430">
        <v>1306.5565185999999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142.151422</v>
      </c>
      <c r="B431" s="1">
        <f>DATE(2010,9,20) + TIME(3,38,2)</f>
        <v>40441.151412037034</v>
      </c>
      <c r="C431">
        <v>80</v>
      </c>
      <c r="D431">
        <v>79.939720154</v>
      </c>
      <c r="E431">
        <v>50</v>
      </c>
      <c r="F431">
        <v>17.234241485999998</v>
      </c>
      <c r="G431">
        <v>1344.7615966999999</v>
      </c>
      <c r="H431">
        <v>1341.0568848</v>
      </c>
      <c r="I431">
        <v>1314.8393555</v>
      </c>
      <c r="J431">
        <v>1306.5706786999999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142.64678000000001</v>
      </c>
      <c r="B432" s="1">
        <f>DATE(2010,9,20) + TIME(15,31,21)</f>
        <v>40441.646770833337</v>
      </c>
      <c r="C432">
        <v>80</v>
      </c>
      <c r="D432">
        <v>79.939758300999998</v>
      </c>
      <c r="E432">
        <v>50</v>
      </c>
      <c r="F432">
        <v>17.346012115000001</v>
      </c>
      <c r="G432">
        <v>1344.7557373</v>
      </c>
      <c r="H432">
        <v>1341.0516356999999</v>
      </c>
      <c r="I432">
        <v>1314.8491211</v>
      </c>
      <c r="J432">
        <v>1306.5852050999999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143.14213899999999</v>
      </c>
      <c r="B433" s="1">
        <f>DATE(2010,9,21) + TIME(3,24,40)</f>
        <v>40442.142129629632</v>
      </c>
      <c r="C433">
        <v>80</v>
      </c>
      <c r="D433">
        <v>79.939796447999996</v>
      </c>
      <c r="E433">
        <v>50</v>
      </c>
      <c r="F433">
        <v>17.461587905999998</v>
      </c>
      <c r="G433">
        <v>1344.7498779</v>
      </c>
      <c r="H433">
        <v>1341.0462646000001</v>
      </c>
      <c r="I433">
        <v>1314.8586425999999</v>
      </c>
      <c r="J433">
        <v>1306.6000977000001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143.637497</v>
      </c>
      <c r="B434" s="1">
        <f>DATE(2010,9,21) + TIME(15,17,59)</f>
        <v>40442.637488425928</v>
      </c>
      <c r="C434">
        <v>80</v>
      </c>
      <c r="D434">
        <v>79.939834594999994</v>
      </c>
      <c r="E434">
        <v>50</v>
      </c>
      <c r="F434">
        <v>17.580965041999999</v>
      </c>
      <c r="G434">
        <v>1344.7438964999999</v>
      </c>
      <c r="H434">
        <v>1341.0410156</v>
      </c>
      <c r="I434">
        <v>1314.8682861</v>
      </c>
      <c r="J434">
        <v>1306.6152344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144.132856</v>
      </c>
      <c r="B435" s="1">
        <f>DATE(2010,9,22) + TIME(3,11,18)</f>
        <v>40443.132847222223</v>
      </c>
      <c r="C435">
        <v>80</v>
      </c>
      <c r="D435">
        <v>79.939872742000006</v>
      </c>
      <c r="E435">
        <v>50</v>
      </c>
      <c r="F435">
        <v>17.704128265000001</v>
      </c>
      <c r="G435">
        <v>1344.7380370999999</v>
      </c>
      <c r="H435">
        <v>1341.0356445</v>
      </c>
      <c r="I435">
        <v>1314.8778076000001</v>
      </c>
      <c r="J435">
        <v>1306.6308594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145.12357299999999</v>
      </c>
      <c r="B436" s="1">
        <f>DATE(2010,9,23) + TIME(2,57,56)</f>
        <v>40444.123564814814</v>
      </c>
      <c r="C436">
        <v>80</v>
      </c>
      <c r="D436">
        <v>79.939956664999997</v>
      </c>
      <c r="E436">
        <v>50</v>
      </c>
      <c r="F436">
        <v>17.885364532000001</v>
      </c>
      <c r="G436">
        <v>1344.7310791</v>
      </c>
      <c r="H436">
        <v>1341.0294189000001</v>
      </c>
      <c r="I436">
        <v>1314.8822021000001</v>
      </c>
      <c r="J436">
        <v>1306.6492920000001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146.11667600000001</v>
      </c>
      <c r="B437" s="1">
        <f>DATE(2010,9,24) + TIME(2,48,0)</f>
        <v>40445.116666666669</v>
      </c>
      <c r="C437">
        <v>80</v>
      </c>
      <c r="D437">
        <v>79.940032959000007</v>
      </c>
      <c r="E437">
        <v>50</v>
      </c>
      <c r="F437">
        <v>18.119285583</v>
      </c>
      <c r="G437">
        <v>1344.7202147999999</v>
      </c>
      <c r="H437">
        <v>1341.0195312000001</v>
      </c>
      <c r="I437">
        <v>1314.9030762</v>
      </c>
      <c r="J437">
        <v>1306.6798096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147.12831700000001</v>
      </c>
      <c r="B438" s="1">
        <f>DATE(2010,9,25) + TIME(3,4,46)</f>
        <v>40446.128310185188</v>
      </c>
      <c r="C438">
        <v>80</v>
      </c>
      <c r="D438">
        <v>79.940109253000003</v>
      </c>
      <c r="E438">
        <v>50</v>
      </c>
      <c r="F438">
        <v>18.386507034000001</v>
      </c>
      <c r="G438">
        <v>1344.7086182</v>
      </c>
      <c r="H438">
        <v>1341.0091553</v>
      </c>
      <c r="I438">
        <v>1314.9226074000001</v>
      </c>
      <c r="J438">
        <v>1306.7132568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147.63517400000001</v>
      </c>
      <c r="B439" s="1">
        <f>DATE(2010,9,25) + TIME(15,14,39)</f>
        <v>40446.63517361111</v>
      </c>
      <c r="C439">
        <v>80</v>
      </c>
      <c r="D439">
        <v>79.940139771000005</v>
      </c>
      <c r="E439">
        <v>50</v>
      </c>
      <c r="F439">
        <v>18.591856003</v>
      </c>
      <c r="G439">
        <v>1344.6986084</v>
      </c>
      <c r="H439">
        <v>1341.0001221</v>
      </c>
      <c r="I439">
        <v>1314.949707</v>
      </c>
      <c r="J439">
        <v>1306.7449951000001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148.59768299999999</v>
      </c>
      <c r="B440" s="1">
        <f>DATE(2010,9,26) + TIME(14,20,39)</f>
        <v>40447.597673611112</v>
      </c>
      <c r="C440">
        <v>80</v>
      </c>
      <c r="D440">
        <v>79.940223693999997</v>
      </c>
      <c r="E440">
        <v>50</v>
      </c>
      <c r="F440">
        <v>18.851419449000002</v>
      </c>
      <c r="G440">
        <v>1344.6903076000001</v>
      </c>
      <c r="H440">
        <v>1340.9925536999999</v>
      </c>
      <c r="I440">
        <v>1314.9503173999999</v>
      </c>
      <c r="J440">
        <v>1306.7695312000001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149.60186200000001</v>
      </c>
      <c r="B441" s="1">
        <f>DATE(2010,9,27) + TIME(14,26,40)</f>
        <v>40448.601851851854</v>
      </c>
      <c r="C441">
        <v>80</v>
      </c>
      <c r="D441">
        <v>79.940299988000007</v>
      </c>
      <c r="E441">
        <v>50</v>
      </c>
      <c r="F441">
        <v>19.146305084000002</v>
      </c>
      <c r="G441">
        <v>1344.6794434000001</v>
      </c>
      <c r="H441">
        <v>1340.9826660000001</v>
      </c>
      <c r="I441">
        <v>1314.9682617000001</v>
      </c>
      <c r="J441">
        <v>1306.8050536999999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150.60645600000001</v>
      </c>
      <c r="B442" s="1">
        <f>DATE(2010,9,28) + TIME(14,33,17)</f>
        <v>40449.606446759259</v>
      </c>
      <c r="C442">
        <v>80</v>
      </c>
      <c r="D442">
        <v>79.940376282000003</v>
      </c>
      <c r="E442">
        <v>50</v>
      </c>
      <c r="F442">
        <v>19.465972900000001</v>
      </c>
      <c r="G442">
        <v>1344.6678466999999</v>
      </c>
      <c r="H442">
        <v>1340.972168</v>
      </c>
      <c r="I442">
        <v>1314.9873047000001</v>
      </c>
      <c r="J442">
        <v>1306.8439940999999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151.61238399999999</v>
      </c>
      <c r="B443" s="1">
        <f>DATE(2010,9,29) + TIME(14,41,49)</f>
        <v>40450.612372685187</v>
      </c>
      <c r="C443">
        <v>80</v>
      </c>
      <c r="D443">
        <v>79.940452575999998</v>
      </c>
      <c r="E443">
        <v>50</v>
      </c>
      <c r="F443">
        <v>19.802772522000001</v>
      </c>
      <c r="G443">
        <v>1344.65625</v>
      </c>
      <c r="H443">
        <v>1340.9615478999999</v>
      </c>
      <c r="I443">
        <v>1315.0057373</v>
      </c>
      <c r="J443">
        <v>1306.8846435999999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152.62117900000001</v>
      </c>
      <c r="B444" s="1">
        <f>DATE(2010,9,30) + TIME(14,54,29)</f>
        <v>40451.621168981481</v>
      </c>
      <c r="C444">
        <v>80</v>
      </c>
      <c r="D444">
        <v>79.940528869999994</v>
      </c>
      <c r="E444">
        <v>50</v>
      </c>
      <c r="F444">
        <v>20.153266906999999</v>
      </c>
      <c r="G444">
        <v>1344.6446533000001</v>
      </c>
      <c r="H444">
        <v>1340.9510498</v>
      </c>
      <c r="I444">
        <v>1315.0240478999999</v>
      </c>
      <c r="J444">
        <v>1306.9270019999999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153</v>
      </c>
      <c r="B445" s="1">
        <f>DATE(2010,10,1) + TIME(0,0,0)</f>
        <v>40452</v>
      </c>
      <c r="C445">
        <v>80</v>
      </c>
      <c r="D445">
        <v>79.940544127999999</v>
      </c>
      <c r="E445">
        <v>50</v>
      </c>
      <c r="F445">
        <v>20.368072510000001</v>
      </c>
      <c r="G445">
        <v>1344.6356201000001</v>
      </c>
      <c r="H445">
        <v>1340.9428711</v>
      </c>
      <c r="I445">
        <v>1315.0545654</v>
      </c>
      <c r="J445">
        <v>1306.9631348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154.01378399999999</v>
      </c>
      <c r="B446" s="1">
        <f>DATE(2010,10,2) + TIME(0,19,50)</f>
        <v>40453.013773148145</v>
      </c>
      <c r="C446">
        <v>80</v>
      </c>
      <c r="D446">
        <v>79.940635681000003</v>
      </c>
      <c r="E446">
        <v>50</v>
      </c>
      <c r="F446">
        <v>20.687023162999999</v>
      </c>
      <c r="G446">
        <v>1344.6278076000001</v>
      </c>
      <c r="H446">
        <v>1340.9356689000001</v>
      </c>
      <c r="I446">
        <v>1315.0469971</v>
      </c>
      <c r="J446">
        <v>1306.9902344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154.52288899999999</v>
      </c>
      <c r="B447" s="1">
        <f>DATE(2010,10,2) + TIME(12,32,57)</f>
        <v>40453.522881944446</v>
      </c>
      <c r="C447">
        <v>80</v>
      </c>
      <c r="D447">
        <v>79.940666199000006</v>
      </c>
      <c r="E447">
        <v>50</v>
      </c>
      <c r="F447">
        <v>20.940210342</v>
      </c>
      <c r="G447">
        <v>1344.6184082</v>
      </c>
      <c r="H447">
        <v>1340.927124</v>
      </c>
      <c r="I447">
        <v>1315.0751952999999</v>
      </c>
      <c r="J447">
        <v>1307.0291748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155.489408</v>
      </c>
      <c r="B448" s="1">
        <f>DATE(2010,10,3) + TIME(11,44,44)</f>
        <v>40454.489398148151</v>
      </c>
      <c r="C448">
        <v>80</v>
      </c>
      <c r="D448">
        <v>79.940750121999997</v>
      </c>
      <c r="E448">
        <v>50</v>
      </c>
      <c r="F448">
        <v>21.254230498999998</v>
      </c>
      <c r="G448">
        <v>1344.6104736</v>
      </c>
      <c r="H448">
        <v>1340.9197998</v>
      </c>
      <c r="I448">
        <v>1315.0745850000001</v>
      </c>
      <c r="J448">
        <v>1307.0598144999999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156.49518399999999</v>
      </c>
      <c r="B449" s="1">
        <f>DATE(2010,10,4) + TIME(11,53,3)</f>
        <v>40455.495173611111</v>
      </c>
      <c r="C449">
        <v>80</v>
      </c>
      <c r="D449">
        <v>79.940826415999993</v>
      </c>
      <c r="E449">
        <v>50</v>
      </c>
      <c r="F449">
        <v>21.606626511000002</v>
      </c>
      <c r="G449">
        <v>1344.5998535000001</v>
      </c>
      <c r="H449">
        <v>1340.9100341999999</v>
      </c>
      <c r="I449">
        <v>1315.0930175999999</v>
      </c>
      <c r="J449">
        <v>1307.1037598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157.50706500000001</v>
      </c>
      <c r="B450" s="1">
        <f>DATE(2010,10,5) + TIME(12,10,10)</f>
        <v>40456.507060185184</v>
      </c>
      <c r="C450">
        <v>80</v>
      </c>
      <c r="D450">
        <v>79.940902710000003</v>
      </c>
      <c r="E450">
        <v>50</v>
      </c>
      <c r="F450">
        <v>21.981084824</v>
      </c>
      <c r="G450">
        <v>1344.5886230000001</v>
      </c>
      <c r="H450">
        <v>1340.8997803</v>
      </c>
      <c r="I450">
        <v>1315.1124268000001</v>
      </c>
      <c r="J450">
        <v>1307.1512451000001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158.52780799999999</v>
      </c>
      <c r="B451" s="1">
        <f>DATE(2010,10,6) + TIME(12,40,2)</f>
        <v>40457.527800925927</v>
      </c>
      <c r="C451">
        <v>80</v>
      </c>
      <c r="D451">
        <v>79.940979003999999</v>
      </c>
      <c r="E451">
        <v>50</v>
      </c>
      <c r="F451">
        <v>22.367782593000001</v>
      </c>
      <c r="G451">
        <v>1344.5771483999999</v>
      </c>
      <c r="H451">
        <v>1340.8892822</v>
      </c>
      <c r="I451">
        <v>1315.1318358999999</v>
      </c>
      <c r="J451">
        <v>1307.2006836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159.56050500000001</v>
      </c>
      <c r="B452" s="1">
        <f>DATE(2010,10,7) + TIME(13,27,7)</f>
        <v>40458.560497685183</v>
      </c>
      <c r="C452">
        <v>80</v>
      </c>
      <c r="D452">
        <v>79.941062927000004</v>
      </c>
      <c r="E452">
        <v>50</v>
      </c>
      <c r="F452">
        <v>22.762828827</v>
      </c>
      <c r="G452">
        <v>1344.5656738</v>
      </c>
      <c r="H452">
        <v>1340.8787841999999</v>
      </c>
      <c r="I452">
        <v>1315.1516113</v>
      </c>
      <c r="J452">
        <v>1307.2517089999999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160.608283</v>
      </c>
      <c r="B453" s="1">
        <f>DATE(2010,10,8) + TIME(14,35,55)</f>
        <v>40459.608275462961</v>
      </c>
      <c r="C453">
        <v>80</v>
      </c>
      <c r="D453">
        <v>79.941139221</v>
      </c>
      <c r="E453">
        <v>50</v>
      </c>
      <c r="F453">
        <v>23.164880752999998</v>
      </c>
      <c r="G453">
        <v>1344.5541992000001</v>
      </c>
      <c r="H453">
        <v>1340.8681641000001</v>
      </c>
      <c r="I453">
        <v>1315.171875</v>
      </c>
      <c r="J453">
        <v>1307.3043213000001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161.67526100000001</v>
      </c>
      <c r="B454" s="1">
        <f>DATE(2010,10,9) + TIME(16,12,22)</f>
        <v>40460.675254629627</v>
      </c>
      <c r="C454">
        <v>80</v>
      </c>
      <c r="D454">
        <v>79.941223144999995</v>
      </c>
      <c r="E454">
        <v>50</v>
      </c>
      <c r="F454">
        <v>23.573825836000001</v>
      </c>
      <c r="G454">
        <v>1344.5424805</v>
      </c>
      <c r="H454">
        <v>1340.8575439000001</v>
      </c>
      <c r="I454">
        <v>1315.1929932</v>
      </c>
      <c r="J454">
        <v>1307.3587646000001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162.75030100000001</v>
      </c>
      <c r="B455" s="1">
        <f>DATE(2010,10,10) + TIME(18,0,26)</f>
        <v>40461.750300925924</v>
      </c>
      <c r="C455">
        <v>80</v>
      </c>
      <c r="D455">
        <v>79.941299438000001</v>
      </c>
      <c r="E455">
        <v>50</v>
      </c>
      <c r="F455">
        <v>23.987905502</v>
      </c>
      <c r="G455">
        <v>1344.5307617000001</v>
      </c>
      <c r="H455">
        <v>1340.8466797000001</v>
      </c>
      <c r="I455">
        <v>1315.2150879000001</v>
      </c>
      <c r="J455">
        <v>1307.4150391000001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163.83779799999999</v>
      </c>
      <c r="B456" s="1">
        <f>DATE(2010,10,11) + TIME(20,6,25)</f>
        <v>40462.837789351855</v>
      </c>
      <c r="C456">
        <v>80</v>
      </c>
      <c r="D456">
        <v>79.941383361999996</v>
      </c>
      <c r="E456">
        <v>50</v>
      </c>
      <c r="F456">
        <v>24.405660629</v>
      </c>
      <c r="G456">
        <v>1344.5189209</v>
      </c>
      <c r="H456">
        <v>1340.8358154</v>
      </c>
      <c r="I456">
        <v>1315.237793</v>
      </c>
      <c r="J456">
        <v>1307.4726562000001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164.944502</v>
      </c>
      <c r="B457" s="1">
        <f>DATE(2010,10,12) + TIME(22,40,4)</f>
        <v>40463.944490740738</v>
      </c>
      <c r="C457">
        <v>80</v>
      </c>
      <c r="D457">
        <v>79.941467285000002</v>
      </c>
      <c r="E457">
        <v>50</v>
      </c>
      <c r="F457">
        <v>24.827508926</v>
      </c>
      <c r="G457">
        <v>1344.5070800999999</v>
      </c>
      <c r="H457">
        <v>1340.8249512</v>
      </c>
      <c r="I457">
        <v>1315.2613524999999</v>
      </c>
      <c r="J457">
        <v>1307.5319824000001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166.07445899999999</v>
      </c>
      <c r="B458" s="1">
        <f>DATE(2010,10,14) + TIME(1,47,13)</f>
        <v>40465.074456018519</v>
      </c>
      <c r="C458">
        <v>80</v>
      </c>
      <c r="D458">
        <v>79.941551208000007</v>
      </c>
      <c r="E458">
        <v>50</v>
      </c>
      <c r="F458">
        <v>25.254671096999999</v>
      </c>
      <c r="G458">
        <v>1344.4951172000001</v>
      </c>
      <c r="H458">
        <v>1340.8139647999999</v>
      </c>
      <c r="I458">
        <v>1315.2858887</v>
      </c>
      <c r="J458">
        <v>1307.5931396000001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167.223827</v>
      </c>
      <c r="B459" s="1">
        <f>DATE(2010,10,15) + TIME(5,22,18)</f>
        <v>40466.223819444444</v>
      </c>
      <c r="C459">
        <v>80</v>
      </c>
      <c r="D459">
        <v>79.941642760999997</v>
      </c>
      <c r="E459">
        <v>50</v>
      </c>
      <c r="F459">
        <v>25.686891555999999</v>
      </c>
      <c r="G459">
        <v>1344.4829102000001</v>
      </c>
      <c r="H459">
        <v>1340.8027344</v>
      </c>
      <c r="I459">
        <v>1315.3116454999999</v>
      </c>
      <c r="J459">
        <v>1307.65625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168.382757</v>
      </c>
      <c r="B460" s="1">
        <f>DATE(2010,10,16) + TIME(9,11,10)</f>
        <v>40467.382754629631</v>
      </c>
      <c r="C460">
        <v>80</v>
      </c>
      <c r="D460">
        <v>79.941726685000006</v>
      </c>
      <c r="E460">
        <v>50</v>
      </c>
      <c r="F460">
        <v>26.121698380000002</v>
      </c>
      <c r="G460">
        <v>1344.4707031</v>
      </c>
      <c r="H460">
        <v>1340.7915039</v>
      </c>
      <c r="I460">
        <v>1315.3386230000001</v>
      </c>
      <c r="J460">
        <v>1307.7210693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169.55487500000001</v>
      </c>
      <c r="B461" s="1">
        <f>DATE(2010,10,17) + TIME(13,19,1)</f>
        <v>40468.554872685185</v>
      </c>
      <c r="C461">
        <v>80</v>
      </c>
      <c r="D461">
        <v>79.941818237000007</v>
      </c>
      <c r="E461">
        <v>50</v>
      </c>
      <c r="F461">
        <v>26.557210921999999</v>
      </c>
      <c r="G461">
        <v>1344.458374</v>
      </c>
      <c r="H461">
        <v>1340.7802733999999</v>
      </c>
      <c r="I461">
        <v>1315.3663329999999</v>
      </c>
      <c r="J461">
        <v>1307.7872314000001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170.73284699999999</v>
      </c>
      <c r="B462" s="1">
        <f>DATE(2010,10,18) + TIME(17,35,18)</f>
        <v>40469.732847222222</v>
      </c>
      <c r="C462">
        <v>80</v>
      </c>
      <c r="D462">
        <v>79.941902161000002</v>
      </c>
      <c r="E462">
        <v>50</v>
      </c>
      <c r="F462">
        <v>26.991798401</v>
      </c>
      <c r="G462">
        <v>1344.4460449000001</v>
      </c>
      <c r="H462">
        <v>1340.769043</v>
      </c>
      <c r="I462">
        <v>1315.3952637</v>
      </c>
      <c r="J462">
        <v>1307.8547363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171.91583</v>
      </c>
      <c r="B463" s="1">
        <f>DATE(2010,10,19) + TIME(21,58,47)</f>
        <v>40470.915821759256</v>
      </c>
      <c r="C463">
        <v>80</v>
      </c>
      <c r="D463">
        <v>79.941993713000002</v>
      </c>
      <c r="E463">
        <v>50</v>
      </c>
      <c r="F463">
        <v>27.423671722000002</v>
      </c>
      <c r="G463">
        <v>1344.4338379000001</v>
      </c>
      <c r="H463">
        <v>1340.7578125</v>
      </c>
      <c r="I463">
        <v>1315.4249268000001</v>
      </c>
      <c r="J463">
        <v>1307.9230957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173.108093</v>
      </c>
      <c r="B464" s="1">
        <f>DATE(2010,10,21) + TIME(2,35,39)</f>
        <v>40472.108090277776</v>
      </c>
      <c r="C464">
        <v>80</v>
      </c>
      <c r="D464">
        <v>79.942077636999997</v>
      </c>
      <c r="E464">
        <v>50</v>
      </c>
      <c r="F464">
        <v>27.852300644</v>
      </c>
      <c r="G464">
        <v>1344.4216309000001</v>
      </c>
      <c r="H464">
        <v>1340.746582</v>
      </c>
      <c r="I464">
        <v>1315.4554443</v>
      </c>
      <c r="J464">
        <v>1307.9924315999999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174.314446</v>
      </c>
      <c r="B465" s="1">
        <f>DATE(2010,10,22) + TIME(7,32,48)</f>
        <v>40473.314444444448</v>
      </c>
      <c r="C465">
        <v>80</v>
      </c>
      <c r="D465">
        <v>79.942169188999998</v>
      </c>
      <c r="E465">
        <v>50</v>
      </c>
      <c r="F465">
        <v>28.278343200999998</v>
      </c>
      <c r="G465">
        <v>1344.4094238</v>
      </c>
      <c r="H465">
        <v>1340.7354736</v>
      </c>
      <c r="I465">
        <v>1315.4868164</v>
      </c>
      <c r="J465">
        <v>1308.0626221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175.54109399999999</v>
      </c>
      <c r="B466" s="1">
        <f>DATE(2010,10,23) + TIME(12,59,10)</f>
        <v>40474.541087962964</v>
      </c>
      <c r="C466">
        <v>80</v>
      </c>
      <c r="D466">
        <v>79.942253113000007</v>
      </c>
      <c r="E466">
        <v>50</v>
      </c>
      <c r="F466">
        <v>28.702938079999999</v>
      </c>
      <c r="G466">
        <v>1344.3972168</v>
      </c>
      <c r="H466">
        <v>1340.7242432</v>
      </c>
      <c r="I466">
        <v>1315.5191649999999</v>
      </c>
      <c r="J466">
        <v>1308.1340332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176.79104699999999</v>
      </c>
      <c r="B467" s="1">
        <f>DATE(2010,10,24) + TIME(18,59,6)</f>
        <v>40475.791041666664</v>
      </c>
      <c r="C467">
        <v>80</v>
      </c>
      <c r="D467">
        <v>79.942344665999997</v>
      </c>
      <c r="E467">
        <v>50</v>
      </c>
      <c r="F467">
        <v>29.127267838000002</v>
      </c>
      <c r="G467">
        <v>1344.3848877</v>
      </c>
      <c r="H467">
        <v>1340.7130127</v>
      </c>
      <c r="I467">
        <v>1315.5528564000001</v>
      </c>
      <c r="J467">
        <v>1308.2067870999999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178.067408</v>
      </c>
      <c r="B468" s="1">
        <f>DATE(2010,10,26) + TIME(1,37,4)</f>
        <v>40477.067407407405</v>
      </c>
      <c r="C468">
        <v>80</v>
      </c>
      <c r="D468">
        <v>79.942436217999997</v>
      </c>
      <c r="E468">
        <v>50</v>
      </c>
      <c r="F468">
        <v>29.552118301</v>
      </c>
      <c r="G468">
        <v>1344.3724365</v>
      </c>
      <c r="H468">
        <v>1340.7016602000001</v>
      </c>
      <c r="I468">
        <v>1315.5877685999999</v>
      </c>
      <c r="J468">
        <v>1308.28125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179.36516700000001</v>
      </c>
      <c r="B469" s="1">
        <f>DATE(2010,10,27) + TIME(8,45,50)</f>
        <v>40478.365162037036</v>
      </c>
      <c r="C469">
        <v>80</v>
      </c>
      <c r="D469">
        <v>79.942535399999997</v>
      </c>
      <c r="E469">
        <v>50</v>
      </c>
      <c r="F469">
        <v>29.977266312000001</v>
      </c>
      <c r="G469">
        <v>1344.3598632999999</v>
      </c>
      <c r="H469">
        <v>1340.6903076000001</v>
      </c>
      <c r="I469">
        <v>1315.6241454999999</v>
      </c>
      <c r="J469">
        <v>1308.3574219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180.683459</v>
      </c>
      <c r="B470" s="1">
        <f>DATE(2010,10,28) + TIME(16,24,10)</f>
        <v>40479.683449074073</v>
      </c>
      <c r="C470">
        <v>80</v>
      </c>
      <c r="D470">
        <v>79.942626953000001</v>
      </c>
      <c r="E470">
        <v>50</v>
      </c>
      <c r="F470">
        <v>30.401784896999999</v>
      </c>
      <c r="G470">
        <v>1344.347168</v>
      </c>
      <c r="H470">
        <v>1340.6788329999999</v>
      </c>
      <c r="I470">
        <v>1315.6616211</v>
      </c>
      <c r="J470">
        <v>1308.4350586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182.00857300000001</v>
      </c>
      <c r="B471" s="1">
        <f>DATE(2010,10,30) + TIME(0,12,20)</f>
        <v>40481.008564814816</v>
      </c>
      <c r="C471">
        <v>80</v>
      </c>
      <c r="D471">
        <v>79.942718506000006</v>
      </c>
      <c r="E471">
        <v>50</v>
      </c>
      <c r="F471">
        <v>30.823396682999999</v>
      </c>
      <c r="G471">
        <v>1344.3344727000001</v>
      </c>
      <c r="H471">
        <v>1340.6673584</v>
      </c>
      <c r="I471">
        <v>1315.7004394999999</v>
      </c>
      <c r="J471">
        <v>1308.5139160000001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183.34485000000001</v>
      </c>
      <c r="B472" s="1">
        <f>DATE(2010,10,31) + TIME(8,16,35)</f>
        <v>40482.344849537039</v>
      </c>
      <c r="C472">
        <v>80</v>
      </c>
      <c r="D472">
        <v>79.942817688000005</v>
      </c>
      <c r="E472">
        <v>50</v>
      </c>
      <c r="F472">
        <v>31.240173339999998</v>
      </c>
      <c r="G472">
        <v>1344.3218993999999</v>
      </c>
      <c r="H472">
        <v>1340.6558838000001</v>
      </c>
      <c r="I472">
        <v>1315.7399902</v>
      </c>
      <c r="J472">
        <v>1308.5932617000001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184</v>
      </c>
      <c r="B473" s="1">
        <f>DATE(2010,11,1) + TIME(0,0,0)</f>
        <v>40483</v>
      </c>
      <c r="C473">
        <v>80</v>
      </c>
      <c r="D473">
        <v>79.942848205999994</v>
      </c>
      <c r="E473">
        <v>50</v>
      </c>
      <c r="F473">
        <v>31.549751281999999</v>
      </c>
      <c r="G473">
        <v>1344.3111572</v>
      </c>
      <c r="H473">
        <v>1340.6463623</v>
      </c>
      <c r="I473">
        <v>1315.7850341999999</v>
      </c>
      <c r="J473">
        <v>1308.6650391000001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184.000001</v>
      </c>
      <c r="B474" s="1">
        <f>DATE(2010,11,1) + TIME(0,0,0)</f>
        <v>40483</v>
      </c>
      <c r="C474">
        <v>80</v>
      </c>
      <c r="D474">
        <v>79.942817688000005</v>
      </c>
      <c r="E474">
        <v>50</v>
      </c>
      <c r="F474">
        <v>31.549793243</v>
      </c>
      <c r="G474">
        <v>1340.6363524999999</v>
      </c>
      <c r="H474">
        <v>1339.2366943</v>
      </c>
      <c r="I474">
        <v>1322.8862305</v>
      </c>
      <c r="J474">
        <v>1315.7979736</v>
      </c>
      <c r="K474">
        <v>0</v>
      </c>
      <c r="L474">
        <v>2400</v>
      </c>
      <c r="M474">
        <v>2400</v>
      </c>
      <c r="N474">
        <v>0</v>
      </c>
    </row>
    <row r="475" spans="1:14" x14ac:dyDescent="0.25">
      <c r="A475">
        <v>184.00000399999999</v>
      </c>
      <c r="B475" s="1">
        <f>DATE(2010,11,1) + TIME(0,0,0)</f>
        <v>40483</v>
      </c>
      <c r="C475">
        <v>80</v>
      </c>
      <c r="D475">
        <v>79.942718506000006</v>
      </c>
      <c r="E475">
        <v>50</v>
      </c>
      <c r="F475">
        <v>31.549915314</v>
      </c>
      <c r="G475">
        <v>1340.6066894999999</v>
      </c>
      <c r="H475">
        <v>1339.2071533000001</v>
      </c>
      <c r="I475">
        <v>1322.9158935999999</v>
      </c>
      <c r="J475">
        <v>1315.8365478999999</v>
      </c>
      <c r="K475">
        <v>0</v>
      </c>
      <c r="L475">
        <v>2400</v>
      </c>
      <c r="M475">
        <v>2400</v>
      </c>
      <c r="N475">
        <v>0</v>
      </c>
    </row>
    <row r="476" spans="1:14" x14ac:dyDescent="0.25">
      <c r="A476">
        <v>184.000013</v>
      </c>
      <c r="B476" s="1">
        <f>DATE(2010,11,1) + TIME(0,0,1)</f>
        <v>40483.000011574077</v>
      </c>
      <c r="C476">
        <v>80</v>
      </c>
      <c r="D476">
        <v>79.942443847999996</v>
      </c>
      <c r="E476">
        <v>50</v>
      </c>
      <c r="F476">
        <v>31.550283432000001</v>
      </c>
      <c r="G476">
        <v>1340.5206298999999</v>
      </c>
      <c r="H476">
        <v>1339.1209716999999</v>
      </c>
      <c r="I476">
        <v>1323.0039062000001</v>
      </c>
      <c r="J476">
        <v>1315.9504394999999</v>
      </c>
      <c r="K476">
        <v>0</v>
      </c>
      <c r="L476">
        <v>2400</v>
      </c>
      <c r="M476">
        <v>2400</v>
      </c>
      <c r="N476">
        <v>0</v>
      </c>
    </row>
    <row r="477" spans="1:14" x14ac:dyDescent="0.25">
      <c r="A477">
        <v>184.00004000000001</v>
      </c>
      <c r="B477" s="1">
        <f>DATE(2010,11,1) + TIME(0,0,3)</f>
        <v>40483.000034722223</v>
      </c>
      <c r="C477">
        <v>80</v>
      </c>
      <c r="D477">
        <v>79.941680907999995</v>
      </c>
      <c r="E477">
        <v>50</v>
      </c>
      <c r="F477">
        <v>31.551362991000001</v>
      </c>
      <c r="G477">
        <v>1340.284668</v>
      </c>
      <c r="H477">
        <v>1338.8847656</v>
      </c>
      <c r="I477">
        <v>1323.2592772999999</v>
      </c>
      <c r="J477">
        <v>1316.2768555</v>
      </c>
      <c r="K477">
        <v>0</v>
      </c>
      <c r="L477">
        <v>2400</v>
      </c>
      <c r="M477">
        <v>2400</v>
      </c>
      <c r="N477">
        <v>0</v>
      </c>
    </row>
    <row r="478" spans="1:14" x14ac:dyDescent="0.25">
      <c r="A478">
        <v>184.00012100000001</v>
      </c>
      <c r="B478" s="1">
        <f>DATE(2010,11,1) + TIME(0,0,10)</f>
        <v>40483.000115740739</v>
      </c>
      <c r="C478">
        <v>80</v>
      </c>
      <c r="D478">
        <v>79.939865112000007</v>
      </c>
      <c r="E478">
        <v>50</v>
      </c>
      <c r="F478">
        <v>31.554449081000001</v>
      </c>
      <c r="G478">
        <v>1339.7225341999999</v>
      </c>
      <c r="H478">
        <v>1338.3225098</v>
      </c>
      <c r="I478">
        <v>1323.9554443</v>
      </c>
      <c r="J478">
        <v>1317.140625</v>
      </c>
      <c r="K478">
        <v>0</v>
      </c>
      <c r="L478">
        <v>2400</v>
      </c>
      <c r="M478">
        <v>2400</v>
      </c>
      <c r="N478">
        <v>0</v>
      </c>
    </row>
    <row r="479" spans="1:14" x14ac:dyDescent="0.25">
      <c r="A479">
        <v>184.00036399999999</v>
      </c>
      <c r="B479" s="1">
        <f>DATE(2010,11,1) + TIME(0,0,31)</f>
        <v>40483.000358796293</v>
      </c>
      <c r="C479">
        <v>80</v>
      </c>
      <c r="D479">
        <v>79.936538696</v>
      </c>
      <c r="E479">
        <v>50</v>
      </c>
      <c r="F479">
        <v>31.562923431000002</v>
      </c>
      <c r="G479">
        <v>1338.6951904</v>
      </c>
      <c r="H479">
        <v>1337.2946777</v>
      </c>
      <c r="I479">
        <v>1325.5955810999999</v>
      </c>
      <c r="J479">
        <v>1319.0546875</v>
      </c>
      <c r="K479">
        <v>0</v>
      </c>
      <c r="L479">
        <v>2400</v>
      </c>
      <c r="M479">
        <v>2400</v>
      </c>
      <c r="N479">
        <v>0</v>
      </c>
    </row>
    <row r="480" spans="1:14" x14ac:dyDescent="0.25">
      <c r="A480">
        <v>184.001093</v>
      </c>
      <c r="B480" s="1">
        <f>DATE(2010,11,1) + TIME(0,1,34)</f>
        <v>40483.001087962963</v>
      </c>
      <c r="C480">
        <v>80</v>
      </c>
      <c r="D480">
        <v>79.932067871000001</v>
      </c>
      <c r="E480">
        <v>50</v>
      </c>
      <c r="F480">
        <v>31.584909439</v>
      </c>
      <c r="G480">
        <v>1337.3371582</v>
      </c>
      <c r="H480">
        <v>1335.9364014</v>
      </c>
      <c r="I480">
        <v>1328.5406493999999</v>
      </c>
      <c r="J480">
        <v>1322.1835937999999</v>
      </c>
      <c r="K480">
        <v>0</v>
      </c>
      <c r="L480">
        <v>2400</v>
      </c>
      <c r="M480">
        <v>2400</v>
      </c>
      <c r="N480">
        <v>0</v>
      </c>
    </row>
    <row r="481" spans="1:14" x14ac:dyDescent="0.25">
      <c r="A481">
        <v>184.00327999999999</v>
      </c>
      <c r="B481" s="1">
        <f>DATE(2010,11,1) + TIME(0,4,43)</f>
        <v>40483.003275462965</v>
      </c>
      <c r="C481">
        <v>80</v>
      </c>
      <c r="D481">
        <v>79.927001953000001</v>
      </c>
      <c r="E481">
        <v>50</v>
      </c>
      <c r="F481">
        <v>31.646089554</v>
      </c>
      <c r="G481">
        <v>1335.890625</v>
      </c>
      <c r="H481">
        <v>1334.4888916</v>
      </c>
      <c r="I481">
        <v>1332.3831786999999</v>
      </c>
      <c r="J481">
        <v>1326.0402832</v>
      </c>
      <c r="K481">
        <v>0</v>
      </c>
      <c r="L481">
        <v>2400</v>
      </c>
      <c r="M481">
        <v>2400</v>
      </c>
      <c r="N481">
        <v>0</v>
      </c>
    </row>
    <row r="482" spans="1:14" x14ac:dyDescent="0.25">
      <c r="A482">
        <v>184.00984099999999</v>
      </c>
      <c r="B482" s="1">
        <f>DATE(2010,11,1) + TIME(0,14,10)</f>
        <v>40483.009837962964</v>
      </c>
      <c r="C482">
        <v>80</v>
      </c>
      <c r="D482">
        <v>79.920928954999994</v>
      </c>
      <c r="E482">
        <v>50</v>
      </c>
      <c r="F482">
        <v>31.821720122999999</v>
      </c>
      <c r="G482">
        <v>1334.4262695</v>
      </c>
      <c r="H482">
        <v>1333.0162353999999</v>
      </c>
      <c r="I482">
        <v>1336.4385986</v>
      </c>
      <c r="J482">
        <v>1330.1199951000001</v>
      </c>
      <c r="K482">
        <v>0</v>
      </c>
      <c r="L482">
        <v>2400</v>
      </c>
      <c r="M482">
        <v>2400</v>
      </c>
      <c r="N482">
        <v>0</v>
      </c>
    </row>
    <row r="483" spans="1:14" x14ac:dyDescent="0.25">
      <c r="A483">
        <v>184.02952400000001</v>
      </c>
      <c r="B483" s="1">
        <f>DATE(2010,11,1) + TIME(0,42,30)</f>
        <v>40483.029513888891</v>
      </c>
      <c r="C483">
        <v>80</v>
      </c>
      <c r="D483">
        <v>79.911804199000002</v>
      </c>
      <c r="E483">
        <v>50</v>
      </c>
      <c r="F483">
        <v>32.324043273999997</v>
      </c>
      <c r="G483">
        <v>1332.8977050999999</v>
      </c>
      <c r="H483">
        <v>1331.4458007999999</v>
      </c>
      <c r="I483">
        <v>1340.3994141000001</v>
      </c>
      <c r="J483">
        <v>1334.1871338000001</v>
      </c>
      <c r="K483">
        <v>0</v>
      </c>
      <c r="L483">
        <v>2400</v>
      </c>
      <c r="M483">
        <v>2400</v>
      </c>
      <c r="N483">
        <v>0</v>
      </c>
    </row>
    <row r="484" spans="1:14" x14ac:dyDescent="0.25">
      <c r="A484">
        <v>184.057402</v>
      </c>
      <c r="B484" s="1">
        <f>DATE(2010,11,1) + TIME(1,22,39)</f>
        <v>40483.057395833333</v>
      </c>
      <c r="C484">
        <v>80</v>
      </c>
      <c r="D484">
        <v>79.902259826999995</v>
      </c>
      <c r="E484">
        <v>50</v>
      </c>
      <c r="F484">
        <v>33.002704620000003</v>
      </c>
      <c r="G484">
        <v>1331.8271483999999</v>
      </c>
      <c r="H484">
        <v>1330.3151855000001</v>
      </c>
      <c r="I484">
        <v>1342.8535156</v>
      </c>
      <c r="J484">
        <v>1336.7518310999999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184.08607000000001</v>
      </c>
      <c r="B485" s="1">
        <f>DATE(2010,11,1) + TIME(2,3,56)</f>
        <v>40483.086064814815</v>
      </c>
      <c r="C485">
        <v>80</v>
      </c>
      <c r="D485">
        <v>79.893592834000003</v>
      </c>
      <c r="E485">
        <v>50</v>
      </c>
      <c r="F485">
        <v>33.671627045000001</v>
      </c>
      <c r="G485">
        <v>1331.1186522999999</v>
      </c>
      <c r="H485">
        <v>1329.5539550999999</v>
      </c>
      <c r="I485">
        <v>1344.2834473</v>
      </c>
      <c r="J485">
        <v>1338.2705077999999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184.115568</v>
      </c>
      <c r="B486" s="1">
        <f>DATE(2010,11,1) + TIME(2,46,25)</f>
        <v>40483.115567129629</v>
      </c>
      <c r="C486">
        <v>80</v>
      </c>
      <c r="D486">
        <v>79.885238646999994</v>
      </c>
      <c r="E486">
        <v>50</v>
      </c>
      <c r="F486">
        <v>34.331806182999998</v>
      </c>
      <c r="G486">
        <v>1330.5893555</v>
      </c>
      <c r="H486">
        <v>1328.9810791</v>
      </c>
      <c r="I486">
        <v>1345.2260742000001</v>
      </c>
      <c r="J486">
        <v>1339.2924805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184.14594700000001</v>
      </c>
      <c r="B487" s="1">
        <f>DATE(2010,11,1) + TIME(3,30,9)</f>
        <v>40483.145937499998</v>
      </c>
      <c r="C487">
        <v>80</v>
      </c>
      <c r="D487">
        <v>79.876991271999998</v>
      </c>
      <c r="E487">
        <v>50</v>
      </c>
      <c r="F487">
        <v>34.983753204000003</v>
      </c>
      <c r="G487">
        <v>1330.1680908000001</v>
      </c>
      <c r="H487">
        <v>1328.5250243999999</v>
      </c>
      <c r="I487">
        <v>1345.8925781</v>
      </c>
      <c r="J487">
        <v>1340.0323486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184.177244</v>
      </c>
      <c r="B488" s="1">
        <f>DATE(2010,11,1) + TIME(4,15,13)</f>
        <v>40483.177233796298</v>
      </c>
      <c r="C488">
        <v>80</v>
      </c>
      <c r="D488">
        <v>79.868751525999997</v>
      </c>
      <c r="E488">
        <v>50</v>
      </c>
      <c r="F488">
        <v>35.627227783000002</v>
      </c>
      <c r="G488">
        <v>1329.8203125</v>
      </c>
      <c r="H488">
        <v>1328.1499022999999</v>
      </c>
      <c r="I488">
        <v>1346.3839111</v>
      </c>
      <c r="J488">
        <v>1340.5928954999999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184.209497</v>
      </c>
      <c r="B489" s="1">
        <f>DATE(2010,11,1) + TIME(5,1,40)</f>
        <v>40483.209490740737</v>
      </c>
      <c r="C489">
        <v>80</v>
      </c>
      <c r="D489">
        <v>79.860458374000004</v>
      </c>
      <c r="E489">
        <v>50</v>
      </c>
      <c r="F489">
        <v>36.261802672999998</v>
      </c>
      <c r="G489">
        <v>1329.5263672000001</v>
      </c>
      <c r="H489">
        <v>1327.8343506000001</v>
      </c>
      <c r="I489">
        <v>1346.7561035000001</v>
      </c>
      <c r="J489">
        <v>1341.0308838000001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184.242797</v>
      </c>
      <c r="B490" s="1">
        <f>DATE(2010,11,1) + TIME(5,49,37)</f>
        <v>40483.242789351854</v>
      </c>
      <c r="C490">
        <v>80</v>
      </c>
      <c r="D490">
        <v>79.852066039999997</v>
      </c>
      <c r="E490">
        <v>50</v>
      </c>
      <c r="F490">
        <v>36.887889862000002</v>
      </c>
      <c r="G490">
        <v>1329.2733154</v>
      </c>
      <c r="H490">
        <v>1327.5644531</v>
      </c>
      <c r="I490">
        <v>1347.0433350000001</v>
      </c>
      <c r="J490">
        <v>1341.3812256000001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184.277219</v>
      </c>
      <c r="B491" s="1">
        <f>DATE(2010,11,1) + TIME(6,39,11)</f>
        <v>40483.27721064815</v>
      </c>
      <c r="C491">
        <v>80</v>
      </c>
      <c r="D491">
        <v>79.843544006000002</v>
      </c>
      <c r="E491">
        <v>50</v>
      </c>
      <c r="F491">
        <v>37.505413054999998</v>
      </c>
      <c r="G491">
        <v>1329.0526123</v>
      </c>
      <c r="H491">
        <v>1327.3305664</v>
      </c>
      <c r="I491">
        <v>1347.2677002</v>
      </c>
      <c r="J491">
        <v>1341.6663818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184.312848</v>
      </c>
      <c r="B492" s="1">
        <f>DATE(2010,11,1) + TIME(7,30,30)</f>
        <v>40483.312847222223</v>
      </c>
      <c r="C492">
        <v>80</v>
      </c>
      <c r="D492">
        <v>79.834869385000005</v>
      </c>
      <c r="E492">
        <v>50</v>
      </c>
      <c r="F492">
        <v>38.114261626999998</v>
      </c>
      <c r="G492">
        <v>1328.8582764</v>
      </c>
      <c r="H492">
        <v>1327.1257324000001</v>
      </c>
      <c r="I492">
        <v>1347.4444579999999</v>
      </c>
      <c r="J492">
        <v>1341.9014893000001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184.34977699999999</v>
      </c>
      <c r="B493" s="1">
        <f>DATE(2010,11,1) + TIME(8,23,40)</f>
        <v>40483.349768518521</v>
      </c>
      <c r="C493">
        <v>80</v>
      </c>
      <c r="D493">
        <v>79.826004028</v>
      </c>
      <c r="E493">
        <v>50</v>
      </c>
      <c r="F493">
        <v>38.714271545000003</v>
      </c>
      <c r="G493">
        <v>1328.6857910000001</v>
      </c>
      <c r="H493">
        <v>1326.9448242000001</v>
      </c>
      <c r="I493">
        <v>1347.5841064000001</v>
      </c>
      <c r="J493">
        <v>1342.0972899999999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184.38808499999999</v>
      </c>
      <c r="B494" s="1">
        <f>DATE(2010,11,1) + TIME(9,18,50)</f>
        <v>40483.388078703705</v>
      </c>
      <c r="C494">
        <v>80</v>
      </c>
      <c r="D494">
        <v>79.816932678000001</v>
      </c>
      <c r="E494">
        <v>50</v>
      </c>
      <c r="F494">
        <v>39.304912567000002</v>
      </c>
      <c r="G494">
        <v>1328.5318603999999</v>
      </c>
      <c r="H494">
        <v>1326.7840576000001</v>
      </c>
      <c r="I494">
        <v>1347.6945800999999</v>
      </c>
      <c r="J494">
        <v>1342.2615966999999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184.42791199999999</v>
      </c>
      <c r="B495" s="1">
        <f>DATE(2010,11,1) + TIME(10,16,11)</f>
        <v>40483.427905092591</v>
      </c>
      <c r="C495">
        <v>80</v>
      </c>
      <c r="D495">
        <v>79.807624817000004</v>
      </c>
      <c r="E495">
        <v>50</v>
      </c>
      <c r="F495">
        <v>39.886360168000003</v>
      </c>
      <c r="G495">
        <v>1328.3937988</v>
      </c>
      <c r="H495">
        <v>1326.6403809000001</v>
      </c>
      <c r="I495">
        <v>1347.7813721</v>
      </c>
      <c r="J495">
        <v>1342.4002685999999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184.46938900000001</v>
      </c>
      <c r="B496" s="1">
        <f>DATE(2010,11,1) + TIME(11,15,55)</f>
        <v>40483.469386574077</v>
      </c>
      <c r="C496">
        <v>80</v>
      </c>
      <c r="D496">
        <v>79.798057556000003</v>
      </c>
      <c r="E496">
        <v>50</v>
      </c>
      <c r="F496">
        <v>40.458492278999998</v>
      </c>
      <c r="G496">
        <v>1328.2694091999999</v>
      </c>
      <c r="H496">
        <v>1326.5113524999999</v>
      </c>
      <c r="I496">
        <v>1347.848999</v>
      </c>
      <c r="J496">
        <v>1342.5177002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184.512664</v>
      </c>
      <c r="B497" s="1">
        <f>DATE(2010,11,1) + TIME(12,18,14)</f>
        <v>40483.512662037036</v>
      </c>
      <c r="C497">
        <v>80</v>
      </c>
      <c r="D497">
        <v>79.788192749000004</v>
      </c>
      <c r="E497">
        <v>50</v>
      </c>
      <c r="F497">
        <v>41.021003723</v>
      </c>
      <c r="G497">
        <v>1328.1573486</v>
      </c>
      <c r="H497">
        <v>1326.3952637</v>
      </c>
      <c r="I497">
        <v>1347.9006348</v>
      </c>
      <c r="J497">
        <v>1342.6173096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184.557907</v>
      </c>
      <c r="B498" s="1">
        <f>DATE(2010,11,1) + TIME(13,23,23)</f>
        <v>40483.557905092595</v>
      </c>
      <c r="C498">
        <v>80</v>
      </c>
      <c r="D498">
        <v>79.778007506999998</v>
      </c>
      <c r="E498">
        <v>50</v>
      </c>
      <c r="F498">
        <v>41.57359314</v>
      </c>
      <c r="G498">
        <v>1328.0560303</v>
      </c>
      <c r="H498">
        <v>1326.2905272999999</v>
      </c>
      <c r="I498">
        <v>1347.9389647999999</v>
      </c>
      <c r="J498">
        <v>1342.7016602000001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184.605301</v>
      </c>
      <c r="B499" s="1">
        <f>DATE(2010,11,1) + TIME(14,31,37)</f>
        <v>40483.60528935185</v>
      </c>
      <c r="C499">
        <v>80</v>
      </c>
      <c r="D499">
        <v>79.767463684000006</v>
      </c>
      <c r="E499">
        <v>50</v>
      </c>
      <c r="F499">
        <v>42.115856170999997</v>
      </c>
      <c r="G499">
        <v>1327.9644774999999</v>
      </c>
      <c r="H499">
        <v>1326.1959228999999</v>
      </c>
      <c r="I499">
        <v>1347.9659423999999</v>
      </c>
      <c r="J499">
        <v>1342.7728271000001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184.65507400000001</v>
      </c>
      <c r="B500" s="1">
        <f>DATE(2010,11,1) + TIME(15,43,18)</f>
        <v>40483.655069444445</v>
      </c>
      <c r="C500">
        <v>80</v>
      </c>
      <c r="D500">
        <v>79.756523131999998</v>
      </c>
      <c r="E500">
        <v>50</v>
      </c>
      <c r="F500">
        <v>42.647533416999998</v>
      </c>
      <c r="G500">
        <v>1327.8817139</v>
      </c>
      <c r="H500">
        <v>1326.1105957</v>
      </c>
      <c r="I500">
        <v>1347.9830322</v>
      </c>
      <c r="J500">
        <v>1342.8323975000001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184.70748399999999</v>
      </c>
      <c r="B501" s="1">
        <f>DATE(2010,11,1) + TIME(16,58,46)</f>
        <v>40483.707476851851</v>
      </c>
      <c r="C501">
        <v>80</v>
      </c>
      <c r="D501">
        <v>79.745132446</v>
      </c>
      <c r="E501">
        <v>50</v>
      </c>
      <c r="F501">
        <v>43.168270110999998</v>
      </c>
      <c r="G501">
        <v>1327.8070068</v>
      </c>
      <c r="H501">
        <v>1326.0334473</v>
      </c>
      <c r="I501">
        <v>1347.9915771000001</v>
      </c>
      <c r="J501">
        <v>1342.8817139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184.76283100000001</v>
      </c>
      <c r="B502" s="1">
        <f>DATE(2010,11,1) + TIME(18,18,28)</f>
        <v>40483.762824074074</v>
      </c>
      <c r="C502">
        <v>80</v>
      </c>
      <c r="D502">
        <v>79.733245850000003</v>
      </c>
      <c r="E502">
        <v>50</v>
      </c>
      <c r="F502">
        <v>43.677646637000002</v>
      </c>
      <c r="G502">
        <v>1327.739624</v>
      </c>
      <c r="H502">
        <v>1325.9639893000001</v>
      </c>
      <c r="I502">
        <v>1347.9925536999999</v>
      </c>
      <c r="J502">
        <v>1342.921875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184.82146700000001</v>
      </c>
      <c r="B503" s="1">
        <f>DATE(2010,11,1) + TIME(19,42,54)</f>
        <v>40483.821458333332</v>
      </c>
      <c r="C503">
        <v>80</v>
      </c>
      <c r="D503">
        <v>79.720802307</v>
      </c>
      <c r="E503">
        <v>50</v>
      </c>
      <c r="F503">
        <v>44.175201416</v>
      </c>
      <c r="G503">
        <v>1327.6790771000001</v>
      </c>
      <c r="H503">
        <v>1325.9014893000001</v>
      </c>
      <c r="I503">
        <v>1347.9869385</v>
      </c>
      <c r="J503">
        <v>1342.9537353999999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184.88380799999999</v>
      </c>
      <c r="B504" s="1">
        <f>DATE(2010,11,1) + TIME(21,12,41)</f>
        <v>40483.88380787037</v>
      </c>
      <c r="C504">
        <v>80</v>
      </c>
      <c r="D504">
        <v>79.707740783999995</v>
      </c>
      <c r="E504">
        <v>50</v>
      </c>
      <c r="F504">
        <v>44.660423279</v>
      </c>
      <c r="G504">
        <v>1327.6246338000001</v>
      </c>
      <c r="H504">
        <v>1325.8453368999999</v>
      </c>
      <c r="I504">
        <v>1347.9752197</v>
      </c>
      <c r="J504">
        <v>1342.9781493999999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184.950355</v>
      </c>
      <c r="B505" s="1">
        <f>DATE(2010,11,1) + TIME(22,48,30)</f>
        <v>40483.95034722222</v>
      </c>
      <c r="C505">
        <v>80</v>
      </c>
      <c r="D505">
        <v>79.693962096999996</v>
      </c>
      <c r="E505">
        <v>50</v>
      </c>
      <c r="F505">
        <v>45.132728577000002</v>
      </c>
      <c r="G505">
        <v>1327.5760498</v>
      </c>
      <c r="H505">
        <v>1325.7950439000001</v>
      </c>
      <c r="I505">
        <v>1347.9581298999999</v>
      </c>
      <c r="J505">
        <v>1342.9954834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185.02171200000001</v>
      </c>
      <c r="B506" s="1">
        <f>DATE(2010,11,2) + TIME(0,31,15)</f>
        <v>40484.021701388891</v>
      </c>
      <c r="C506">
        <v>80</v>
      </c>
      <c r="D506">
        <v>79.679367064999994</v>
      </c>
      <c r="E506">
        <v>50</v>
      </c>
      <c r="F506">
        <v>45.59148407</v>
      </c>
      <c r="G506">
        <v>1327.5325928</v>
      </c>
      <c r="H506">
        <v>1325.7501221</v>
      </c>
      <c r="I506">
        <v>1347.9361572</v>
      </c>
      <c r="J506">
        <v>1343.0064697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185.09861900000001</v>
      </c>
      <c r="B507" s="1">
        <f>DATE(2010,11,2) + TIME(2,22,0)</f>
        <v>40484.098611111112</v>
      </c>
      <c r="C507">
        <v>80</v>
      </c>
      <c r="D507">
        <v>79.663848877000007</v>
      </c>
      <c r="E507">
        <v>50</v>
      </c>
      <c r="F507">
        <v>46.035961151000002</v>
      </c>
      <c r="G507">
        <v>1327.4940185999999</v>
      </c>
      <c r="H507">
        <v>1325.7100829999999</v>
      </c>
      <c r="I507">
        <v>1347.9095459</v>
      </c>
      <c r="J507">
        <v>1343.0115966999999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185.181997</v>
      </c>
      <c r="B508" s="1">
        <f>DATE(2010,11,2) + TIME(4,22,4)</f>
        <v>40484.181990740741</v>
      </c>
      <c r="C508">
        <v>80</v>
      </c>
      <c r="D508">
        <v>79.647254943999997</v>
      </c>
      <c r="E508">
        <v>50</v>
      </c>
      <c r="F508">
        <v>46.465351105000003</v>
      </c>
      <c r="G508">
        <v>1327.4598389</v>
      </c>
      <c r="H508">
        <v>1325.6745605000001</v>
      </c>
      <c r="I508">
        <v>1347.8787841999999</v>
      </c>
      <c r="J508">
        <v>1343.0111084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185.27300299999999</v>
      </c>
      <c r="B509" s="1">
        <f>DATE(2010,11,2) + TIME(6,33,7)</f>
        <v>40484.272997685184</v>
      </c>
      <c r="C509">
        <v>80</v>
      </c>
      <c r="D509">
        <v>79.629402161000002</v>
      </c>
      <c r="E509">
        <v>50</v>
      </c>
      <c r="F509">
        <v>46.878711699999997</v>
      </c>
      <c r="G509">
        <v>1327.4295654</v>
      </c>
      <c r="H509">
        <v>1325.6430664</v>
      </c>
      <c r="I509">
        <v>1347.8442382999999</v>
      </c>
      <c r="J509">
        <v>1343.005249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185.37311</v>
      </c>
      <c r="B510" s="1">
        <f>DATE(2010,11,2) + TIME(8,57,16)</f>
        <v>40484.373101851852</v>
      </c>
      <c r="C510">
        <v>80</v>
      </c>
      <c r="D510">
        <v>79.610054016000007</v>
      </c>
      <c r="E510">
        <v>50</v>
      </c>
      <c r="F510">
        <v>47.274925232000001</v>
      </c>
      <c r="G510">
        <v>1327.4030762</v>
      </c>
      <c r="H510">
        <v>1325.6151123</v>
      </c>
      <c r="I510">
        <v>1347.8059082</v>
      </c>
      <c r="J510">
        <v>1342.9945068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185.48422500000001</v>
      </c>
      <c r="B511" s="1">
        <f>DATE(2010,11,2) + TIME(11,37,17)</f>
        <v>40484.484224537038</v>
      </c>
      <c r="C511">
        <v>80</v>
      </c>
      <c r="D511">
        <v>79.588935852000006</v>
      </c>
      <c r="E511">
        <v>50</v>
      </c>
      <c r="F511">
        <v>47.652664184999999</v>
      </c>
      <c r="G511">
        <v>1327.3796387</v>
      </c>
      <c r="H511">
        <v>1325.5905762</v>
      </c>
      <c r="I511">
        <v>1347.7641602000001</v>
      </c>
      <c r="J511">
        <v>1342.9787598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185.59796900000001</v>
      </c>
      <c r="B512" s="1">
        <f>DATE(2010,11,2) + TIME(14,21,4)</f>
        <v>40484.597962962966</v>
      </c>
      <c r="C512">
        <v>80</v>
      </c>
      <c r="D512">
        <v>79.567504882999998</v>
      </c>
      <c r="E512">
        <v>50</v>
      </c>
      <c r="F512">
        <v>47.983673095999997</v>
      </c>
      <c r="G512">
        <v>1327.3604736</v>
      </c>
      <c r="H512">
        <v>1325.5701904</v>
      </c>
      <c r="I512">
        <v>1347.7252197</v>
      </c>
      <c r="J512">
        <v>1342.9610596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185.71339</v>
      </c>
      <c r="B513" s="1">
        <f>DATE(2010,11,2) + TIME(17,7,16)</f>
        <v>40484.713379629633</v>
      </c>
      <c r="C513">
        <v>80</v>
      </c>
      <c r="D513">
        <v>79.545921325999998</v>
      </c>
      <c r="E513">
        <v>50</v>
      </c>
      <c r="F513">
        <v>48.270496368000003</v>
      </c>
      <c r="G513">
        <v>1327.3447266000001</v>
      </c>
      <c r="H513">
        <v>1325.5534668</v>
      </c>
      <c r="I513">
        <v>1347.6868896000001</v>
      </c>
      <c r="J513">
        <v>1342.9412841999999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185.83111199999999</v>
      </c>
      <c r="B514" s="1">
        <f>DATE(2010,11,2) + TIME(19,56,48)</f>
        <v>40484.831111111111</v>
      </c>
      <c r="C514">
        <v>80</v>
      </c>
      <c r="D514">
        <v>79.524078368999994</v>
      </c>
      <c r="E514">
        <v>50</v>
      </c>
      <c r="F514">
        <v>48.519496918000002</v>
      </c>
      <c r="G514">
        <v>1327.3316649999999</v>
      </c>
      <c r="H514">
        <v>1325.5394286999999</v>
      </c>
      <c r="I514">
        <v>1347.6488036999999</v>
      </c>
      <c r="J514">
        <v>1342.9195557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185.950864</v>
      </c>
      <c r="B515" s="1">
        <f>DATE(2010,11,2) + TIME(22,49,14)</f>
        <v>40484.950856481482</v>
      </c>
      <c r="C515">
        <v>80</v>
      </c>
      <c r="D515">
        <v>79.502021790000001</v>
      </c>
      <c r="E515">
        <v>50</v>
      </c>
      <c r="F515">
        <v>48.734493256</v>
      </c>
      <c r="G515">
        <v>1327.3206786999999</v>
      </c>
      <c r="H515">
        <v>1325.5274658000001</v>
      </c>
      <c r="I515">
        <v>1347.6115723</v>
      </c>
      <c r="J515">
        <v>1342.8966064000001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186.07318699999999</v>
      </c>
      <c r="B516" s="1">
        <f>DATE(2010,11,3) + TIME(1,45,23)</f>
        <v>40485.073182870372</v>
      </c>
      <c r="C516">
        <v>80</v>
      </c>
      <c r="D516">
        <v>79.479652404999996</v>
      </c>
      <c r="E516">
        <v>50</v>
      </c>
      <c r="F516">
        <v>48.920265198000003</v>
      </c>
      <c r="G516">
        <v>1327.3112793</v>
      </c>
      <c r="H516">
        <v>1325.5172118999999</v>
      </c>
      <c r="I516">
        <v>1347.5749512</v>
      </c>
      <c r="J516">
        <v>1342.8726807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186.19863000000001</v>
      </c>
      <c r="B517" s="1">
        <f>DATE(2010,11,3) + TIME(4,46,1)</f>
        <v>40485.198622685188</v>
      </c>
      <c r="C517">
        <v>80</v>
      </c>
      <c r="D517">
        <v>79.456886291999993</v>
      </c>
      <c r="E517">
        <v>50</v>
      </c>
      <c r="F517">
        <v>49.080768585000001</v>
      </c>
      <c r="G517">
        <v>1327.3032227000001</v>
      </c>
      <c r="H517">
        <v>1325.5083007999999</v>
      </c>
      <c r="I517">
        <v>1347.5388184000001</v>
      </c>
      <c r="J517">
        <v>1342.8479004000001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186.32774499999999</v>
      </c>
      <c r="B518" s="1">
        <f>DATE(2010,11,3) + TIME(7,51,57)</f>
        <v>40485.327743055554</v>
      </c>
      <c r="C518">
        <v>80</v>
      </c>
      <c r="D518">
        <v>79.433631896999998</v>
      </c>
      <c r="E518">
        <v>50</v>
      </c>
      <c r="F518">
        <v>49.219310759999999</v>
      </c>
      <c r="G518">
        <v>1327.2960204999999</v>
      </c>
      <c r="H518">
        <v>1325.5002440999999</v>
      </c>
      <c r="I518">
        <v>1347.5031738</v>
      </c>
      <c r="J518">
        <v>1342.8222656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186.46117799999999</v>
      </c>
      <c r="B519" s="1">
        <f>DATE(2010,11,3) + TIME(11,4,5)</f>
        <v>40485.461168981485</v>
      </c>
      <c r="C519">
        <v>80</v>
      </c>
      <c r="D519">
        <v>79.409790039000001</v>
      </c>
      <c r="E519">
        <v>50</v>
      </c>
      <c r="F519">
        <v>49.338729858000001</v>
      </c>
      <c r="G519">
        <v>1327.2895507999999</v>
      </c>
      <c r="H519">
        <v>1325.4929199000001</v>
      </c>
      <c r="I519">
        <v>1347.4678954999999</v>
      </c>
      <c r="J519">
        <v>1342.7961425999999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186.59961200000001</v>
      </c>
      <c r="B520" s="1">
        <f>DATE(2010,11,3) + TIME(14,23,26)</f>
        <v>40485.599606481483</v>
      </c>
      <c r="C520">
        <v>80</v>
      </c>
      <c r="D520">
        <v>79.385246276999993</v>
      </c>
      <c r="E520">
        <v>50</v>
      </c>
      <c r="F520">
        <v>49.441448211999997</v>
      </c>
      <c r="G520">
        <v>1327.2835693</v>
      </c>
      <c r="H520">
        <v>1325.4863281</v>
      </c>
      <c r="I520">
        <v>1347.4329834</v>
      </c>
      <c r="J520">
        <v>1342.7694091999999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186.74359200000001</v>
      </c>
      <c r="B521" s="1">
        <f>DATE(2010,11,3) + TIME(17,50,46)</f>
        <v>40485.743587962963</v>
      </c>
      <c r="C521">
        <v>80</v>
      </c>
      <c r="D521">
        <v>79.359931946000003</v>
      </c>
      <c r="E521">
        <v>50</v>
      </c>
      <c r="F521">
        <v>49.529422760000003</v>
      </c>
      <c r="G521">
        <v>1327.2780762</v>
      </c>
      <c r="H521">
        <v>1325.4799805</v>
      </c>
      <c r="I521">
        <v>1347.3981934000001</v>
      </c>
      <c r="J521">
        <v>1342.7420654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186.893608</v>
      </c>
      <c r="B522" s="1">
        <f>DATE(2010,11,3) + TIME(21,26,47)</f>
        <v>40485.893599537034</v>
      </c>
      <c r="C522">
        <v>80</v>
      </c>
      <c r="D522">
        <v>79.333770752000007</v>
      </c>
      <c r="E522">
        <v>50</v>
      </c>
      <c r="F522">
        <v>49.604377747000001</v>
      </c>
      <c r="G522">
        <v>1327.2729492000001</v>
      </c>
      <c r="H522">
        <v>1325.473999</v>
      </c>
      <c r="I522">
        <v>1347.3635254000001</v>
      </c>
      <c r="J522">
        <v>1342.7141113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187.05057500000001</v>
      </c>
      <c r="B523" s="1">
        <f>DATE(2010,11,4) + TIME(1,12,49)</f>
        <v>40486.050567129627</v>
      </c>
      <c r="C523">
        <v>80</v>
      </c>
      <c r="D523">
        <v>79.306625366000006</v>
      </c>
      <c r="E523">
        <v>50</v>
      </c>
      <c r="F523">
        <v>49.667995453000003</v>
      </c>
      <c r="G523">
        <v>1327.2679443</v>
      </c>
      <c r="H523">
        <v>1325.4682617000001</v>
      </c>
      <c r="I523">
        <v>1347.3287353999999</v>
      </c>
      <c r="J523">
        <v>1342.6856689000001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187.21552800000001</v>
      </c>
      <c r="B524" s="1">
        <f>DATE(2010,11,4) + TIME(5,10,21)</f>
        <v>40486.215520833335</v>
      </c>
      <c r="C524">
        <v>80</v>
      </c>
      <c r="D524">
        <v>79.278343200999998</v>
      </c>
      <c r="E524">
        <v>50</v>
      </c>
      <c r="F524">
        <v>49.721729279000002</v>
      </c>
      <c r="G524">
        <v>1327.2630615</v>
      </c>
      <c r="H524">
        <v>1325.4626464999999</v>
      </c>
      <c r="I524">
        <v>1347.2939452999999</v>
      </c>
      <c r="J524">
        <v>1342.6566161999999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187.389681</v>
      </c>
      <c r="B525" s="1">
        <f>DATE(2010,11,4) + TIME(9,21,8)</f>
        <v>40486.389675925922</v>
      </c>
      <c r="C525">
        <v>80</v>
      </c>
      <c r="D525">
        <v>79.248764038000004</v>
      </c>
      <c r="E525">
        <v>50</v>
      </c>
      <c r="F525">
        <v>49.766860962000003</v>
      </c>
      <c r="G525">
        <v>1327.2581786999999</v>
      </c>
      <c r="H525">
        <v>1325.4571533000001</v>
      </c>
      <c r="I525">
        <v>1347.2587891000001</v>
      </c>
      <c r="J525">
        <v>1342.6268310999999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187.57437200000001</v>
      </c>
      <c r="B526" s="1">
        <f>DATE(2010,11,4) + TIME(13,47,5)</f>
        <v>40486.574363425927</v>
      </c>
      <c r="C526">
        <v>80</v>
      </c>
      <c r="D526">
        <v>79.217697143999999</v>
      </c>
      <c r="E526">
        <v>50</v>
      </c>
      <c r="F526">
        <v>49.804508208999998</v>
      </c>
      <c r="G526">
        <v>1327.253418</v>
      </c>
      <c r="H526">
        <v>1325.4514160000001</v>
      </c>
      <c r="I526">
        <v>1347.2232666</v>
      </c>
      <c r="J526">
        <v>1342.5964355000001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187.77068199999999</v>
      </c>
      <c r="B527" s="1">
        <f>DATE(2010,11,4) + TIME(18,29,46)</f>
        <v>40486.770671296297</v>
      </c>
      <c r="C527">
        <v>80</v>
      </c>
      <c r="D527">
        <v>79.184989928999997</v>
      </c>
      <c r="E527">
        <v>50</v>
      </c>
      <c r="F527">
        <v>49.835594176999997</v>
      </c>
      <c r="G527">
        <v>1327.2485352000001</v>
      </c>
      <c r="H527">
        <v>1325.4456786999999</v>
      </c>
      <c r="I527">
        <v>1347.1871338000001</v>
      </c>
      <c r="J527">
        <v>1342.5651855000001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187.97981100000001</v>
      </c>
      <c r="B528" s="1">
        <f>DATE(2010,11,4) + TIME(23,30,55)</f>
        <v>40486.979803240742</v>
      </c>
      <c r="C528">
        <v>80</v>
      </c>
      <c r="D528">
        <v>79.150489807</v>
      </c>
      <c r="E528">
        <v>50</v>
      </c>
      <c r="F528">
        <v>49.860988616999997</v>
      </c>
      <c r="G528">
        <v>1327.2434082</v>
      </c>
      <c r="H528">
        <v>1325.4398193</v>
      </c>
      <c r="I528">
        <v>1347.1503906</v>
      </c>
      <c r="J528">
        <v>1342.5330810999999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188.20202599999999</v>
      </c>
      <c r="B529" s="1">
        <f>DATE(2010,11,5) + TIME(4,50,55)</f>
        <v>40487.202025462961</v>
      </c>
      <c r="C529">
        <v>80</v>
      </c>
      <c r="D529">
        <v>79.114158630000006</v>
      </c>
      <c r="E529">
        <v>50</v>
      </c>
      <c r="F529">
        <v>49.881416321000003</v>
      </c>
      <c r="G529">
        <v>1327.2382812000001</v>
      </c>
      <c r="H529">
        <v>1325.4337158000001</v>
      </c>
      <c r="I529">
        <v>1347.1130370999999</v>
      </c>
      <c r="J529">
        <v>1342.5001221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188.43932000000001</v>
      </c>
      <c r="B530" s="1">
        <f>DATE(2010,11,5) + TIME(10,32,37)</f>
        <v>40487.439317129632</v>
      </c>
      <c r="C530">
        <v>80</v>
      </c>
      <c r="D530">
        <v>79.075744628999999</v>
      </c>
      <c r="E530">
        <v>50</v>
      </c>
      <c r="F530">
        <v>49.897701263000002</v>
      </c>
      <c r="G530">
        <v>1327.2327881000001</v>
      </c>
      <c r="H530">
        <v>1325.4272461</v>
      </c>
      <c r="I530">
        <v>1347.0750731999999</v>
      </c>
      <c r="J530">
        <v>1342.4664307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188.68139500000001</v>
      </c>
      <c r="B531" s="1">
        <f>DATE(2010,11,5) + TIME(16,21,12)</f>
        <v>40487.681388888886</v>
      </c>
      <c r="C531">
        <v>80</v>
      </c>
      <c r="D531">
        <v>79.036598205999994</v>
      </c>
      <c r="E531">
        <v>50</v>
      </c>
      <c r="F531">
        <v>49.910068512000002</v>
      </c>
      <c r="G531">
        <v>1327.2271728999999</v>
      </c>
      <c r="H531">
        <v>1325.4205322</v>
      </c>
      <c r="I531">
        <v>1347.0366211</v>
      </c>
      <c r="J531">
        <v>1342.4321289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188.926231</v>
      </c>
      <c r="B532" s="1">
        <f>DATE(2010,11,5) + TIME(22,13,46)</f>
        <v>40487.926226851851</v>
      </c>
      <c r="C532">
        <v>80</v>
      </c>
      <c r="D532">
        <v>78.997016907000003</v>
      </c>
      <c r="E532">
        <v>50</v>
      </c>
      <c r="F532">
        <v>49.919387817</v>
      </c>
      <c r="G532">
        <v>1327.2213135</v>
      </c>
      <c r="H532">
        <v>1325.4136963000001</v>
      </c>
      <c r="I532">
        <v>1346.9990233999999</v>
      </c>
      <c r="J532">
        <v>1342.3985596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189.17416299999999</v>
      </c>
      <c r="B533" s="1">
        <f>DATE(2010,11,6) + TIME(4,10,47)</f>
        <v>40488.174155092594</v>
      </c>
      <c r="C533">
        <v>80</v>
      </c>
      <c r="D533">
        <v>78.956993103000002</v>
      </c>
      <c r="E533">
        <v>50</v>
      </c>
      <c r="F533">
        <v>49.926422119000001</v>
      </c>
      <c r="G533">
        <v>1327.2154541</v>
      </c>
      <c r="H533">
        <v>1325.4067382999999</v>
      </c>
      <c r="I533">
        <v>1346.9625243999999</v>
      </c>
      <c r="J533">
        <v>1342.3658447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189.425735</v>
      </c>
      <c r="B534" s="1">
        <f>DATE(2010,11,6) + TIME(10,13,3)</f>
        <v>40488.425729166665</v>
      </c>
      <c r="C534">
        <v>80</v>
      </c>
      <c r="D534">
        <v>78.916481017999999</v>
      </c>
      <c r="E534">
        <v>50</v>
      </c>
      <c r="F534">
        <v>49.931747436999999</v>
      </c>
      <c r="G534">
        <v>1327.2095947</v>
      </c>
      <c r="H534">
        <v>1325.3997803</v>
      </c>
      <c r="I534">
        <v>1346.927124</v>
      </c>
      <c r="J534">
        <v>1342.3341064000001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189.68214599999999</v>
      </c>
      <c r="B535" s="1">
        <f>DATE(2010,11,6) + TIME(16,22,17)</f>
        <v>40488.682141203702</v>
      </c>
      <c r="C535">
        <v>80</v>
      </c>
      <c r="D535">
        <v>78.875366210999999</v>
      </c>
      <c r="E535">
        <v>50</v>
      </c>
      <c r="F535">
        <v>49.935794829999999</v>
      </c>
      <c r="G535">
        <v>1327.2034911999999</v>
      </c>
      <c r="H535">
        <v>1325.3925781</v>
      </c>
      <c r="I535">
        <v>1346.8927002</v>
      </c>
      <c r="J535">
        <v>1342.3031006000001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189.944684</v>
      </c>
      <c r="B536" s="1">
        <f>DATE(2010,11,6) + TIME(22,40,20)</f>
        <v>40488.944675925923</v>
      </c>
      <c r="C536">
        <v>80</v>
      </c>
      <c r="D536">
        <v>78.833480835000003</v>
      </c>
      <c r="E536">
        <v>50</v>
      </c>
      <c r="F536">
        <v>49.938888550000001</v>
      </c>
      <c r="G536">
        <v>1327.1973877</v>
      </c>
      <c r="H536">
        <v>1325.3852539</v>
      </c>
      <c r="I536">
        <v>1346.8590088000001</v>
      </c>
      <c r="J536">
        <v>1342.2728271000001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190.21465699999999</v>
      </c>
      <c r="B537" s="1">
        <f>DATE(2010,11,7) + TIME(5,9,6)</f>
        <v>40489.21465277778</v>
      </c>
      <c r="C537">
        <v>80</v>
      </c>
      <c r="D537">
        <v>78.790672302000004</v>
      </c>
      <c r="E537">
        <v>50</v>
      </c>
      <c r="F537">
        <v>49.941261292</v>
      </c>
      <c r="G537">
        <v>1327.1910399999999</v>
      </c>
      <c r="H537">
        <v>1325.3776855000001</v>
      </c>
      <c r="I537">
        <v>1346.8259277</v>
      </c>
      <c r="J537">
        <v>1342.2430420000001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190.49347499999999</v>
      </c>
      <c r="B538" s="1">
        <f>DATE(2010,11,7) + TIME(11,50,36)</f>
        <v>40489.493472222224</v>
      </c>
      <c r="C538">
        <v>80</v>
      </c>
      <c r="D538">
        <v>78.746772766000007</v>
      </c>
      <c r="E538">
        <v>50</v>
      </c>
      <c r="F538">
        <v>49.943092346</v>
      </c>
      <c r="G538">
        <v>1327.1844481999999</v>
      </c>
      <c r="H538">
        <v>1325.369751</v>
      </c>
      <c r="I538">
        <v>1346.7932129000001</v>
      </c>
      <c r="J538">
        <v>1342.213501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190.78173100000001</v>
      </c>
      <c r="B539" s="1">
        <f>DATE(2010,11,7) + TIME(18,45,41)</f>
        <v>40489.781724537039</v>
      </c>
      <c r="C539">
        <v>80</v>
      </c>
      <c r="D539">
        <v>78.701705933</v>
      </c>
      <c r="E539">
        <v>50</v>
      </c>
      <c r="F539">
        <v>49.944507598999998</v>
      </c>
      <c r="G539">
        <v>1327.1776123</v>
      </c>
      <c r="H539">
        <v>1325.3616943</v>
      </c>
      <c r="I539">
        <v>1346.7608643000001</v>
      </c>
      <c r="J539">
        <v>1342.1843262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191.08043499999999</v>
      </c>
      <c r="B540" s="1">
        <f>DATE(2010,11,8) + TIME(1,55,49)</f>
        <v>40490.080428240741</v>
      </c>
      <c r="C540">
        <v>80</v>
      </c>
      <c r="D540">
        <v>78.655364989999995</v>
      </c>
      <c r="E540">
        <v>50</v>
      </c>
      <c r="F540">
        <v>49.945610045999999</v>
      </c>
      <c r="G540">
        <v>1327.1705322</v>
      </c>
      <c r="H540">
        <v>1325.3531493999999</v>
      </c>
      <c r="I540">
        <v>1346.7286377</v>
      </c>
      <c r="J540">
        <v>1342.1552733999999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191.391368</v>
      </c>
      <c r="B541" s="1">
        <f>DATE(2010,11,8) + TIME(9,23,34)</f>
        <v>40490.391365740739</v>
      </c>
      <c r="C541">
        <v>80</v>
      </c>
      <c r="D541">
        <v>78.607513428000004</v>
      </c>
      <c r="E541">
        <v>50</v>
      </c>
      <c r="F541">
        <v>49.946472168</v>
      </c>
      <c r="G541">
        <v>1327.1632079999999</v>
      </c>
      <c r="H541">
        <v>1325.3442382999999</v>
      </c>
      <c r="I541">
        <v>1346.6966553</v>
      </c>
      <c r="J541">
        <v>1342.1263428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191.716556</v>
      </c>
      <c r="B542" s="1">
        <f>DATE(2010,11,8) + TIME(17,11,50)</f>
        <v>40490.716550925928</v>
      </c>
      <c r="C542">
        <v>80</v>
      </c>
      <c r="D542">
        <v>78.557929993000002</v>
      </c>
      <c r="E542">
        <v>50</v>
      </c>
      <c r="F542">
        <v>49.947154998999999</v>
      </c>
      <c r="G542">
        <v>1327.1555175999999</v>
      </c>
      <c r="H542">
        <v>1325.3349608999999</v>
      </c>
      <c r="I542">
        <v>1346.6646728999999</v>
      </c>
      <c r="J542">
        <v>1342.0975341999999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192.05663000000001</v>
      </c>
      <c r="B543" s="1">
        <f>DATE(2010,11,9) + TIME(1,21,32)</f>
        <v>40491.056620370371</v>
      </c>
      <c r="C543">
        <v>80</v>
      </c>
      <c r="D543">
        <v>78.506523131999998</v>
      </c>
      <c r="E543">
        <v>50</v>
      </c>
      <c r="F543">
        <v>49.947692871000001</v>
      </c>
      <c r="G543">
        <v>1327.1473389</v>
      </c>
      <c r="H543">
        <v>1325.3251952999999</v>
      </c>
      <c r="I543">
        <v>1346.6325684000001</v>
      </c>
      <c r="J543">
        <v>1342.0684814000001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192.41404299999999</v>
      </c>
      <c r="B544" s="1">
        <f>DATE(2010,11,9) + TIME(9,56,13)</f>
        <v>40491.414039351854</v>
      </c>
      <c r="C544">
        <v>80</v>
      </c>
      <c r="D544">
        <v>78.453010559000006</v>
      </c>
      <c r="E544">
        <v>50</v>
      </c>
      <c r="F544">
        <v>49.948127747000001</v>
      </c>
      <c r="G544">
        <v>1327.1387939000001</v>
      </c>
      <c r="H544">
        <v>1325.3148193</v>
      </c>
      <c r="I544">
        <v>1346.6003418</v>
      </c>
      <c r="J544">
        <v>1342.0394286999999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192.789658</v>
      </c>
      <c r="B545" s="1">
        <f>DATE(2010,11,9) + TIME(18,57,6)</f>
        <v>40491.789652777778</v>
      </c>
      <c r="C545">
        <v>80</v>
      </c>
      <c r="D545">
        <v>78.397277832</v>
      </c>
      <c r="E545">
        <v>50</v>
      </c>
      <c r="F545">
        <v>49.948478698999999</v>
      </c>
      <c r="G545">
        <v>1327.1297606999999</v>
      </c>
      <c r="H545">
        <v>1325.3039550999999</v>
      </c>
      <c r="I545">
        <v>1346.5678711</v>
      </c>
      <c r="J545">
        <v>1342.0100098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193.17414199999999</v>
      </c>
      <c r="B546" s="1">
        <f>DATE(2010,11,10) + TIME(4,10,45)</f>
        <v>40492.174131944441</v>
      </c>
      <c r="C546">
        <v>80</v>
      </c>
      <c r="D546">
        <v>78.340347289999997</v>
      </c>
      <c r="E546">
        <v>50</v>
      </c>
      <c r="F546">
        <v>49.948757172000001</v>
      </c>
      <c r="G546">
        <v>1327.1201172000001</v>
      </c>
      <c r="H546">
        <v>1325.2923584</v>
      </c>
      <c r="I546">
        <v>1346.5351562000001</v>
      </c>
      <c r="J546">
        <v>1341.9804687999999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193.56251800000001</v>
      </c>
      <c r="B547" s="1">
        <f>DATE(2010,11,10) + TIME(13,30,1)</f>
        <v>40492.562511574077</v>
      </c>
      <c r="C547">
        <v>80</v>
      </c>
      <c r="D547">
        <v>78.282814025999997</v>
      </c>
      <c r="E547">
        <v>50</v>
      </c>
      <c r="F547">
        <v>49.948978424000003</v>
      </c>
      <c r="G547">
        <v>1327.1103516000001</v>
      </c>
      <c r="H547">
        <v>1325.2803954999999</v>
      </c>
      <c r="I547">
        <v>1346.5030518000001</v>
      </c>
      <c r="J547">
        <v>1341.9515381000001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193.956793</v>
      </c>
      <c r="B548" s="1">
        <f>DATE(2010,11,10) + TIME(22,57,46)</f>
        <v>40492.956782407404</v>
      </c>
      <c r="C548">
        <v>80</v>
      </c>
      <c r="D548">
        <v>78.224578856999997</v>
      </c>
      <c r="E548">
        <v>50</v>
      </c>
      <c r="F548">
        <v>49.949157714999998</v>
      </c>
      <c r="G548">
        <v>1327.1002197</v>
      </c>
      <c r="H548">
        <v>1325.2681885</v>
      </c>
      <c r="I548">
        <v>1346.4719238</v>
      </c>
      <c r="J548">
        <v>1341.9234618999999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194.359027</v>
      </c>
      <c r="B549" s="1">
        <f>DATE(2010,11,11) + TIME(8,36,59)</f>
        <v>40493.359016203707</v>
      </c>
      <c r="C549">
        <v>80</v>
      </c>
      <c r="D549">
        <v>78.165481567</v>
      </c>
      <c r="E549">
        <v>50</v>
      </c>
      <c r="F549">
        <v>49.949306487999998</v>
      </c>
      <c r="G549">
        <v>1327.0898437999999</v>
      </c>
      <c r="H549">
        <v>1325.2556152</v>
      </c>
      <c r="I549">
        <v>1346.4416504000001</v>
      </c>
      <c r="J549">
        <v>1341.8959961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194.76913400000001</v>
      </c>
      <c r="B550" s="1">
        <f>DATE(2010,11,11) + TIME(18,27,33)</f>
        <v>40493.769131944442</v>
      </c>
      <c r="C550">
        <v>80</v>
      </c>
      <c r="D550">
        <v>78.105560303000004</v>
      </c>
      <c r="E550">
        <v>50</v>
      </c>
      <c r="F550">
        <v>49.949428558000001</v>
      </c>
      <c r="G550">
        <v>1327.0792236</v>
      </c>
      <c r="H550">
        <v>1325.2426757999999</v>
      </c>
      <c r="I550">
        <v>1346.4119873</v>
      </c>
      <c r="J550">
        <v>1341.8691406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195.18736100000001</v>
      </c>
      <c r="B551" s="1">
        <f>DATE(2010,11,12) + TIME(4,29,47)</f>
        <v>40494.187349537038</v>
      </c>
      <c r="C551">
        <v>80</v>
      </c>
      <c r="D551">
        <v>78.044815063000001</v>
      </c>
      <c r="E551">
        <v>50</v>
      </c>
      <c r="F551">
        <v>49.949531555</v>
      </c>
      <c r="G551">
        <v>1327.0683594</v>
      </c>
      <c r="H551">
        <v>1325.2293701000001</v>
      </c>
      <c r="I551">
        <v>1346.3828125</v>
      </c>
      <c r="J551">
        <v>1341.8427733999999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195.61585199999999</v>
      </c>
      <c r="B552" s="1">
        <f>DATE(2010,11,12) + TIME(14,46,49)</f>
        <v>40494.615844907406</v>
      </c>
      <c r="C552">
        <v>80</v>
      </c>
      <c r="D552">
        <v>77.983055114999999</v>
      </c>
      <c r="E552">
        <v>50</v>
      </c>
      <c r="F552">
        <v>49.949619292999998</v>
      </c>
      <c r="G552">
        <v>1327.0571289</v>
      </c>
      <c r="H552">
        <v>1325.2156981999999</v>
      </c>
      <c r="I552">
        <v>1346.3542480000001</v>
      </c>
      <c r="J552">
        <v>1341.8168945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196.05686700000001</v>
      </c>
      <c r="B553" s="1">
        <f>DATE(2010,11,13) + TIME(1,21,53)</f>
        <v>40495.056863425925</v>
      </c>
      <c r="C553">
        <v>80</v>
      </c>
      <c r="D553">
        <v>77.920051575000002</v>
      </c>
      <c r="E553">
        <v>50</v>
      </c>
      <c r="F553">
        <v>49.949695587000001</v>
      </c>
      <c r="G553">
        <v>1327.0455322</v>
      </c>
      <c r="H553">
        <v>1325.2014160000001</v>
      </c>
      <c r="I553">
        <v>1346.3260498</v>
      </c>
      <c r="J553">
        <v>1341.7913818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196.51285300000001</v>
      </c>
      <c r="B554" s="1">
        <f>DATE(2010,11,13) + TIME(12,18,30)</f>
        <v>40495.51284722222</v>
      </c>
      <c r="C554">
        <v>80</v>
      </c>
      <c r="D554">
        <v>77.855552673000005</v>
      </c>
      <c r="E554">
        <v>50</v>
      </c>
      <c r="F554">
        <v>49.949760437000002</v>
      </c>
      <c r="G554">
        <v>1327.0335693</v>
      </c>
      <c r="H554">
        <v>1325.1867675999999</v>
      </c>
      <c r="I554">
        <v>1346.2982178</v>
      </c>
      <c r="J554">
        <v>1341.7661132999999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196.98410100000001</v>
      </c>
      <c r="B555" s="1">
        <f>DATE(2010,11,13) + TIME(23,37,6)</f>
        <v>40495.984097222223</v>
      </c>
      <c r="C555">
        <v>80</v>
      </c>
      <c r="D555">
        <v>77.789497374999996</v>
      </c>
      <c r="E555">
        <v>50</v>
      </c>
      <c r="F555">
        <v>49.949821471999996</v>
      </c>
      <c r="G555">
        <v>1327.0209961</v>
      </c>
      <c r="H555">
        <v>1325.1713867000001</v>
      </c>
      <c r="I555">
        <v>1346.2703856999999</v>
      </c>
      <c r="J555">
        <v>1341.7409668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197.472949</v>
      </c>
      <c r="B556" s="1">
        <f>DATE(2010,11,14) + TIME(11,21,2)</f>
        <v>40496.472939814812</v>
      </c>
      <c r="C556">
        <v>80</v>
      </c>
      <c r="D556">
        <v>77.721656799000002</v>
      </c>
      <c r="E556">
        <v>50</v>
      </c>
      <c r="F556">
        <v>49.949874878000003</v>
      </c>
      <c r="G556">
        <v>1327.0079346</v>
      </c>
      <c r="H556">
        <v>1325.1553954999999</v>
      </c>
      <c r="I556">
        <v>1346.2426757999999</v>
      </c>
      <c r="J556">
        <v>1341.7158202999999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197.981854</v>
      </c>
      <c r="B557" s="1">
        <f>DATE(2010,11,14) + TIME(23,33,52)</f>
        <v>40496.981851851851</v>
      </c>
      <c r="C557">
        <v>80</v>
      </c>
      <c r="D557">
        <v>77.651779175000001</v>
      </c>
      <c r="E557">
        <v>50</v>
      </c>
      <c r="F557">
        <v>49.949924469000003</v>
      </c>
      <c r="G557">
        <v>1326.9943848</v>
      </c>
      <c r="H557">
        <v>1325.1386719</v>
      </c>
      <c r="I557">
        <v>1346.2150879000001</v>
      </c>
      <c r="J557">
        <v>1341.6907959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198.51035999999999</v>
      </c>
      <c r="B558" s="1">
        <f>DATE(2010,11,15) + TIME(12,14,55)</f>
        <v>40497.510358796295</v>
      </c>
      <c r="C558">
        <v>80</v>
      </c>
      <c r="D558">
        <v>77.579856872999997</v>
      </c>
      <c r="E558">
        <v>50</v>
      </c>
      <c r="F558">
        <v>49.949974060000002</v>
      </c>
      <c r="G558">
        <v>1326.9801024999999</v>
      </c>
      <c r="H558">
        <v>1325.1212158000001</v>
      </c>
      <c r="I558">
        <v>1346.1873779</v>
      </c>
      <c r="J558">
        <v>1341.6656493999999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199.04469399999999</v>
      </c>
      <c r="B559" s="1">
        <f>DATE(2010,11,16) + TIME(1,4,21)</f>
        <v>40498.044687499998</v>
      </c>
      <c r="C559">
        <v>80</v>
      </c>
      <c r="D559">
        <v>77.507148743000002</v>
      </c>
      <c r="E559">
        <v>50</v>
      </c>
      <c r="F559">
        <v>49.950016022</v>
      </c>
      <c r="G559">
        <v>1326.965332</v>
      </c>
      <c r="H559">
        <v>1325.1029053</v>
      </c>
      <c r="I559">
        <v>1346.1597899999999</v>
      </c>
      <c r="J559">
        <v>1341.6405029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199.58324999999999</v>
      </c>
      <c r="B560" s="1">
        <f>DATE(2010,11,16) + TIME(13,59,52)</f>
        <v>40498.583240740743</v>
      </c>
      <c r="C560">
        <v>80</v>
      </c>
      <c r="D560">
        <v>77.433990479000002</v>
      </c>
      <c r="E560">
        <v>50</v>
      </c>
      <c r="F560">
        <v>49.950054168999998</v>
      </c>
      <c r="G560">
        <v>1326.9500731999999</v>
      </c>
      <c r="H560">
        <v>1325.0841064000001</v>
      </c>
      <c r="I560">
        <v>1346.1328125</v>
      </c>
      <c r="J560">
        <v>1341.6160889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200.128884</v>
      </c>
      <c r="B561" s="1">
        <f>DATE(2010,11,17) + TIME(3,5,35)</f>
        <v>40499.128877314812</v>
      </c>
      <c r="C561">
        <v>80</v>
      </c>
      <c r="D561">
        <v>77.360275268999999</v>
      </c>
      <c r="E561">
        <v>50</v>
      </c>
      <c r="F561">
        <v>49.950092316000003</v>
      </c>
      <c r="G561">
        <v>1326.9345702999999</v>
      </c>
      <c r="H561">
        <v>1325.0649414</v>
      </c>
      <c r="I561">
        <v>1346.1065673999999</v>
      </c>
      <c r="J561">
        <v>1341.5922852000001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200.68439900000001</v>
      </c>
      <c r="B562" s="1">
        <f>DATE(2010,11,17) + TIME(16,25,32)</f>
        <v>40499.684398148151</v>
      </c>
      <c r="C562">
        <v>80</v>
      </c>
      <c r="D562">
        <v>77.285820006999998</v>
      </c>
      <c r="E562">
        <v>50</v>
      </c>
      <c r="F562">
        <v>49.950130463000001</v>
      </c>
      <c r="G562">
        <v>1326.9188231999999</v>
      </c>
      <c r="H562">
        <v>1325.0454102000001</v>
      </c>
      <c r="I562">
        <v>1346.0810547000001</v>
      </c>
      <c r="J562">
        <v>1341.5689697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201.25262599999999</v>
      </c>
      <c r="B563" s="1">
        <f>DATE(2010,11,18) + TIME(6,3,46)</f>
        <v>40500.252615740741</v>
      </c>
      <c r="C563">
        <v>80</v>
      </c>
      <c r="D563">
        <v>77.210395813000005</v>
      </c>
      <c r="E563">
        <v>50</v>
      </c>
      <c r="F563">
        <v>49.950168609999999</v>
      </c>
      <c r="G563">
        <v>1326.9025879000001</v>
      </c>
      <c r="H563">
        <v>1325.0252685999999</v>
      </c>
      <c r="I563">
        <v>1346.0559082</v>
      </c>
      <c r="J563">
        <v>1341.5460204999999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201.83524499999999</v>
      </c>
      <c r="B564" s="1">
        <f>DATE(2010,11,18) + TIME(20,2,45)</f>
        <v>40500.835243055553</v>
      </c>
      <c r="C564">
        <v>80</v>
      </c>
      <c r="D564">
        <v>77.133850097999996</v>
      </c>
      <c r="E564">
        <v>50</v>
      </c>
      <c r="F564">
        <v>49.950206756999997</v>
      </c>
      <c r="G564">
        <v>1326.8858643000001</v>
      </c>
      <c r="H564">
        <v>1325.0045166</v>
      </c>
      <c r="I564">
        <v>1346.0311279</v>
      </c>
      <c r="J564">
        <v>1341.5234375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202.432661</v>
      </c>
      <c r="B565" s="1">
        <f>DATE(2010,11,19) + TIME(10,23,1)</f>
        <v>40501.432650462964</v>
      </c>
      <c r="C565">
        <v>80</v>
      </c>
      <c r="D565">
        <v>77.056114196999999</v>
      </c>
      <c r="E565">
        <v>50</v>
      </c>
      <c r="F565">
        <v>49.950244904000002</v>
      </c>
      <c r="G565">
        <v>1326.8685303</v>
      </c>
      <c r="H565">
        <v>1324.9831543</v>
      </c>
      <c r="I565">
        <v>1346.0064697</v>
      </c>
      <c r="J565">
        <v>1341.5009766000001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203.048134</v>
      </c>
      <c r="B566" s="1">
        <f>DATE(2010,11,20) + TIME(1,9,18)</f>
        <v>40502.048125000001</v>
      </c>
      <c r="C566">
        <v>80</v>
      </c>
      <c r="D566">
        <v>76.976905822999996</v>
      </c>
      <c r="E566">
        <v>50</v>
      </c>
      <c r="F566">
        <v>49.950286865000002</v>
      </c>
      <c r="G566">
        <v>1326.8507079999999</v>
      </c>
      <c r="H566">
        <v>1324.9609375</v>
      </c>
      <c r="I566">
        <v>1345.9821777</v>
      </c>
      <c r="J566">
        <v>1341.4787598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203.68456599999999</v>
      </c>
      <c r="B567" s="1">
        <f>DATE(2010,11,20) + TIME(16,25,46)</f>
        <v>40502.684560185182</v>
      </c>
      <c r="C567">
        <v>80</v>
      </c>
      <c r="D567">
        <v>76.895957946999999</v>
      </c>
      <c r="E567">
        <v>50</v>
      </c>
      <c r="F567">
        <v>49.950328827</v>
      </c>
      <c r="G567">
        <v>1326.8322754000001</v>
      </c>
      <c r="H567">
        <v>1324.9379882999999</v>
      </c>
      <c r="I567">
        <v>1345.9578856999999</v>
      </c>
      <c r="J567">
        <v>1341.4566649999999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204.34213</v>
      </c>
      <c r="B568" s="1">
        <f>DATE(2010,11,21) + TIME(8,12,40)</f>
        <v>40503.342129629629</v>
      </c>
      <c r="C568">
        <v>80</v>
      </c>
      <c r="D568">
        <v>76.813201903999996</v>
      </c>
      <c r="E568">
        <v>50</v>
      </c>
      <c r="F568">
        <v>49.950370788999997</v>
      </c>
      <c r="G568">
        <v>1326.8129882999999</v>
      </c>
      <c r="H568">
        <v>1324.9139404</v>
      </c>
      <c r="I568">
        <v>1345.9337158000001</v>
      </c>
      <c r="J568">
        <v>1341.4345702999999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205.02450200000001</v>
      </c>
      <c r="B569" s="1">
        <f>DATE(2010,11,22) + TIME(0,35,16)</f>
        <v>40504.02449074074</v>
      </c>
      <c r="C569">
        <v>80</v>
      </c>
      <c r="D569">
        <v>76.728340149000005</v>
      </c>
      <c r="E569">
        <v>50</v>
      </c>
      <c r="F569">
        <v>49.950416564999998</v>
      </c>
      <c r="G569">
        <v>1326.7929687999999</v>
      </c>
      <c r="H569">
        <v>1324.8890381000001</v>
      </c>
      <c r="I569">
        <v>1345.9095459</v>
      </c>
      <c r="J569">
        <v>1341.4123535000001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205.71790899999999</v>
      </c>
      <c r="B570" s="1">
        <f>DATE(2010,11,22) + TIME(17,13,47)</f>
        <v>40504.717905092592</v>
      </c>
      <c r="C570">
        <v>80</v>
      </c>
      <c r="D570">
        <v>76.642341614000003</v>
      </c>
      <c r="E570">
        <v>50</v>
      </c>
      <c r="F570">
        <v>49.950462340999998</v>
      </c>
      <c r="G570">
        <v>1326.7720947</v>
      </c>
      <c r="H570">
        <v>1324.8629149999999</v>
      </c>
      <c r="I570">
        <v>1345.8852539</v>
      </c>
      <c r="J570">
        <v>1341.3902588000001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206.41711599999999</v>
      </c>
      <c r="B571" s="1">
        <f>DATE(2010,11,23) + TIME(10,0,38)</f>
        <v>40505.41710648148</v>
      </c>
      <c r="C571">
        <v>80</v>
      </c>
      <c r="D571">
        <v>76.555824279999996</v>
      </c>
      <c r="E571">
        <v>50</v>
      </c>
      <c r="F571">
        <v>49.950508118000002</v>
      </c>
      <c r="G571">
        <v>1326.7506103999999</v>
      </c>
      <c r="H571">
        <v>1324.8361815999999</v>
      </c>
      <c r="I571">
        <v>1345.8615723</v>
      </c>
      <c r="J571">
        <v>1341.3684082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207.12584899999999</v>
      </c>
      <c r="B572" s="1">
        <f>DATE(2010,11,24) + TIME(3,1,13)</f>
        <v>40506.125844907408</v>
      </c>
      <c r="C572">
        <v>80</v>
      </c>
      <c r="D572">
        <v>76.468765258999994</v>
      </c>
      <c r="E572">
        <v>50</v>
      </c>
      <c r="F572">
        <v>49.950557709000002</v>
      </c>
      <c r="G572">
        <v>1326.7287598</v>
      </c>
      <c r="H572">
        <v>1324.8088379000001</v>
      </c>
      <c r="I572">
        <v>1345.8383789</v>
      </c>
      <c r="J572">
        <v>1341.347168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207.84786700000001</v>
      </c>
      <c r="B573" s="1">
        <f>DATE(2010,11,24) + TIME(20,20,55)</f>
        <v>40506.847858796296</v>
      </c>
      <c r="C573">
        <v>80</v>
      </c>
      <c r="D573">
        <v>76.380966186999999</v>
      </c>
      <c r="E573">
        <v>50</v>
      </c>
      <c r="F573">
        <v>49.950607300000001</v>
      </c>
      <c r="G573">
        <v>1326.7064209</v>
      </c>
      <c r="H573">
        <v>1324.7808838000001</v>
      </c>
      <c r="I573">
        <v>1345.8155518000001</v>
      </c>
      <c r="J573">
        <v>1341.3262939000001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208.581954</v>
      </c>
      <c r="B574" s="1">
        <f>DATE(2010,11,25) + TIME(13,58,0)</f>
        <v>40507.581944444442</v>
      </c>
      <c r="C574">
        <v>80</v>
      </c>
      <c r="D574">
        <v>76.292518615999995</v>
      </c>
      <c r="E574">
        <v>50</v>
      </c>
      <c r="F574">
        <v>49.950656891000001</v>
      </c>
      <c r="G574">
        <v>1326.6834716999999</v>
      </c>
      <c r="H574">
        <v>1324.7521973</v>
      </c>
      <c r="I574">
        <v>1345.7932129000001</v>
      </c>
      <c r="J574">
        <v>1341.3057861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209.33116000000001</v>
      </c>
      <c r="B575" s="1">
        <f>DATE(2010,11,26) + TIME(7,56,52)</f>
        <v>40508.331157407411</v>
      </c>
      <c r="C575">
        <v>80</v>
      </c>
      <c r="D575">
        <v>76.203239440999994</v>
      </c>
      <c r="E575">
        <v>50</v>
      </c>
      <c r="F575">
        <v>49.950710297000001</v>
      </c>
      <c r="G575">
        <v>1326.6600341999999</v>
      </c>
      <c r="H575">
        <v>1324.7226562000001</v>
      </c>
      <c r="I575">
        <v>1345.7711182</v>
      </c>
      <c r="J575">
        <v>1341.2855225000001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210.09956399999999</v>
      </c>
      <c r="B576" s="1">
        <f>DATE(2010,11,27) + TIME(2,23,22)</f>
        <v>40509.099560185183</v>
      </c>
      <c r="C576">
        <v>80</v>
      </c>
      <c r="D576">
        <v>76.112823485999996</v>
      </c>
      <c r="E576">
        <v>50</v>
      </c>
      <c r="F576">
        <v>49.950763702000003</v>
      </c>
      <c r="G576">
        <v>1326.6358643000001</v>
      </c>
      <c r="H576">
        <v>1324.6923827999999</v>
      </c>
      <c r="I576">
        <v>1345.7493896000001</v>
      </c>
      <c r="J576">
        <v>1341.2653809000001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210.890692</v>
      </c>
      <c r="B577" s="1">
        <f>DATE(2010,11,27) + TIME(21,22,35)</f>
        <v>40509.890682870369</v>
      </c>
      <c r="C577">
        <v>80</v>
      </c>
      <c r="D577">
        <v>76.020965575999995</v>
      </c>
      <c r="E577">
        <v>50</v>
      </c>
      <c r="F577">
        <v>49.950820923000002</v>
      </c>
      <c r="G577">
        <v>1326.6109618999999</v>
      </c>
      <c r="H577">
        <v>1324.6611327999999</v>
      </c>
      <c r="I577">
        <v>1345.7277832</v>
      </c>
      <c r="J577">
        <v>1341.2454834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211.70377199999999</v>
      </c>
      <c r="B578" s="1">
        <f>DATE(2010,11,28) + TIME(16,53,25)</f>
        <v>40510.703761574077</v>
      </c>
      <c r="C578">
        <v>80</v>
      </c>
      <c r="D578">
        <v>75.927627563000001</v>
      </c>
      <c r="E578">
        <v>50</v>
      </c>
      <c r="F578">
        <v>49.950881957999997</v>
      </c>
      <c r="G578">
        <v>1326.5852050999999</v>
      </c>
      <c r="H578">
        <v>1324.6286620999999</v>
      </c>
      <c r="I578">
        <v>1345.7061768000001</v>
      </c>
      <c r="J578">
        <v>1341.2255858999999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212.54366999999999</v>
      </c>
      <c r="B579" s="1">
        <f>DATE(2010,11,29) + TIME(13,2,53)</f>
        <v>40511.543668981481</v>
      </c>
      <c r="C579">
        <v>80</v>
      </c>
      <c r="D579">
        <v>75.832481384000005</v>
      </c>
      <c r="E579">
        <v>50</v>
      </c>
      <c r="F579">
        <v>49.950942992999998</v>
      </c>
      <c r="G579">
        <v>1326.5584716999999</v>
      </c>
      <c r="H579">
        <v>1324.5949707</v>
      </c>
      <c r="I579">
        <v>1345.6848144999999</v>
      </c>
      <c r="J579">
        <v>1341.2058105000001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213.40673100000001</v>
      </c>
      <c r="B580" s="1">
        <f>DATE(2010,11,30) + TIME(9,45,41)</f>
        <v>40512.406724537039</v>
      </c>
      <c r="C580">
        <v>80</v>
      </c>
      <c r="D580">
        <v>75.735687256000006</v>
      </c>
      <c r="E580">
        <v>50</v>
      </c>
      <c r="F580">
        <v>49.951007842999999</v>
      </c>
      <c r="G580">
        <v>1326.5306396000001</v>
      </c>
      <c r="H580">
        <v>1324.5599365</v>
      </c>
      <c r="I580">
        <v>1345.6633300999999</v>
      </c>
      <c r="J580">
        <v>1341.1860352000001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214</v>
      </c>
      <c r="B581" s="1">
        <f>DATE(2010,12,1) + TIME(0,0,0)</f>
        <v>40513</v>
      </c>
      <c r="C581">
        <v>80</v>
      </c>
      <c r="D581">
        <v>75.658058166999993</v>
      </c>
      <c r="E581">
        <v>50</v>
      </c>
      <c r="F581">
        <v>49.951042174999998</v>
      </c>
      <c r="G581">
        <v>1326.5031738</v>
      </c>
      <c r="H581">
        <v>1324.5253906</v>
      </c>
      <c r="I581">
        <v>1345.6422118999999</v>
      </c>
      <c r="J581">
        <v>1341.166626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214.87291500000001</v>
      </c>
      <c r="B582" s="1">
        <f>DATE(2010,12,1) + TIME(20,56,59)</f>
        <v>40513.87290509259</v>
      </c>
      <c r="C582">
        <v>80</v>
      </c>
      <c r="D582">
        <v>75.565666199000006</v>
      </c>
      <c r="E582">
        <v>50</v>
      </c>
      <c r="F582">
        <v>49.951118469000001</v>
      </c>
      <c r="G582">
        <v>1326.4805908000001</v>
      </c>
      <c r="H582">
        <v>1324.4967041</v>
      </c>
      <c r="I582">
        <v>1345.6275635</v>
      </c>
      <c r="J582">
        <v>1341.1527100000001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215.76145299999999</v>
      </c>
      <c r="B583" s="1">
        <f>DATE(2010,12,2) + TIME(18,16,29)</f>
        <v>40514.761446759258</v>
      </c>
      <c r="C583">
        <v>80</v>
      </c>
      <c r="D583">
        <v>75.470466614000003</v>
      </c>
      <c r="E583">
        <v>50</v>
      </c>
      <c r="F583">
        <v>49.951183319000002</v>
      </c>
      <c r="G583">
        <v>1326.4519043</v>
      </c>
      <c r="H583">
        <v>1324.4604492000001</v>
      </c>
      <c r="I583">
        <v>1345.6072998</v>
      </c>
      <c r="J583">
        <v>1341.1339111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216.664905</v>
      </c>
      <c r="B584" s="1">
        <f>DATE(2010,12,3) + TIME(15,57,27)</f>
        <v>40515.664895833332</v>
      </c>
      <c r="C584">
        <v>80</v>
      </c>
      <c r="D584">
        <v>75.373474121000001</v>
      </c>
      <c r="E584">
        <v>50</v>
      </c>
      <c r="F584">
        <v>49.951251984000002</v>
      </c>
      <c r="G584">
        <v>1326.4219971</v>
      </c>
      <c r="H584">
        <v>1324.4226074000001</v>
      </c>
      <c r="I584">
        <v>1345.5870361</v>
      </c>
      <c r="J584">
        <v>1341.1152344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217.58823699999999</v>
      </c>
      <c r="B585" s="1">
        <f>DATE(2010,12,4) + TIME(14,7,3)</f>
        <v>40516.588229166664</v>
      </c>
      <c r="C585">
        <v>80</v>
      </c>
      <c r="D585">
        <v>75.274986267000003</v>
      </c>
      <c r="E585">
        <v>50</v>
      </c>
      <c r="F585">
        <v>49.951324462999999</v>
      </c>
      <c r="G585">
        <v>1326.3911132999999</v>
      </c>
      <c r="H585">
        <v>1324.3835449000001</v>
      </c>
      <c r="I585">
        <v>1345.5671387</v>
      </c>
      <c r="J585">
        <v>1341.0968018000001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218.53265099999999</v>
      </c>
      <c r="B586" s="1">
        <f>DATE(2010,12,5) + TIME(12,47,1)</f>
        <v>40517.532650462963</v>
      </c>
      <c r="C586">
        <v>80</v>
      </c>
      <c r="D586">
        <v>75.175163268999995</v>
      </c>
      <c r="E586">
        <v>50</v>
      </c>
      <c r="F586">
        <v>49.951396942000002</v>
      </c>
      <c r="G586">
        <v>1326.3592529</v>
      </c>
      <c r="H586">
        <v>1324.3431396000001</v>
      </c>
      <c r="I586">
        <v>1345.5474853999999</v>
      </c>
      <c r="J586">
        <v>1341.0783690999999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219.499877</v>
      </c>
      <c r="B587" s="1">
        <f>DATE(2010,12,6) + TIME(11,59,49)</f>
        <v>40518.499872685185</v>
      </c>
      <c r="C587">
        <v>80</v>
      </c>
      <c r="D587">
        <v>75.074058532999999</v>
      </c>
      <c r="E587">
        <v>50</v>
      </c>
      <c r="F587">
        <v>49.951473235999998</v>
      </c>
      <c r="G587">
        <v>1326.3264160000001</v>
      </c>
      <c r="H587">
        <v>1324.3015137</v>
      </c>
      <c r="I587">
        <v>1345.527832</v>
      </c>
      <c r="J587">
        <v>1341.0601807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220.49484100000001</v>
      </c>
      <c r="B588" s="1">
        <f>DATE(2010,12,7) + TIME(11,52,34)</f>
        <v>40519.494837962964</v>
      </c>
      <c r="C588">
        <v>80</v>
      </c>
      <c r="D588">
        <v>74.971450806000007</v>
      </c>
      <c r="E588">
        <v>50</v>
      </c>
      <c r="F588">
        <v>49.951549530000001</v>
      </c>
      <c r="G588">
        <v>1326.2926024999999</v>
      </c>
      <c r="H588">
        <v>1324.2585449000001</v>
      </c>
      <c r="I588">
        <v>1345.5084228999999</v>
      </c>
      <c r="J588">
        <v>1341.0419922000001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221.519283</v>
      </c>
      <c r="B589" s="1">
        <f>DATE(2010,12,8) + TIME(12,27,46)</f>
        <v>40520.519282407404</v>
      </c>
      <c r="C589">
        <v>80</v>
      </c>
      <c r="D589">
        <v>74.867118834999999</v>
      </c>
      <c r="E589">
        <v>50</v>
      </c>
      <c r="F589">
        <v>49.951629638999997</v>
      </c>
      <c r="G589">
        <v>1326.2574463000001</v>
      </c>
      <c r="H589">
        <v>1324.2139893000001</v>
      </c>
      <c r="I589">
        <v>1345.4890137</v>
      </c>
      <c r="J589">
        <v>1341.0239257999999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222.55901</v>
      </c>
      <c r="B590" s="1">
        <f>DATE(2010,12,9) + TIME(13,24,58)</f>
        <v>40521.559004629627</v>
      </c>
      <c r="C590">
        <v>80</v>
      </c>
      <c r="D590">
        <v>74.761817932</v>
      </c>
      <c r="E590">
        <v>50</v>
      </c>
      <c r="F590">
        <v>49.951709747000002</v>
      </c>
      <c r="G590">
        <v>1326.2211914</v>
      </c>
      <c r="H590">
        <v>1324.1678466999999</v>
      </c>
      <c r="I590">
        <v>1345.4697266000001</v>
      </c>
      <c r="J590">
        <v>1341.0058594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223.60535400000001</v>
      </c>
      <c r="B591" s="1">
        <f>DATE(2010,12,10) + TIME(14,31,42)</f>
        <v>40522.605347222219</v>
      </c>
      <c r="C591">
        <v>80</v>
      </c>
      <c r="D591">
        <v>74.656333923000005</v>
      </c>
      <c r="E591">
        <v>50</v>
      </c>
      <c r="F591">
        <v>49.951793670999997</v>
      </c>
      <c r="G591">
        <v>1326.1839600000001</v>
      </c>
      <c r="H591">
        <v>1324.1206055</v>
      </c>
      <c r="I591">
        <v>1345.4505615</v>
      </c>
      <c r="J591">
        <v>1340.9879149999999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224.66390699999999</v>
      </c>
      <c r="B592" s="1">
        <f>DATE(2010,12,11) + TIME(15,56,1)</f>
        <v>40523.663900462961</v>
      </c>
      <c r="C592">
        <v>80</v>
      </c>
      <c r="D592">
        <v>74.550796508999994</v>
      </c>
      <c r="E592">
        <v>50</v>
      </c>
      <c r="F592">
        <v>49.951877594000003</v>
      </c>
      <c r="G592">
        <v>1326.1462402</v>
      </c>
      <c r="H592">
        <v>1324.0723877</v>
      </c>
      <c r="I592">
        <v>1345.4320068</v>
      </c>
      <c r="J592">
        <v>1340.9704589999999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225.740579</v>
      </c>
      <c r="B593" s="1">
        <f>DATE(2010,12,12) + TIME(17,46,26)</f>
        <v>40524.740578703706</v>
      </c>
      <c r="C593">
        <v>80</v>
      </c>
      <c r="D593">
        <v>74.444999695000007</v>
      </c>
      <c r="E593">
        <v>50</v>
      </c>
      <c r="F593">
        <v>49.951961517000001</v>
      </c>
      <c r="G593">
        <v>1326.1076660000001</v>
      </c>
      <c r="H593">
        <v>1324.0231934000001</v>
      </c>
      <c r="I593">
        <v>1345.4136963000001</v>
      </c>
      <c r="J593">
        <v>1340.9533690999999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226.83902499999999</v>
      </c>
      <c r="B594" s="1">
        <f>DATE(2010,12,13) + TIME(20,8,11)</f>
        <v>40525.839016203703</v>
      </c>
      <c r="C594">
        <v>80</v>
      </c>
      <c r="D594">
        <v>74.338668823000006</v>
      </c>
      <c r="E594">
        <v>50</v>
      </c>
      <c r="F594">
        <v>49.952049254999999</v>
      </c>
      <c r="G594">
        <v>1326.0682373</v>
      </c>
      <c r="H594">
        <v>1323.9727783000001</v>
      </c>
      <c r="I594">
        <v>1345.3956298999999</v>
      </c>
      <c r="J594">
        <v>1340.9362793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227.95792800000001</v>
      </c>
      <c r="B595" s="1">
        <f>DATE(2010,12,14) + TIME(22,59,24)</f>
        <v>40526.957916666666</v>
      </c>
      <c r="C595">
        <v>80</v>
      </c>
      <c r="D595">
        <v>74.231750488000003</v>
      </c>
      <c r="E595">
        <v>50</v>
      </c>
      <c r="F595">
        <v>49.952140808000003</v>
      </c>
      <c r="G595">
        <v>1326.0277100000001</v>
      </c>
      <c r="H595">
        <v>1323.9211425999999</v>
      </c>
      <c r="I595">
        <v>1345.3776855000001</v>
      </c>
      <c r="J595">
        <v>1340.9194336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229.103441</v>
      </c>
      <c r="B596" s="1">
        <f>DATE(2010,12,16) + TIME(2,28,57)</f>
        <v>40528.103437500002</v>
      </c>
      <c r="C596">
        <v>80</v>
      </c>
      <c r="D596">
        <v>74.123977660999998</v>
      </c>
      <c r="E596">
        <v>50</v>
      </c>
      <c r="F596">
        <v>49.952232361</v>
      </c>
      <c r="G596">
        <v>1325.9860839999999</v>
      </c>
      <c r="H596">
        <v>1323.8679199000001</v>
      </c>
      <c r="I596">
        <v>1345.3599853999999</v>
      </c>
      <c r="J596">
        <v>1340.902832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230.28214399999999</v>
      </c>
      <c r="B597" s="1">
        <f>DATE(2010,12,17) + TIME(6,46,17)</f>
        <v>40529.282141203701</v>
      </c>
      <c r="C597">
        <v>80</v>
      </c>
      <c r="D597">
        <v>74.014945983999993</v>
      </c>
      <c r="E597">
        <v>50</v>
      </c>
      <c r="F597">
        <v>49.952327728</v>
      </c>
      <c r="G597">
        <v>1325.9433594</v>
      </c>
      <c r="H597">
        <v>1323.8131103999999</v>
      </c>
      <c r="I597">
        <v>1345.3424072</v>
      </c>
      <c r="J597">
        <v>1340.8861084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231.490881</v>
      </c>
      <c r="B598" s="1">
        <f>DATE(2010,12,18) + TIME(11,46,52)</f>
        <v>40530.490879629629</v>
      </c>
      <c r="C598">
        <v>80</v>
      </c>
      <c r="D598">
        <v>73.904594420999999</v>
      </c>
      <c r="E598">
        <v>50</v>
      </c>
      <c r="F598">
        <v>49.952423095999997</v>
      </c>
      <c r="G598">
        <v>1325.8990478999999</v>
      </c>
      <c r="H598">
        <v>1323.7564697</v>
      </c>
      <c r="I598">
        <v>1345.3248291</v>
      </c>
      <c r="J598">
        <v>1340.8695068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232.719775</v>
      </c>
      <c r="B599" s="1">
        <f>DATE(2010,12,19) + TIME(17,16,28)</f>
        <v>40531.719768518517</v>
      </c>
      <c r="C599">
        <v>80</v>
      </c>
      <c r="D599">
        <v>73.793342589999995</v>
      </c>
      <c r="E599">
        <v>50</v>
      </c>
      <c r="F599">
        <v>49.952522278000004</v>
      </c>
      <c r="G599">
        <v>1325.8532714999999</v>
      </c>
      <c r="H599">
        <v>1323.6977539</v>
      </c>
      <c r="I599">
        <v>1345.307251</v>
      </c>
      <c r="J599">
        <v>1340.8529053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233.95907199999999</v>
      </c>
      <c r="B600" s="1">
        <f>DATE(2010,12,20) + TIME(23,1,3)</f>
        <v>40532.959062499998</v>
      </c>
      <c r="C600">
        <v>80</v>
      </c>
      <c r="D600">
        <v>73.681884765999996</v>
      </c>
      <c r="E600">
        <v>50</v>
      </c>
      <c r="F600">
        <v>49.952621460000003</v>
      </c>
      <c r="G600">
        <v>1325.8063964999999</v>
      </c>
      <c r="H600">
        <v>1323.6376952999999</v>
      </c>
      <c r="I600">
        <v>1345.2899170000001</v>
      </c>
      <c r="J600">
        <v>1340.8365478999999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235.21572900000001</v>
      </c>
      <c r="B601" s="1">
        <f>DATE(2010,12,22) + TIME(5,10,38)</f>
        <v>40534.215717592589</v>
      </c>
      <c r="C601">
        <v>80</v>
      </c>
      <c r="D601">
        <v>73.570373535000002</v>
      </c>
      <c r="E601">
        <v>50</v>
      </c>
      <c r="F601">
        <v>49.952720642000003</v>
      </c>
      <c r="G601">
        <v>1325.7586670000001</v>
      </c>
      <c r="H601">
        <v>1323.5762939000001</v>
      </c>
      <c r="I601">
        <v>1345.2729492000001</v>
      </c>
      <c r="J601">
        <v>1340.8204346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236.49376599999999</v>
      </c>
      <c r="B602" s="1">
        <f>DATE(2010,12,23) + TIME(11,51,1)</f>
        <v>40535.493761574071</v>
      </c>
      <c r="C602">
        <v>80</v>
      </c>
      <c r="D602">
        <v>73.458663939999994</v>
      </c>
      <c r="E602">
        <v>50</v>
      </c>
      <c r="F602">
        <v>49.952823639000002</v>
      </c>
      <c r="G602">
        <v>1325.7099608999999</v>
      </c>
      <c r="H602">
        <v>1323.5136719</v>
      </c>
      <c r="I602">
        <v>1345.2562256000001</v>
      </c>
      <c r="J602">
        <v>1340.8045654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237.79116300000001</v>
      </c>
      <c r="B603" s="1">
        <f>DATE(2010,12,24) + TIME(18,59,16)</f>
        <v>40536.79115740741</v>
      </c>
      <c r="C603">
        <v>80</v>
      </c>
      <c r="D603">
        <v>73.346740722999996</v>
      </c>
      <c r="E603">
        <v>50</v>
      </c>
      <c r="F603">
        <v>49.952926636000001</v>
      </c>
      <c r="G603">
        <v>1325.6600341999999</v>
      </c>
      <c r="H603">
        <v>1323.4494629000001</v>
      </c>
      <c r="I603">
        <v>1345.239624</v>
      </c>
      <c r="J603">
        <v>1340.7888184000001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239.11501899999999</v>
      </c>
      <c r="B604" s="1">
        <f>DATE(2010,12,26) + TIME(2,45,37)</f>
        <v>40538.115011574075</v>
      </c>
      <c r="C604">
        <v>80</v>
      </c>
      <c r="D604">
        <v>73.234375</v>
      </c>
      <c r="E604">
        <v>50</v>
      </c>
      <c r="F604">
        <v>49.953033447000003</v>
      </c>
      <c r="G604">
        <v>1325.6090088000001</v>
      </c>
      <c r="H604">
        <v>1323.3836670000001</v>
      </c>
      <c r="I604">
        <v>1345.2232666</v>
      </c>
      <c r="J604">
        <v>1340.7733154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240.47278399999999</v>
      </c>
      <c r="B605" s="1">
        <f>DATE(2010,12,27) + TIME(11,20,48)</f>
        <v>40539.472777777781</v>
      </c>
      <c r="C605">
        <v>80</v>
      </c>
      <c r="D605">
        <v>73.121162415000001</v>
      </c>
      <c r="E605">
        <v>50</v>
      </c>
      <c r="F605">
        <v>49.953144072999997</v>
      </c>
      <c r="G605">
        <v>1325.5566406</v>
      </c>
      <c r="H605">
        <v>1323.3161620999999</v>
      </c>
      <c r="I605">
        <v>1345.2070312000001</v>
      </c>
      <c r="J605">
        <v>1340.7578125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241.86484400000001</v>
      </c>
      <c r="B606" s="1">
        <f>DATE(2010,12,28) + TIME(20,45,22)</f>
        <v>40540.864837962959</v>
      </c>
      <c r="C606">
        <v>80</v>
      </c>
      <c r="D606">
        <v>73.006835937999995</v>
      </c>
      <c r="E606">
        <v>50</v>
      </c>
      <c r="F606">
        <v>49.953254700000002</v>
      </c>
      <c r="G606">
        <v>1325.5026855000001</v>
      </c>
      <c r="H606">
        <v>1323.2463379000001</v>
      </c>
      <c r="I606">
        <v>1345.190918</v>
      </c>
      <c r="J606">
        <v>1340.7424315999999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243.28144800000001</v>
      </c>
      <c r="B607" s="1">
        <f>DATE(2010,12,30) + TIME(6,45,17)</f>
        <v>40542.281446759262</v>
      </c>
      <c r="C607">
        <v>80</v>
      </c>
      <c r="D607">
        <v>72.891639709000003</v>
      </c>
      <c r="E607">
        <v>50</v>
      </c>
      <c r="F607">
        <v>49.953365325999997</v>
      </c>
      <c r="G607">
        <v>1325.4468993999999</v>
      </c>
      <c r="H607">
        <v>1323.1744385</v>
      </c>
      <c r="I607">
        <v>1345.1748047000001</v>
      </c>
      <c r="J607">
        <v>1340.7270507999999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244.714079</v>
      </c>
      <c r="B608" s="1">
        <f>DATE(2010,12,31) + TIME(17,8,16)</f>
        <v>40543.714074074072</v>
      </c>
      <c r="C608">
        <v>80</v>
      </c>
      <c r="D608">
        <v>72.776107788000004</v>
      </c>
      <c r="E608">
        <v>50</v>
      </c>
      <c r="F608">
        <v>49.953479766999997</v>
      </c>
      <c r="G608">
        <v>1325.3897704999999</v>
      </c>
      <c r="H608">
        <v>1323.1004639</v>
      </c>
      <c r="I608">
        <v>1345.1588135</v>
      </c>
      <c r="J608">
        <v>1340.7117920000001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245</v>
      </c>
      <c r="B609" s="1">
        <f>DATE(2011,1,1) + TIME(0,0,0)</f>
        <v>40544</v>
      </c>
      <c r="C609">
        <v>80</v>
      </c>
      <c r="D609">
        <v>72.731582642000006</v>
      </c>
      <c r="E609">
        <v>50</v>
      </c>
      <c r="F609">
        <v>49.953487396</v>
      </c>
      <c r="G609">
        <v>1325.3410644999999</v>
      </c>
      <c r="H609">
        <v>1323.036499</v>
      </c>
      <c r="I609">
        <v>1345.1445312000001</v>
      </c>
      <c r="J609">
        <v>1340.6989745999999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246.442916</v>
      </c>
      <c r="B610" s="1">
        <f>DATE(2011,1,2) + TIME(10,37,47)</f>
        <v>40545.44290509259</v>
      </c>
      <c r="C610">
        <v>80</v>
      </c>
      <c r="D610">
        <v>72.629478454999997</v>
      </c>
      <c r="E610">
        <v>50</v>
      </c>
      <c r="F610">
        <v>49.953617096000002</v>
      </c>
      <c r="G610">
        <v>1325.3146973</v>
      </c>
      <c r="H610">
        <v>1323.0029297000001</v>
      </c>
      <c r="I610">
        <v>1345.1396483999999</v>
      </c>
      <c r="J610">
        <v>1340.6933594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247.90909199999999</v>
      </c>
      <c r="B611" s="1">
        <f>DATE(2011,1,3) + TIME(21,49,5)</f>
        <v>40546.909085648149</v>
      </c>
      <c r="C611">
        <v>80</v>
      </c>
      <c r="D611">
        <v>72.519676208000007</v>
      </c>
      <c r="E611">
        <v>50</v>
      </c>
      <c r="F611">
        <v>49.953731537000003</v>
      </c>
      <c r="G611">
        <v>1325.2589111</v>
      </c>
      <c r="H611">
        <v>1322.9305420000001</v>
      </c>
      <c r="I611">
        <v>1345.1246338000001</v>
      </c>
      <c r="J611">
        <v>1340.6790771000001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249.40264199999999</v>
      </c>
      <c r="B612" s="1">
        <f>DATE(2011,1,5) + TIME(9,39,48)</f>
        <v>40548.402638888889</v>
      </c>
      <c r="C612">
        <v>80</v>
      </c>
      <c r="D612">
        <v>72.406471252000003</v>
      </c>
      <c r="E612">
        <v>50</v>
      </c>
      <c r="F612">
        <v>49.953849792</v>
      </c>
      <c r="G612">
        <v>1325.1993408000001</v>
      </c>
      <c r="H612">
        <v>1322.8533935999999</v>
      </c>
      <c r="I612">
        <v>1345.1094971</v>
      </c>
      <c r="J612">
        <v>1340.6646728999999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250.93221</v>
      </c>
      <c r="B613" s="1">
        <f>DATE(2011,1,6) + TIME(22,22,22)</f>
        <v>40549.932199074072</v>
      </c>
      <c r="C613">
        <v>80</v>
      </c>
      <c r="D613">
        <v>72.291290282999995</v>
      </c>
      <c r="E613">
        <v>50</v>
      </c>
      <c r="F613">
        <v>49.953968048</v>
      </c>
      <c r="G613">
        <v>1325.1375731999999</v>
      </c>
      <c r="H613">
        <v>1322.7733154</v>
      </c>
      <c r="I613">
        <v>1345.0943603999999</v>
      </c>
      <c r="J613">
        <v>1340.6502685999999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252.49274800000001</v>
      </c>
      <c r="B614" s="1">
        <f>DATE(2011,1,8) + TIME(11,49,33)</f>
        <v>40551.492743055554</v>
      </c>
      <c r="C614">
        <v>80</v>
      </c>
      <c r="D614">
        <v>72.174690247000001</v>
      </c>
      <c r="E614">
        <v>50</v>
      </c>
      <c r="F614">
        <v>49.954090118000003</v>
      </c>
      <c r="G614">
        <v>1325.0738524999999</v>
      </c>
      <c r="H614">
        <v>1322.6904297000001</v>
      </c>
      <c r="I614">
        <v>1345.0793457</v>
      </c>
      <c r="J614">
        <v>1340.6358643000001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254.09238500000001</v>
      </c>
      <c r="B615" s="1">
        <f>DATE(2011,1,10) + TIME(2,13,2)</f>
        <v>40553.09238425926</v>
      </c>
      <c r="C615">
        <v>80</v>
      </c>
      <c r="D615">
        <v>72.056793213000006</v>
      </c>
      <c r="E615">
        <v>50</v>
      </c>
      <c r="F615">
        <v>49.954216002999999</v>
      </c>
      <c r="G615">
        <v>1325.0083007999999</v>
      </c>
      <c r="H615">
        <v>1322.6049805</v>
      </c>
      <c r="I615">
        <v>1345.0644531</v>
      </c>
      <c r="J615">
        <v>1340.621582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255.717173</v>
      </c>
      <c r="B616" s="1">
        <f>DATE(2011,1,11) + TIME(17,12,43)</f>
        <v>40554.717164351852</v>
      </c>
      <c r="C616">
        <v>80</v>
      </c>
      <c r="D616">
        <v>71.937828064000001</v>
      </c>
      <c r="E616">
        <v>50</v>
      </c>
      <c r="F616">
        <v>49.954341888000002</v>
      </c>
      <c r="G616">
        <v>1324.9407959</v>
      </c>
      <c r="H616">
        <v>1322.5168457</v>
      </c>
      <c r="I616">
        <v>1345.0495605000001</v>
      </c>
      <c r="J616">
        <v>1340.6072998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257.34982600000001</v>
      </c>
      <c r="B617" s="1">
        <f>DATE(2011,1,13) + TIME(8,23,45)</f>
        <v>40556.349826388891</v>
      </c>
      <c r="C617">
        <v>80</v>
      </c>
      <c r="D617">
        <v>71.818603515999996</v>
      </c>
      <c r="E617">
        <v>50</v>
      </c>
      <c r="F617">
        <v>49.954467772999998</v>
      </c>
      <c r="G617">
        <v>1324.871582</v>
      </c>
      <c r="H617">
        <v>1322.4266356999999</v>
      </c>
      <c r="I617">
        <v>1345.0347899999999</v>
      </c>
      <c r="J617">
        <v>1340.5932617000001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258.99940500000002</v>
      </c>
      <c r="B618" s="1">
        <f>DATE(2011,1,14) + TIME(23,59,8)</f>
        <v>40557.999398148146</v>
      </c>
      <c r="C618">
        <v>80</v>
      </c>
      <c r="D618">
        <v>71.699493407999995</v>
      </c>
      <c r="E618">
        <v>50</v>
      </c>
      <c r="F618">
        <v>49.954593658</v>
      </c>
      <c r="G618">
        <v>1324.8013916</v>
      </c>
      <c r="H618">
        <v>1322.3348389</v>
      </c>
      <c r="I618">
        <v>1345.0202637</v>
      </c>
      <c r="J618">
        <v>1340.5794678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260.67502200000001</v>
      </c>
      <c r="B619" s="1">
        <f>DATE(2011,1,16) + TIME(16,12,1)</f>
        <v>40559.675011574072</v>
      </c>
      <c r="C619">
        <v>80</v>
      </c>
      <c r="D619">
        <v>71.580169678000004</v>
      </c>
      <c r="E619">
        <v>50</v>
      </c>
      <c r="F619">
        <v>49.954719543000003</v>
      </c>
      <c r="G619">
        <v>1324.7299805</v>
      </c>
      <c r="H619">
        <v>1322.2413329999999</v>
      </c>
      <c r="I619">
        <v>1345.0061035000001</v>
      </c>
      <c r="J619">
        <v>1340.5657959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262.38620700000001</v>
      </c>
      <c r="B620" s="1">
        <f>DATE(2011,1,18) + TIME(9,16,8)</f>
        <v>40561.386203703703</v>
      </c>
      <c r="C620">
        <v>80</v>
      </c>
      <c r="D620">
        <v>71.460037231000001</v>
      </c>
      <c r="E620">
        <v>50</v>
      </c>
      <c r="F620">
        <v>49.954849242999998</v>
      </c>
      <c r="G620">
        <v>1324.6571045000001</v>
      </c>
      <c r="H620">
        <v>1322.145874</v>
      </c>
      <c r="I620">
        <v>1344.9919434000001</v>
      </c>
      <c r="J620">
        <v>1340.5523682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264.13172900000001</v>
      </c>
      <c r="B621" s="1">
        <f>DATE(2011,1,20) + TIME(3,9,41)</f>
        <v>40563.131724537037</v>
      </c>
      <c r="C621">
        <v>80</v>
      </c>
      <c r="D621">
        <v>71.338653563999998</v>
      </c>
      <c r="E621">
        <v>50</v>
      </c>
      <c r="F621">
        <v>49.954982758</v>
      </c>
      <c r="G621">
        <v>1324.5823975000001</v>
      </c>
      <c r="H621">
        <v>1322.0478516000001</v>
      </c>
      <c r="I621">
        <v>1344.9779053</v>
      </c>
      <c r="J621">
        <v>1340.5389404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265.91459800000001</v>
      </c>
      <c r="B622" s="1">
        <f>DATE(2011,1,21) + TIME(21,57,1)</f>
        <v>40564.914594907408</v>
      </c>
      <c r="C622">
        <v>80</v>
      </c>
      <c r="D622">
        <v>71.215759277000004</v>
      </c>
      <c r="E622">
        <v>50</v>
      </c>
      <c r="F622">
        <v>49.955116271999998</v>
      </c>
      <c r="G622">
        <v>1324.5057373</v>
      </c>
      <c r="H622">
        <v>1321.9471435999999</v>
      </c>
      <c r="I622">
        <v>1344.9638672000001</v>
      </c>
      <c r="J622">
        <v>1340.5255127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267.73840799999999</v>
      </c>
      <c r="B623" s="1">
        <f>DATE(2011,1,23) + TIME(17,43,18)</f>
        <v>40566.738402777781</v>
      </c>
      <c r="C623">
        <v>80</v>
      </c>
      <c r="D623">
        <v>71.091049193999993</v>
      </c>
      <c r="E623">
        <v>50</v>
      </c>
      <c r="F623">
        <v>49.955249786000003</v>
      </c>
      <c r="G623">
        <v>1324.427124</v>
      </c>
      <c r="H623">
        <v>1321.8436279</v>
      </c>
      <c r="I623">
        <v>1344.9499512</v>
      </c>
      <c r="J623">
        <v>1340.5123291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269.57194700000002</v>
      </c>
      <c r="B624" s="1">
        <f>DATE(2011,1,25) + TIME(13,43,36)</f>
        <v>40568.571944444448</v>
      </c>
      <c r="C624">
        <v>80</v>
      </c>
      <c r="D624">
        <v>70.964889525999993</v>
      </c>
      <c r="E624">
        <v>50</v>
      </c>
      <c r="F624">
        <v>49.955387115000001</v>
      </c>
      <c r="G624">
        <v>1324.3463135</v>
      </c>
      <c r="H624">
        <v>1321.7371826000001</v>
      </c>
      <c r="I624">
        <v>1344.9360352000001</v>
      </c>
      <c r="J624">
        <v>1340.4990233999999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271.42562700000002</v>
      </c>
      <c r="B625" s="1">
        <f>DATE(2011,1,27) + TIME(10,12,54)</f>
        <v>40570.425625000003</v>
      </c>
      <c r="C625">
        <v>80</v>
      </c>
      <c r="D625">
        <v>70.837852478000002</v>
      </c>
      <c r="E625">
        <v>50</v>
      </c>
      <c r="F625">
        <v>49.955520630000002</v>
      </c>
      <c r="G625">
        <v>1324.2641602000001</v>
      </c>
      <c r="H625">
        <v>1321.6289062000001</v>
      </c>
      <c r="I625">
        <v>1344.9223632999999</v>
      </c>
      <c r="J625">
        <v>1340.4860839999999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273.308832</v>
      </c>
      <c r="B626" s="1">
        <f>DATE(2011,1,29) + TIME(7,24,43)</f>
        <v>40572.308831018519</v>
      </c>
      <c r="C626">
        <v>80</v>
      </c>
      <c r="D626">
        <v>70.709518433</v>
      </c>
      <c r="E626">
        <v>50</v>
      </c>
      <c r="F626">
        <v>49.955657959</v>
      </c>
      <c r="G626">
        <v>1324.1807861</v>
      </c>
      <c r="H626">
        <v>1321.5185547000001</v>
      </c>
      <c r="I626">
        <v>1344.9089355000001</v>
      </c>
      <c r="J626">
        <v>1340.4732666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275.21931499999999</v>
      </c>
      <c r="B627" s="1">
        <f>DATE(2011,1,31) + TIME(5,15,48)</f>
        <v>40574.219305555554</v>
      </c>
      <c r="C627">
        <v>80</v>
      </c>
      <c r="D627">
        <v>70.579399108999993</v>
      </c>
      <c r="E627">
        <v>50</v>
      </c>
      <c r="F627">
        <v>49.955795287999997</v>
      </c>
      <c r="G627">
        <v>1324.0957031</v>
      </c>
      <c r="H627">
        <v>1321.4060059000001</v>
      </c>
      <c r="I627">
        <v>1344.8955077999999</v>
      </c>
      <c r="J627">
        <v>1340.4605713000001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276</v>
      </c>
      <c r="B628" s="1">
        <f>DATE(2011,2,1) + TIME(0,0,0)</f>
        <v>40575</v>
      </c>
      <c r="C628">
        <v>80</v>
      </c>
      <c r="D628">
        <v>70.487693786999998</v>
      </c>
      <c r="E628">
        <v>50</v>
      </c>
      <c r="F628">
        <v>49.955844878999997</v>
      </c>
      <c r="G628">
        <v>1324.0151367000001</v>
      </c>
      <c r="H628">
        <v>1321.2998047000001</v>
      </c>
      <c r="I628">
        <v>1344.8826904</v>
      </c>
      <c r="J628">
        <v>1340.4488524999999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277.94154900000001</v>
      </c>
      <c r="B629" s="1">
        <f>DATE(2011,2,2) + TIME(22,35,49)</f>
        <v>40576.94153935185</v>
      </c>
      <c r="C629">
        <v>80</v>
      </c>
      <c r="D629">
        <v>70.381668090999995</v>
      </c>
      <c r="E629">
        <v>50</v>
      </c>
      <c r="F629">
        <v>49.955993651999997</v>
      </c>
      <c r="G629">
        <v>1323.9631348</v>
      </c>
      <c r="H629">
        <v>1321.2287598</v>
      </c>
      <c r="I629">
        <v>1344.8765868999999</v>
      </c>
      <c r="J629">
        <v>1340.4425048999999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279.94636700000001</v>
      </c>
      <c r="B630" s="1">
        <f>DATE(2011,2,4) + TIME(22,42,46)</f>
        <v>40578.94636574074</v>
      </c>
      <c r="C630">
        <v>80</v>
      </c>
      <c r="D630">
        <v>70.254013061999999</v>
      </c>
      <c r="E630">
        <v>50</v>
      </c>
      <c r="F630">
        <v>49.956134796000001</v>
      </c>
      <c r="G630">
        <v>1323.8818358999999</v>
      </c>
      <c r="H630">
        <v>1321.1217041</v>
      </c>
      <c r="I630">
        <v>1344.8637695</v>
      </c>
      <c r="J630">
        <v>1340.4305420000001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281.98049300000002</v>
      </c>
      <c r="B631" s="1">
        <f>DATE(2011,2,6) + TIME(23,31,54)</f>
        <v>40580.980486111112</v>
      </c>
      <c r="C631">
        <v>80</v>
      </c>
      <c r="D631">
        <v>70.116630553999997</v>
      </c>
      <c r="E631">
        <v>50</v>
      </c>
      <c r="F631">
        <v>49.956275939999998</v>
      </c>
      <c r="G631">
        <v>1323.7923584</v>
      </c>
      <c r="H631">
        <v>1321.0029297000001</v>
      </c>
      <c r="I631">
        <v>1344.8507079999999</v>
      </c>
      <c r="J631">
        <v>1340.4182129000001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284.03286600000001</v>
      </c>
      <c r="B632" s="1">
        <f>DATE(2011,2,9) + TIME(0,47,19)</f>
        <v>40583.032858796294</v>
      </c>
      <c r="C632">
        <v>80</v>
      </c>
      <c r="D632">
        <v>69.974197387999993</v>
      </c>
      <c r="E632">
        <v>50</v>
      </c>
      <c r="F632">
        <v>49.956417084000002</v>
      </c>
      <c r="G632">
        <v>1323.6993408000001</v>
      </c>
      <c r="H632">
        <v>1320.8791504000001</v>
      </c>
      <c r="I632">
        <v>1344.8375243999999</v>
      </c>
      <c r="J632">
        <v>1340.4060059000001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286.11561399999999</v>
      </c>
      <c r="B633" s="1">
        <f>DATE(2011,2,11) + TIME(2,46,29)</f>
        <v>40585.115613425929</v>
      </c>
      <c r="C633">
        <v>80</v>
      </c>
      <c r="D633">
        <v>69.827804564999994</v>
      </c>
      <c r="E633">
        <v>50</v>
      </c>
      <c r="F633">
        <v>49.956562042000002</v>
      </c>
      <c r="G633">
        <v>1323.6046143000001</v>
      </c>
      <c r="H633">
        <v>1320.7525635</v>
      </c>
      <c r="I633">
        <v>1344.824707</v>
      </c>
      <c r="J633">
        <v>1340.3939209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288.22175900000002</v>
      </c>
      <c r="B634" s="1">
        <f>DATE(2011,2,13) + TIME(5,19,19)</f>
        <v>40587.221747685187</v>
      </c>
      <c r="C634">
        <v>80</v>
      </c>
      <c r="D634">
        <v>69.677360535000005</v>
      </c>
      <c r="E634">
        <v>50</v>
      </c>
      <c r="F634">
        <v>49.956707000999998</v>
      </c>
      <c r="G634">
        <v>1323.5080565999999</v>
      </c>
      <c r="H634">
        <v>1320.6234131000001</v>
      </c>
      <c r="I634">
        <v>1344.8117675999999</v>
      </c>
      <c r="J634">
        <v>1340.3819579999999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290.35664500000001</v>
      </c>
      <c r="B635" s="1">
        <f>DATE(2011,2,15) + TIME(8,33,34)</f>
        <v>40589.35664351852</v>
      </c>
      <c r="C635">
        <v>80</v>
      </c>
      <c r="D635">
        <v>69.522644043</v>
      </c>
      <c r="E635">
        <v>50</v>
      </c>
      <c r="F635">
        <v>49.956851958999998</v>
      </c>
      <c r="G635">
        <v>1323.4099120999999</v>
      </c>
      <c r="H635">
        <v>1320.4919434000001</v>
      </c>
      <c r="I635">
        <v>1344.7990723</v>
      </c>
      <c r="J635">
        <v>1340.3702393000001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292.532239</v>
      </c>
      <c r="B636" s="1">
        <f>DATE(2011,2,17) + TIME(12,46,25)</f>
        <v>40591.532233796293</v>
      </c>
      <c r="C636">
        <v>80</v>
      </c>
      <c r="D636">
        <v>69.362831115999995</v>
      </c>
      <c r="E636">
        <v>50</v>
      </c>
      <c r="F636">
        <v>49.956996918000002</v>
      </c>
      <c r="G636">
        <v>1323.3103027</v>
      </c>
      <c r="H636">
        <v>1320.3581543</v>
      </c>
      <c r="I636">
        <v>1344.786499</v>
      </c>
      <c r="J636">
        <v>1340.3585204999999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294.761281</v>
      </c>
      <c r="B637" s="1">
        <f>DATE(2011,2,19) + TIME(18,16,14)</f>
        <v>40593.761273148149</v>
      </c>
      <c r="C637">
        <v>80</v>
      </c>
      <c r="D637">
        <v>69.196670531999999</v>
      </c>
      <c r="E637">
        <v>50</v>
      </c>
      <c r="F637">
        <v>49.957145691000001</v>
      </c>
      <c r="G637">
        <v>1323.2087402</v>
      </c>
      <c r="H637">
        <v>1320.2214355000001</v>
      </c>
      <c r="I637">
        <v>1344.7739257999999</v>
      </c>
      <c r="J637">
        <v>1340.3469238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297.02878099999998</v>
      </c>
      <c r="B638" s="1">
        <f>DATE(2011,2,22) + TIME(0,41,26)</f>
        <v>40596.028773148151</v>
      </c>
      <c r="C638">
        <v>80</v>
      </c>
      <c r="D638">
        <v>69.023139954000001</v>
      </c>
      <c r="E638">
        <v>50</v>
      </c>
      <c r="F638">
        <v>49.957294464</v>
      </c>
      <c r="G638">
        <v>1323.1046143000001</v>
      </c>
      <c r="H638">
        <v>1320.0810547000001</v>
      </c>
      <c r="I638">
        <v>1344.7612305</v>
      </c>
      <c r="J638">
        <v>1340.3353271000001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299.32266800000002</v>
      </c>
      <c r="B639" s="1">
        <f>DATE(2011,2,24) + TIME(7,44,38)</f>
        <v>40598.322662037041</v>
      </c>
      <c r="C639">
        <v>80</v>
      </c>
      <c r="D639">
        <v>68.842254639000004</v>
      </c>
      <c r="E639">
        <v>50</v>
      </c>
      <c r="F639">
        <v>49.957443237</v>
      </c>
      <c r="G639">
        <v>1322.9984131000001</v>
      </c>
      <c r="H639">
        <v>1319.9376221</v>
      </c>
      <c r="I639">
        <v>1344.7485352000001</v>
      </c>
      <c r="J639">
        <v>1340.3237305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301.63290599999999</v>
      </c>
      <c r="B640" s="1">
        <f>DATE(2011,2,26) + TIME(15,11,23)</f>
        <v>40600.632905092592</v>
      </c>
      <c r="C640">
        <v>80</v>
      </c>
      <c r="D640">
        <v>68.654266356999997</v>
      </c>
      <c r="E640">
        <v>50</v>
      </c>
      <c r="F640">
        <v>49.957592009999999</v>
      </c>
      <c r="G640">
        <v>1322.890625</v>
      </c>
      <c r="H640">
        <v>1319.7917480000001</v>
      </c>
      <c r="I640">
        <v>1344.7360839999999</v>
      </c>
      <c r="J640">
        <v>1340.3123779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304</v>
      </c>
      <c r="B641" s="1">
        <f>DATE(2011,3,1) + TIME(0,0,0)</f>
        <v>40603</v>
      </c>
      <c r="C641">
        <v>80</v>
      </c>
      <c r="D641">
        <v>68.458412170000003</v>
      </c>
      <c r="E641">
        <v>50</v>
      </c>
      <c r="F641">
        <v>49.957744597999998</v>
      </c>
      <c r="G641">
        <v>1322.7817382999999</v>
      </c>
      <c r="H641">
        <v>1319.6439209</v>
      </c>
      <c r="I641">
        <v>1344.7236327999999</v>
      </c>
      <c r="J641">
        <v>1340.3011475000001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306.337177</v>
      </c>
      <c r="B642" s="1">
        <f>DATE(2011,3,3) + TIME(8,5,32)</f>
        <v>40605.337175925924</v>
      </c>
      <c r="C642">
        <v>80</v>
      </c>
      <c r="D642">
        <v>68.253952025999993</v>
      </c>
      <c r="E642">
        <v>50</v>
      </c>
      <c r="F642">
        <v>49.957889557000001</v>
      </c>
      <c r="G642">
        <v>1322.6708983999999</v>
      </c>
      <c r="H642">
        <v>1319.4931641000001</v>
      </c>
      <c r="I642">
        <v>1344.7111815999999</v>
      </c>
      <c r="J642">
        <v>1340.2899170000001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308.74498699999998</v>
      </c>
      <c r="B643" s="1">
        <f>DATE(2011,3,5) + TIME(17,52,46)</f>
        <v>40607.744976851849</v>
      </c>
      <c r="C643">
        <v>80</v>
      </c>
      <c r="D643">
        <v>68.042228699000006</v>
      </c>
      <c r="E643">
        <v>50</v>
      </c>
      <c r="F643">
        <v>49.958042145</v>
      </c>
      <c r="G643">
        <v>1322.5603027</v>
      </c>
      <c r="H643">
        <v>1319.3420410000001</v>
      </c>
      <c r="I643">
        <v>1344.6990966999999</v>
      </c>
      <c r="J643">
        <v>1340.2790527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311.18516899999997</v>
      </c>
      <c r="B644" s="1">
        <f>DATE(2011,3,8) + TIME(4,26,38)</f>
        <v>40610.185162037036</v>
      </c>
      <c r="C644">
        <v>80</v>
      </c>
      <c r="D644">
        <v>67.819099425999994</v>
      </c>
      <c r="E644">
        <v>50</v>
      </c>
      <c r="F644">
        <v>49.958190918</v>
      </c>
      <c r="G644">
        <v>1322.4476318</v>
      </c>
      <c r="H644">
        <v>1319.1879882999999</v>
      </c>
      <c r="I644">
        <v>1344.6867675999999</v>
      </c>
      <c r="J644">
        <v>1340.2680664</v>
      </c>
      <c r="K644">
        <v>0</v>
      </c>
      <c r="L644">
        <v>2400</v>
      </c>
      <c r="M644">
        <v>2400</v>
      </c>
      <c r="N644">
        <v>0</v>
      </c>
    </row>
    <row r="645" spans="1:14" x14ac:dyDescent="0.25">
      <c r="A645">
        <v>313.66064399999999</v>
      </c>
      <c r="B645" s="1">
        <f>DATE(2011,3,10) + TIME(15,51,19)</f>
        <v>40612.660636574074</v>
      </c>
      <c r="C645">
        <v>80</v>
      </c>
      <c r="D645">
        <v>67.584793090999995</v>
      </c>
      <c r="E645">
        <v>50</v>
      </c>
      <c r="F645">
        <v>49.958343505999999</v>
      </c>
      <c r="G645">
        <v>1322.333374</v>
      </c>
      <c r="H645">
        <v>1319.0313721</v>
      </c>
      <c r="I645">
        <v>1344.6745605000001</v>
      </c>
      <c r="J645">
        <v>1340.2572021000001</v>
      </c>
      <c r="K645">
        <v>0</v>
      </c>
      <c r="L645">
        <v>2400</v>
      </c>
      <c r="M645">
        <v>2400</v>
      </c>
      <c r="N645">
        <v>0</v>
      </c>
    </row>
    <row r="646" spans="1:14" x14ac:dyDescent="0.25">
      <c r="A646">
        <v>316.16490599999997</v>
      </c>
      <c r="B646" s="1">
        <f>DATE(2011,3,13) + TIME(3,57,27)</f>
        <v>40615.164895833332</v>
      </c>
      <c r="C646">
        <v>80</v>
      </c>
      <c r="D646">
        <v>67.338836670000006</v>
      </c>
      <c r="E646">
        <v>50</v>
      </c>
      <c r="F646">
        <v>49.958492278999998</v>
      </c>
      <c r="G646">
        <v>1322.2176514</v>
      </c>
      <c r="H646">
        <v>1318.8724365</v>
      </c>
      <c r="I646">
        <v>1344.6623535000001</v>
      </c>
      <c r="J646">
        <v>1340.2464600000001</v>
      </c>
      <c r="K646">
        <v>0</v>
      </c>
      <c r="L646">
        <v>2400</v>
      </c>
      <c r="M646">
        <v>2400</v>
      </c>
      <c r="N646">
        <v>0</v>
      </c>
    </row>
    <row r="647" spans="1:14" x14ac:dyDescent="0.25">
      <c r="A647">
        <v>318.690448</v>
      </c>
      <c r="B647" s="1">
        <f>DATE(2011,3,15) + TIME(16,34,14)</f>
        <v>40617.690439814818</v>
      </c>
      <c r="C647">
        <v>80</v>
      </c>
      <c r="D647">
        <v>67.081169127999999</v>
      </c>
      <c r="E647">
        <v>50</v>
      </c>
      <c r="F647">
        <v>49.958644866999997</v>
      </c>
      <c r="G647">
        <v>1322.1009521000001</v>
      </c>
      <c r="H647">
        <v>1318.7115478999999</v>
      </c>
      <c r="I647">
        <v>1344.6501464999999</v>
      </c>
      <c r="J647">
        <v>1340.2358397999999</v>
      </c>
      <c r="K647">
        <v>0</v>
      </c>
      <c r="L647">
        <v>2400</v>
      </c>
      <c r="M647">
        <v>2400</v>
      </c>
      <c r="N647">
        <v>0</v>
      </c>
    </row>
    <row r="648" spans="1:14" x14ac:dyDescent="0.25">
      <c r="A648">
        <v>321.241466</v>
      </c>
      <c r="B648" s="1">
        <f>DATE(2011,3,18) + TIME(5,47,42)</f>
        <v>40620.24145833333</v>
      </c>
      <c r="C648">
        <v>80</v>
      </c>
      <c r="D648">
        <v>66.811676024999997</v>
      </c>
      <c r="E648">
        <v>50</v>
      </c>
      <c r="F648">
        <v>49.958793640000003</v>
      </c>
      <c r="G648">
        <v>1321.9835204999999</v>
      </c>
      <c r="H648">
        <v>1318.5493164</v>
      </c>
      <c r="I648">
        <v>1344.6380615</v>
      </c>
      <c r="J648">
        <v>1340.2252197</v>
      </c>
      <c r="K648">
        <v>0</v>
      </c>
      <c r="L648">
        <v>2400</v>
      </c>
      <c r="M648">
        <v>2400</v>
      </c>
      <c r="N648">
        <v>0</v>
      </c>
    </row>
    <row r="649" spans="1:14" x14ac:dyDescent="0.25">
      <c r="A649">
        <v>323.81614500000001</v>
      </c>
      <c r="B649" s="1">
        <f>DATE(2011,3,20) + TIME(19,35,14)</f>
        <v>40622.816134259258</v>
      </c>
      <c r="C649">
        <v>80</v>
      </c>
      <c r="D649">
        <v>66.529731749999996</v>
      </c>
      <c r="E649">
        <v>50</v>
      </c>
      <c r="F649">
        <v>49.958942413000003</v>
      </c>
      <c r="G649">
        <v>1321.8654785000001</v>
      </c>
      <c r="H649">
        <v>1318.3857422000001</v>
      </c>
      <c r="I649">
        <v>1344.6260986</v>
      </c>
      <c r="J649">
        <v>1340.2148437999999</v>
      </c>
      <c r="K649">
        <v>0</v>
      </c>
      <c r="L649">
        <v>2400</v>
      </c>
      <c r="M649">
        <v>2400</v>
      </c>
      <c r="N649">
        <v>0</v>
      </c>
    </row>
    <row r="650" spans="1:14" x14ac:dyDescent="0.25">
      <c r="A650">
        <v>326.42105900000001</v>
      </c>
      <c r="B650" s="1">
        <f>DATE(2011,3,23) + TIME(10,6,19)</f>
        <v>40625.421053240738</v>
      </c>
      <c r="C650">
        <v>80</v>
      </c>
      <c r="D650">
        <v>66.234748839999995</v>
      </c>
      <c r="E650">
        <v>50</v>
      </c>
      <c r="F650">
        <v>49.959095001000001</v>
      </c>
      <c r="G650">
        <v>1321.7470702999999</v>
      </c>
      <c r="H650">
        <v>1318.2209473</v>
      </c>
      <c r="I650">
        <v>1344.6140137</v>
      </c>
      <c r="J650">
        <v>1340.2044678</v>
      </c>
      <c r="K650">
        <v>0</v>
      </c>
      <c r="L650">
        <v>2400</v>
      </c>
      <c r="M650">
        <v>2400</v>
      </c>
      <c r="N650">
        <v>0</v>
      </c>
    </row>
    <row r="651" spans="1:14" x14ac:dyDescent="0.25">
      <c r="A651">
        <v>329.06288699999999</v>
      </c>
      <c r="B651" s="1">
        <f>DATE(2011,3,26) + TIME(1,30,33)</f>
        <v>40628.062881944446</v>
      </c>
      <c r="C651">
        <v>80</v>
      </c>
      <c r="D651">
        <v>65.925704956000004</v>
      </c>
      <c r="E651">
        <v>50</v>
      </c>
      <c r="F651">
        <v>49.959243774000001</v>
      </c>
      <c r="G651">
        <v>1321.6279297000001</v>
      </c>
      <c r="H651">
        <v>1318.0548096</v>
      </c>
      <c r="I651">
        <v>1344.6020507999999</v>
      </c>
      <c r="J651">
        <v>1340.1940918</v>
      </c>
      <c r="K651">
        <v>0</v>
      </c>
      <c r="L651">
        <v>2400</v>
      </c>
      <c r="M651">
        <v>2400</v>
      </c>
      <c r="N651">
        <v>0</v>
      </c>
    </row>
    <row r="652" spans="1:14" x14ac:dyDescent="0.25">
      <c r="A652">
        <v>331.74620499999997</v>
      </c>
      <c r="B652" s="1">
        <f>DATE(2011,3,28) + TIME(17,54,32)</f>
        <v>40630.746203703704</v>
      </c>
      <c r="C652">
        <v>80</v>
      </c>
      <c r="D652">
        <v>65.601448059000006</v>
      </c>
      <c r="E652">
        <v>50</v>
      </c>
      <c r="F652">
        <v>49.959396362</v>
      </c>
      <c r="G652">
        <v>1321.5080565999999</v>
      </c>
      <c r="H652">
        <v>1317.8870850000001</v>
      </c>
      <c r="I652">
        <v>1344.5900879000001</v>
      </c>
      <c r="J652">
        <v>1340.1838379000001</v>
      </c>
      <c r="K652">
        <v>0</v>
      </c>
      <c r="L652">
        <v>2400</v>
      </c>
      <c r="M652">
        <v>2400</v>
      </c>
      <c r="N652">
        <v>0</v>
      </c>
    </row>
    <row r="653" spans="1:14" x14ac:dyDescent="0.25">
      <c r="A653">
        <v>334.47522099999998</v>
      </c>
      <c r="B653" s="1">
        <f>DATE(2011,3,31) + TIME(11,24,19)</f>
        <v>40633.475219907406</v>
      </c>
      <c r="C653">
        <v>80</v>
      </c>
      <c r="D653">
        <v>65.260948181000003</v>
      </c>
      <c r="E653">
        <v>50</v>
      </c>
      <c r="F653">
        <v>49.959548949999999</v>
      </c>
      <c r="G653">
        <v>1321.3874512</v>
      </c>
      <c r="H653">
        <v>1317.7177733999999</v>
      </c>
      <c r="I653">
        <v>1344.5780029</v>
      </c>
      <c r="J653">
        <v>1340.1735839999999</v>
      </c>
      <c r="K653">
        <v>0</v>
      </c>
      <c r="L653">
        <v>2400</v>
      </c>
      <c r="M653">
        <v>2400</v>
      </c>
      <c r="N653">
        <v>0</v>
      </c>
    </row>
    <row r="654" spans="1:14" x14ac:dyDescent="0.25">
      <c r="A654">
        <v>335</v>
      </c>
      <c r="B654" s="1">
        <f>DATE(2011,4,1) + TIME(0,0,0)</f>
        <v>40634</v>
      </c>
      <c r="C654">
        <v>80</v>
      </c>
      <c r="D654">
        <v>65.063850403000004</v>
      </c>
      <c r="E654">
        <v>50</v>
      </c>
      <c r="F654">
        <v>49.959564209</v>
      </c>
      <c r="G654">
        <v>1321.2768555</v>
      </c>
      <c r="H654">
        <v>1317.5692139</v>
      </c>
      <c r="I654">
        <v>1344.567749</v>
      </c>
      <c r="J654">
        <v>1340.1651611</v>
      </c>
      <c r="K654">
        <v>0</v>
      </c>
      <c r="L654">
        <v>2400</v>
      </c>
      <c r="M654">
        <v>2400</v>
      </c>
      <c r="N654">
        <v>0</v>
      </c>
    </row>
    <row r="655" spans="1:14" x14ac:dyDescent="0.25">
      <c r="A655">
        <v>337.77761199999998</v>
      </c>
      <c r="B655" s="1">
        <f>DATE(2011,4,3) + TIME(18,39,45)</f>
        <v>40636.777604166666</v>
      </c>
      <c r="C655">
        <v>80</v>
      </c>
      <c r="D655">
        <v>64.807861328000001</v>
      </c>
      <c r="E655">
        <v>50</v>
      </c>
      <c r="F655">
        <v>49.959728241000001</v>
      </c>
      <c r="G655">
        <v>1321.2274170000001</v>
      </c>
      <c r="H655">
        <v>1317.489624</v>
      </c>
      <c r="I655">
        <v>1344.5632324000001</v>
      </c>
      <c r="J655">
        <v>1340.1608887</v>
      </c>
      <c r="K655">
        <v>0</v>
      </c>
      <c r="L655">
        <v>2400</v>
      </c>
      <c r="M655">
        <v>2400</v>
      </c>
      <c r="N655">
        <v>0</v>
      </c>
    </row>
    <row r="656" spans="1:14" x14ac:dyDescent="0.25">
      <c r="A656">
        <v>340.619305</v>
      </c>
      <c r="B656" s="1">
        <f>DATE(2011,4,6) + TIME(14,51,47)</f>
        <v>40639.619293981479</v>
      </c>
      <c r="C656">
        <v>80</v>
      </c>
      <c r="D656">
        <v>64.449516295999999</v>
      </c>
      <c r="E656">
        <v>50</v>
      </c>
      <c r="F656">
        <v>49.959884643999999</v>
      </c>
      <c r="G656">
        <v>1321.1173096</v>
      </c>
      <c r="H656">
        <v>1317.3360596</v>
      </c>
      <c r="I656">
        <v>1344.5512695</v>
      </c>
      <c r="J656">
        <v>1340.1511230000001</v>
      </c>
      <c r="K656">
        <v>0</v>
      </c>
      <c r="L656">
        <v>2400</v>
      </c>
      <c r="M656">
        <v>2400</v>
      </c>
      <c r="N656">
        <v>0</v>
      </c>
    </row>
    <row r="657" spans="1:14" x14ac:dyDescent="0.25">
      <c r="A657">
        <v>343.50958100000003</v>
      </c>
      <c r="B657" s="1">
        <f>DATE(2011,4,9) + TIME(12,13,47)</f>
        <v>40642.509571759256</v>
      </c>
      <c r="C657">
        <v>80</v>
      </c>
      <c r="D657">
        <v>64.055114746000001</v>
      </c>
      <c r="E657">
        <v>50</v>
      </c>
      <c r="F657">
        <v>49.960037231000001</v>
      </c>
      <c r="G657">
        <v>1320.9963379000001</v>
      </c>
      <c r="H657">
        <v>1317.1649170000001</v>
      </c>
      <c r="I657">
        <v>1344.5390625</v>
      </c>
      <c r="J657">
        <v>1340.1408690999999</v>
      </c>
      <c r="K657">
        <v>0</v>
      </c>
      <c r="L657">
        <v>2400</v>
      </c>
      <c r="M657">
        <v>2400</v>
      </c>
      <c r="N657">
        <v>0</v>
      </c>
    </row>
    <row r="658" spans="1:14" x14ac:dyDescent="0.25">
      <c r="A658">
        <v>346.43507799999998</v>
      </c>
      <c r="B658" s="1">
        <f>DATE(2011,4,12) + TIME(10,26,30)</f>
        <v>40645.435069444444</v>
      </c>
      <c r="C658">
        <v>80</v>
      </c>
      <c r="D658">
        <v>63.639244079999997</v>
      </c>
      <c r="E658">
        <v>50</v>
      </c>
      <c r="F658">
        <v>49.960193633999999</v>
      </c>
      <c r="G658">
        <v>1320.8729248</v>
      </c>
      <c r="H658">
        <v>1316.9891356999999</v>
      </c>
      <c r="I658">
        <v>1344.5266113</v>
      </c>
      <c r="J658">
        <v>1340.1304932</v>
      </c>
      <c r="K658">
        <v>0</v>
      </c>
      <c r="L658">
        <v>2400</v>
      </c>
      <c r="M658">
        <v>2400</v>
      </c>
      <c r="N658">
        <v>0</v>
      </c>
    </row>
    <row r="659" spans="1:14" x14ac:dyDescent="0.25">
      <c r="A659">
        <v>349.40409</v>
      </c>
      <c r="B659" s="1">
        <f>DATE(2011,4,15) + TIME(9,41,53)</f>
        <v>40648.404085648152</v>
      </c>
      <c r="C659">
        <v>80</v>
      </c>
      <c r="D659">
        <v>63.205551147000001</v>
      </c>
      <c r="E659">
        <v>50</v>
      </c>
      <c r="F659">
        <v>49.960346221999998</v>
      </c>
      <c r="G659">
        <v>1320.7490233999999</v>
      </c>
      <c r="H659">
        <v>1316.8120117000001</v>
      </c>
      <c r="I659">
        <v>1344.5140381000001</v>
      </c>
      <c r="J659">
        <v>1340.1201172000001</v>
      </c>
      <c r="K659">
        <v>0</v>
      </c>
      <c r="L659">
        <v>2400</v>
      </c>
      <c r="M659">
        <v>2400</v>
      </c>
      <c r="N659">
        <v>0</v>
      </c>
    </row>
    <row r="660" spans="1:14" x14ac:dyDescent="0.25">
      <c r="A660">
        <v>352.41820999999999</v>
      </c>
      <c r="B660" s="1">
        <f>DATE(2011,4,18) + TIME(10,2,13)</f>
        <v>40651.418206018519</v>
      </c>
      <c r="C660">
        <v>80</v>
      </c>
      <c r="D660">
        <v>62.754165649000001</v>
      </c>
      <c r="E660">
        <v>50</v>
      </c>
      <c r="F660">
        <v>49.960502624999997</v>
      </c>
      <c r="G660">
        <v>1320.6253661999999</v>
      </c>
      <c r="H660">
        <v>1316.6343993999999</v>
      </c>
      <c r="I660">
        <v>1344.5014647999999</v>
      </c>
      <c r="J660">
        <v>1340.1097411999999</v>
      </c>
      <c r="K660">
        <v>0</v>
      </c>
      <c r="L660">
        <v>2400</v>
      </c>
      <c r="M660">
        <v>2400</v>
      </c>
      <c r="N660">
        <v>0</v>
      </c>
    </row>
    <row r="661" spans="1:14" x14ac:dyDescent="0.25">
      <c r="A661">
        <v>355.48494599999998</v>
      </c>
      <c r="B661" s="1">
        <f>DATE(2011,4,21) + TIME(11,38,19)</f>
        <v>40654.484942129631</v>
      </c>
      <c r="C661">
        <v>80</v>
      </c>
      <c r="D661">
        <v>62.284797668000003</v>
      </c>
      <c r="E661">
        <v>50</v>
      </c>
      <c r="F661">
        <v>49.960659026999998</v>
      </c>
      <c r="G661">
        <v>1320.5018310999999</v>
      </c>
      <c r="H661">
        <v>1316.4564209</v>
      </c>
      <c r="I661">
        <v>1344.4887695</v>
      </c>
      <c r="J661">
        <v>1340.0993652</v>
      </c>
      <c r="K661">
        <v>0</v>
      </c>
      <c r="L661">
        <v>2400</v>
      </c>
      <c r="M661">
        <v>2400</v>
      </c>
      <c r="N661">
        <v>0</v>
      </c>
    </row>
    <row r="662" spans="1:14" x14ac:dyDescent="0.25">
      <c r="A662">
        <v>358.60094199999997</v>
      </c>
      <c r="B662" s="1">
        <f>DATE(2011,4,24) + TIME(14,25,21)</f>
        <v>40657.600937499999</v>
      </c>
      <c r="C662">
        <v>80</v>
      </c>
      <c r="D662">
        <v>61.796714782999999</v>
      </c>
      <c r="E662">
        <v>50</v>
      </c>
      <c r="F662">
        <v>49.960815429999997</v>
      </c>
      <c r="G662">
        <v>1320.3785399999999</v>
      </c>
      <c r="H662">
        <v>1316.2781981999999</v>
      </c>
      <c r="I662">
        <v>1344.4760742000001</v>
      </c>
      <c r="J662">
        <v>1340.0888672000001</v>
      </c>
      <c r="K662">
        <v>0</v>
      </c>
      <c r="L662">
        <v>2400</v>
      </c>
      <c r="M662">
        <v>2400</v>
      </c>
      <c r="N662">
        <v>0</v>
      </c>
    </row>
    <row r="663" spans="1:14" x14ac:dyDescent="0.25">
      <c r="A663">
        <v>361.76183700000001</v>
      </c>
      <c r="B663" s="1">
        <f>DATE(2011,4,27) + TIME(18,17,2)</f>
        <v>40660.761828703704</v>
      </c>
      <c r="C663">
        <v>80</v>
      </c>
      <c r="D663">
        <v>61.291049956999998</v>
      </c>
      <c r="E663">
        <v>50</v>
      </c>
      <c r="F663">
        <v>49.960971831999998</v>
      </c>
      <c r="G663">
        <v>1320.2558594</v>
      </c>
      <c r="H663">
        <v>1316.0999756000001</v>
      </c>
      <c r="I663">
        <v>1344.4631348</v>
      </c>
      <c r="J663">
        <v>1340.0783690999999</v>
      </c>
      <c r="K663">
        <v>0</v>
      </c>
      <c r="L663">
        <v>2400</v>
      </c>
      <c r="M663">
        <v>2400</v>
      </c>
      <c r="N663">
        <v>0</v>
      </c>
    </row>
    <row r="664" spans="1:14" x14ac:dyDescent="0.25">
      <c r="A664">
        <v>365</v>
      </c>
      <c r="B664" s="1">
        <f>DATE(2011,5,1) + TIME(0,0,0)</f>
        <v>40664</v>
      </c>
      <c r="C664">
        <v>80</v>
      </c>
      <c r="D664">
        <v>60.767673492</v>
      </c>
      <c r="E664">
        <v>50</v>
      </c>
      <c r="F664">
        <v>49.961132050000003</v>
      </c>
      <c r="G664">
        <v>1320.1341553</v>
      </c>
      <c r="H664">
        <v>1315.9221190999999</v>
      </c>
      <c r="I664">
        <v>1344.4500731999999</v>
      </c>
      <c r="J664">
        <v>1340.067749</v>
      </c>
      <c r="K664">
        <v>0</v>
      </c>
      <c r="L664">
        <v>2400</v>
      </c>
      <c r="M664">
        <v>2400</v>
      </c>
      <c r="N664">
        <v>0</v>
      </c>
    </row>
    <row r="665" spans="1:14" x14ac:dyDescent="0.25">
      <c r="A665">
        <v>365.000001</v>
      </c>
      <c r="B665" s="1">
        <f>DATE(2011,5,1) + TIME(0,0,0)</f>
        <v>40664</v>
      </c>
      <c r="C665">
        <v>80</v>
      </c>
      <c r="D665">
        <v>60.767742157000001</v>
      </c>
      <c r="E665">
        <v>50</v>
      </c>
      <c r="F665">
        <v>49.961116791000002</v>
      </c>
      <c r="G665">
        <v>1325.2175293</v>
      </c>
      <c r="H665">
        <v>1320.1481934000001</v>
      </c>
      <c r="I665">
        <v>1340.0579834</v>
      </c>
      <c r="J665">
        <v>1336.770874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365.00000399999999</v>
      </c>
      <c r="B666" s="1">
        <f>DATE(2011,5,1) + TIME(0,0,0)</f>
        <v>40664</v>
      </c>
      <c r="C666">
        <v>80</v>
      </c>
      <c r="D666">
        <v>60.767944335999999</v>
      </c>
      <c r="E666">
        <v>50</v>
      </c>
      <c r="F666">
        <v>49.961071013999998</v>
      </c>
      <c r="G666">
        <v>1325.2492675999999</v>
      </c>
      <c r="H666">
        <v>1320.1899414</v>
      </c>
      <c r="I666">
        <v>1340.0286865</v>
      </c>
      <c r="J666">
        <v>1336.7415771000001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365.00001300000002</v>
      </c>
      <c r="B667" s="1">
        <f>DATE(2011,5,1) + TIME(0,0,1)</f>
        <v>40664.000011574077</v>
      </c>
      <c r="C667">
        <v>80</v>
      </c>
      <c r="D667">
        <v>60.768535614000001</v>
      </c>
      <c r="E667">
        <v>50</v>
      </c>
      <c r="F667">
        <v>49.960933685000001</v>
      </c>
      <c r="G667">
        <v>1325.3425293</v>
      </c>
      <c r="H667">
        <v>1320.3118896000001</v>
      </c>
      <c r="I667">
        <v>1339.9428711</v>
      </c>
      <c r="J667">
        <v>1336.6557617000001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365.00004000000001</v>
      </c>
      <c r="B668" s="1">
        <f>DATE(2011,5,1) + TIME(0,0,3)</f>
        <v>40664.000034722223</v>
      </c>
      <c r="C668">
        <v>80</v>
      </c>
      <c r="D668">
        <v>60.770236969000003</v>
      </c>
      <c r="E668">
        <v>50</v>
      </c>
      <c r="F668">
        <v>49.960548400999997</v>
      </c>
      <c r="G668">
        <v>1325.6060791</v>
      </c>
      <c r="H668">
        <v>1320.6501464999999</v>
      </c>
      <c r="I668">
        <v>1339.7004394999999</v>
      </c>
      <c r="J668">
        <v>1336.4132079999999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365.00012099999998</v>
      </c>
      <c r="B669" s="1">
        <f>DATE(2011,5,1) + TIME(0,0,10)</f>
        <v>40664.000115740739</v>
      </c>
      <c r="C669">
        <v>80</v>
      </c>
      <c r="D669">
        <v>60.774883269999997</v>
      </c>
      <c r="E669">
        <v>50</v>
      </c>
      <c r="F669">
        <v>49.959560394</v>
      </c>
      <c r="G669">
        <v>1326.2824707</v>
      </c>
      <c r="H669">
        <v>1321.4779053</v>
      </c>
      <c r="I669">
        <v>1339.0816649999999</v>
      </c>
      <c r="J669">
        <v>1335.7941894999999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365.00036399999999</v>
      </c>
      <c r="B670" s="1">
        <f>DATE(2011,5,1) + TIME(0,0,31)</f>
        <v>40664.000358796293</v>
      </c>
      <c r="C670">
        <v>80</v>
      </c>
      <c r="D670">
        <v>60.786712645999998</v>
      </c>
      <c r="E670">
        <v>50</v>
      </c>
      <c r="F670">
        <v>49.957523346000002</v>
      </c>
      <c r="G670">
        <v>1327.7028809000001</v>
      </c>
      <c r="H670">
        <v>1323.0710449000001</v>
      </c>
      <c r="I670">
        <v>1337.8081055</v>
      </c>
      <c r="J670">
        <v>1334.5202637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365.00109300000003</v>
      </c>
      <c r="B671" s="1">
        <f>DATE(2011,5,1) + TIME(0,1,34)</f>
        <v>40664.001087962963</v>
      </c>
      <c r="C671">
        <v>80</v>
      </c>
      <c r="D671">
        <v>60.816535950000002</v>
      </c>
      <c r="E671">
        <v>50</v>
      </c>
      <c r="F671">
        <v>49.954418181999998</v>
      </c>
      <c r="G671">
        <v>1329.9171143000001</v>
      </c>
      <c r="H671">
        <v>1325.3256836</v>
      </c>
      <c r="I671">
        <v>1335.9003906</v>
      </c>
      <c r="J671">
        <v>1332.6130370999999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365.00328000000002</v>
      </c>
      <c r="B672" s="1">
        <f>DATE(2011,5,1) + TIME(0,4,43)</f>
        <v>40664.003275462965</v>
      </c>
      <c r="C672">
        <v>80</v>
      </c>
      <c r="D672">
        <v>60.897823334000002</v>
      </c>
      <c r="E672">
        <v>50</v>
      </c>
      <c r="F672">
        <v>49.950668335000003</v>
      </c>
      <c r="G672">
        <v>1332.5336914</v>
      </c>
      <c r="H672">
        <v>1327.8748779</v>
      </c>
      <c r="I672">
        <v>1333.7358397999999</v>
      </c>
      <c r="J672">
        <v>1330.4501952999999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365.00984099999999</v>
      </c>
      <c r="B673" s="1">
        <f>DATE(2011,5,1) + TIME(0,14,10)</f>
        <v>40664.009837962964</v>
      </c>
      <c r="C673">
        <v>80</v>
      </c>
      <c r="D673">
        <v>61.131690978999998</v>
      </c>
      <c r="E673">
        <v>50</v>
      </c>
      <c r="F673">
        <v>49.946136475000003</v>
      </c>
      <c r="G673">
        <v>1335.2321777</v>
      </c>
      <c r="H673">
        <v>1330.5140381000001</v>
      </c>
      <c r="I673">
        <v>1331.5401611</v>
      </c>
      <c r="J673">
        <v>1328.2581786999999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365.02952399999998</v>
      </c>
      <c r="B674" s="1">
        <f>DATE(2011,5,1) + TIME(0,42,30)</f>
        <v>40664.029513888891</v>
      </c>
      <c r="C674">
        <v>80</v>
      </c>
      <c r="D674">
        <v>61.805988311999997</v>
      </c>
      <c r="E674">
        <v>50</v>
      </c>
      <c r="F674">
        <v>49.939437865999999</v>
      </c>
      <c r="G674">
        <v>1337.9571533000001</v>
      </c>
      <c r="H674">
        <v>1333.223999</v>
      </c>
      <c r="I674">
        <v>1329.3250731999999</v>
      </c>
      <c r="J674">
        <v>1326.0437012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365.05070499999999</v>
      </c>
      <c r="B675" s="1">
        <f>DATE(2011,5,1) + TIME(1,13,0)</f>
        <v>40664.050694444442</v>
      </c>
      <c r="C675">
        <v>80</v>
      </c>
      <c r="D675">
        <v>62.507595062</v>
      </c>
      <c r="E675">
        <v>50</v>
      </c>
      <c r="F675">
        <v>49.934005737</v>
      </c>
      <c r="G675">
        <v>1339.5031738</v>
      </c>
      <c r="H675">
        <v>1334.7712402</v>
      </c>
      <c r="I675">
        <v>1328.0849608999999</v>
      </c>
      <c r="J675">
        <v>1324.7958983999999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365.07248299999998</v>
      </c>
      <c r="B676" s="1">
        <f>DATE(2011,5,1) + TIME(1,44,22)</f>
        <v>40664.072476851848</v>
      </c>
      <c r="C676">
        <v>80</v>
      </c>
      <c r="D676">
        <v>63.204036713000001</v>
      </c>
      <c r="E676">
        <v>50</v>
      </c>
      <c r="F676">
        <v>49.929115295000003</v>
      </c>
      <c r="G676">
        <v>1340.5339355000001</v>
      </c>
      <c r="H676">
        <v>1335.815918</v>
      </c>
      <c r="I676">
        <v>1327.2514647999999</v>
      </c>
      <c r="J676">
        <v>1323.9495850000001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365.09480300000001</v>
      </c>
      <c r="B677" s="1">
        <f>DATE(2011,5,1) + TIME(2,16,30)</f>
        <v>40664.09479166667</v>
      </c>
      <c r="C677">
        <v>80</v>
      </c>
      <c r="D677">
        <v>63.891857147000003</v>
      </c>
      <c r="E677">
        <v>50</v>
      </c>
      <c r="F677">
        <v>49.924461364999999</v>
      </c>
      <c r="G677">
        <v>1341.2973632999999</v>
      </c>
      <c r="H677">
        <v>1336.5993652</v>
      </c>
      <c r="I677">
        <v>1326.6247559000001</v>
      </c>
      <c r="J677">
        <v>1323.3073730000001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365.117659</v>
      </c>
      <c r="B678" s="1">
        <f>DATE(2011,5,1) + TIME(2,49,25)</f>
        <v>40664.117650462962</v>
      </c>
      <c r="C678">
        <v>80</v>
      </c>
      <c r="D678">
        <v>64.569435119999994</v>
      </c>
      <c r="E678">
        <v>50</v>
      </c>
      <c r="F678">
        <v>49.919929504000002</v>
      </c>
      <c r="G678">
        <v>1341.8977050999999</v>
      </c>
      <c r="H678">
        <v>1337.2229004000001</v>
      </c>
      <c r="I678">
        <v>1326.1230469</v>
      </c>
      <c r="J678">
        <v>1322.7897949000001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365.14105899999998</v>
      </c>
      <c r="B679" s="1">
        <f>DATE(2011,5,1) + TIME(3,23,7)</f>
        <v>40664.141053240739</v>
      </c>
      <c r="C679">
        <v>80</v>
      </c>
      <c r="D679">
        <v>65.235778808999996</v>
      </c>
      <c r="E679">
        <v>50</v>
      </c>
      <c r="F679">
        <v>49.915454865000001</v>
      </c>
      <c r="G679">
        <v>1342.3880615</v>
      </c>
      <c r="H679">
        <v>1337.7379149999999</v>
      </c>
      <c r="I679">
        <v>1325.7061768000001</v>
      </c>
      <c r="J679">
        <v>1322.3574219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365.16501699999998</v>
      </c>
      <c r="B680" s="1">
        <f>DATE(2011,5,1) + TIME(3,57,37)</f>
        <v>40664.165011574078</v>
      </c>
      <c r="C680">
        <v>80</v>
      </c>
      <c r="D680">
        <v>65.890182495000005</v>
      </c>
      <c r="E680">
        <v>50</v>
      </c>
      <c r="F680">
        <v>49.910995483000001</v>
      </c>
      <c r="G680">
        <v>1342.7991943</v>
      </c>
      <c r="H680">
        <v>1338.1740723</v>
      </c>
      <c r="I680">
        <v>1325.3515625</v>
      </c>
      <c r="J680">
        <v>1321.987793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365.18955</v>
      </c>
      <c r="B681" s="1">
        <f>DATE(2011,5,1) + TIME(4,32,57)</f>
        <v>40664.18954861111</v>
      </c>
      <c r="C681">
        <v>80</v>
      </c>
      <c r="D681">
        <v>66.532012938999998</v>
      </c>
      <c r="E681">
        <v>50</v>
      </c>
      <c r="F681">
        <v>49.906539917000003</v>
      </c>
      <c r="G681">
        <v>1343.1505127</v>
      </c>
      <c r="H681">
        <v>1338.550293</v>
      </c>
      <c r="I681">
        <v>1325.0445557</v>
      </c>
      <c r="J681">
        <v>1321.6669922000001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365.21468099999998</v>
      </c>
      <c r="B682" s="1">
        <f>DATE(2011,5,1) + TIME(5,9,8)</f>
        <v>40664.214675925927</v>
      </c>
      <c r="C682">
        <v>80</v>
      </c>
      <c r="D682">
        <v>67.160850525000001</v>
      </c>
      <c r="E682">
        <v>50</v>
      </c>
      <c r="F682">
        <v>49.902061461999999</v>
      </c>
      <c r="G682">
        <v>1343.4554443</v>
      </c>
      <c r="H682">
        <v>1338.8795166</v>
      </c>
      <c r="I682">
        <v>1324.7755127</v>
      </c>
      <c r="J682">
        <v>1321.3851318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365.240431</v>
      </c>
      <c r="B683" s="1">
        <f>DATE(2011,5,1) + TIME(5,46,13)</f>
        <v>40664.240428240744</v>
      </c>
      <c r="C683">
        <v>80</v>
      </c>
      <c r="D683">
        <v>67.776229857999994</v>
      </c>
      <c r="E683">
        <v>50</v>
      </c>
      <c r="F683">
        <v>49.897556305000002</v>
      </c>
      <c r="G683">
        <v>1343.7231445</v>
      </c>
      <c r="H683">
        <v>1339.1708983999999</v>
      </c>
      <c r="I683">
        <v>1324.5377197</v>
      </c>
      <c r="J683">
        <v>1321.1354980000001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365.266772</v>
      </c>
      <c r="B684" s="1">
        <f>DATE(2011,5,1) + TIME(6,24,9)</f>
        <v>40664.266770833332</v>
      </c>
      <c r="C684">
        <v>80</v>
      </c>
      <c r="D684">
        <v>68.376716614000003</v>
      </c>
      <c r="E684">
        <v>50</v>
      </c>
      <c r="F684">
        <v>49.893016815000003</v>
      </c>
      <c r="G684">
        <v>1343.9603271000001</v>
      </c>
      <c r="H684">
        <v>1339.4306641000001</v>
      </c>
      <c r="I684">
        <v>1324.3262939000001</v>
      </c>
      <c r="J684">
        <v>1320.9130858999999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365.29372599999999</v>
      </c>
      <c r="B685" s="1">
        <f>DATE(2011,5,1) + TIME(7,2,57)</f>
        <v>40664.293715277781</v>
      </c>
      <c r="C685">
        <v>80</v>
      </c>
      <c r="D685">
        <v>68.962028502999999</v>
      </c>
      <c r="E685">
        <v>50</v>
      </c>
      <c r="F685">
        <v>49.888439177999999</v>
      </c>
      <c r="G685">
        <v>1344.1722411999999</v>
      </c>
      <c r="H685">
        <v>1339.6641846</v>
      </c>
      <c r="I685">
        <v>1324.137207</v>
      </c>
      <c r="J685">
        <v>1320.7141113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365.32132200000001</v>
      </c>
      <c r="B686" s="1">
        <f>DATE(2011,5,1) + TIME(7,42,42)</f>
        <v>40664.321319444447</v>
      </c>
      <c r="C686">
        <v>80</v>
      </c>
      <c r="D686">
        <v>69.532104492000002</v>
      </c>
      <c r="E686">
        <v>50</v>
      </c>
      <c r="F686">
        <v>49.883815765000001</v>
      </c>
      <c r="G686">
        <v>1344.3631591999999</v>
      </c>
      <c r="H686">
        <v>1339.8753661999999</v>
      </c>
      <c r="I686">
        <v>1323.9674072</v>
      </c>
      <c r="J686">
        <v>1320.5350341999999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365.34959300000003</v>
      </c>
      <c r="B687" s="1">
        <f>DATE(2011,5,1) + TIME(8,23,24)</f>
        <v>40664.349583333336</v>
      </c>
      <c r="C687">
        <v>80</v>
      </c>
      <c r="D687">
        <v>70.086807250999996</v>
      </c>
      <c r="E687">
        <v>50</v>
      </c>
      <c r="F687">
        <v>49.879138947000001</v>
      </c>
      <c r="G687">
        <v>1344.5362548999999</v>
      </c>
      <c r="H687">
        <v>1340.0676269999999</v>
      </c>
      <c r="I687">
        <v>1323.8143310999999</v>
      </c>
      <c r="J687">
        <v>1320.3732910000001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365.37857000000002</v>
      </c>
      <c r="B688" s="1">
        <f>DATE(2011,5,1) + TIME(9,5,8)</f>
        <v>40664.378564814811</v>
      </c>
      <c r="C688">
        <v>80</v>
      </c>
      <c r="D688">
        <v>70.625755310000002</v>
      </c>
      <c r="E688">
        <v>50</v>
      </c>
      <c r="F688">
        <v>49.874401093000003</v>
      </c>
      <c r="G688">
        <v>1344.6940918</v>
      </c>
      <c r="H688">
        <v>1340.2434082</v>
      </c>
      <c r="I688">
        <v>1323.6757812000001</v>
      </c>
      <c r="J688">
        <v>1320.2269286999999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365.40829200000002</v>
      </c>
      <c r="B689" s="1">
        <f>DATE(2011,5,1) + TIME(9,47,56)</f>
        <v>40664.40828703704</v>
      </c>
      <c r="C689">
        <v>80</v>
      </c>
      <c r="D689">
        <v>71.149246215999995</v>
      </c>
      <c r="E689">
        <v>50</v>
      </c>
      <c r="F689">
        <v>49.869598388999997</v>
      </c>
      <c r="G689">
        <v>1344.8388672000001</v>
      </c>
      <c r="H689">
        <v>1340.4049072</v>
      </c>
      <c r="I689">
        <v>1323.550293</v>
      </c>
      <c r="J689">
        <v>1320.0941161999999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365.43880300000001</v>
      </c>
      <c r="B690" s="1">
        <f>DATE(2011,5,1) + TIME(10,31,52)</f>
        <v>40664.438796296294</v>
      </c>
      <c r="C690">
        <v>80</v>
      </c>
      <c r="D690">
        <v>71.657279967999997</v>
      </c>
      <c r="E690">
        <v>50</v>
      </c>
      <c r="F690">
        <v>49.864719391000001</v>
      </c>
      <c r="G690">
        <v>1344.972168</v>
      </c>
      <c r="H690">
        <v>1340.5537108999999</v>
      </c>
      <c r="I690">
        <v>1323.4364014</v>
      </c>
      <c r="J690">
        <v>1319.9735106999999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365.47010499999999</v>
      </c>
      <c r="B691" s="1">
        <f>DATE(2011,5,1) + TIME(11,16,57)</f>
        <v>40664.470104166663</v>
      </c>
      <c r="C691">
        <v>80</v>
      </c>
      <c r="D691">
        <v>72.149177550999994</v>
      </c>
      <c r="E691">
        <v>50</v>
      </c>
      <c r="F691">
        <v>49.859771729000002</v>
      </c>
      <c r="G691">
        <v>1345.0954589999999</v>
      </c>
      <c r="H691">
        <v>1340.6914062000001</v>
      </c>
      <c r="I691">
        <v>1323.3330077999999</v>
      </c>
      <c r="J691">
        <v>1319.8638916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365.502227</v>
      </c>
      <c r="B692" s="1">
        <f>DATE(2011,5,1) + TIME(12,3,12)</f>
        <v>40664.502222222225</v>
      </c>
      <c r="C692">
        <v>80</v>
      </c>
      <c r="D692">
        <v>72.624786377000007</v>
      </c>
      <c r="E692">
        <v>50</v>
      </c>
      <c r="F692">
        <v>49.854743958</v>
      </c>
      <c r="G692">
        <v>1345.2097168</v>
      </c>
      <c r="H692">
        <v>1340.8188477000001</v>
      </c>
      <c r="I692">
        <v>1323.2392577999999</v>
      </c>
      <c r="J692">
        <v>1319.7642822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365.53521499999999</v>
      </c>
      <c r="B693" s="1">
        <f>DATE(2011,5,1) + TIME(12,50,42)</f>
        <v>40664.535208333335</v>
      </c>
      <c r="C693">
        <v>80</v>
      </c>
      <c r="D693">
        <v>73.084098815999994</v>
      </c>
      <c r="E693">
        <v>50</v>
      </c>
      <c r="F693">
        <v>49.849636078000003</v>
      </c>
      <c r="G693">
        <v>1345.3160399999999</v>
      </c>
      <c r="H693">
        <v>1340.9372559000001</v>
      </c>
      <c r="I693">
        <v>1323.1542969</v>
      </c>
      <c r="J693">
        <v>1319.6739502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365.56912399999999</v>
      </c>
      <c r="B694" s="1">
        <f>DATE(2011,5,1) + TIME(13,39,32)</f>
        <v>40664.569120370368</v>
      </c>
      <c r="C694">
        <v>80</v>
      </c>
      <c r="D694">
        <v>73.527221679999997</v>
      </c>
      <c r="E694">
        <v>50</v>
      </c>
      <c r="F694">
        <v>49.844436645999998</v>
      </c>
      <c r="G694">
        <v>1345.4150391000001</v>
      </c>
      <c r="H694">
        <v>1341.0473632999999</v>
      </c>
      <c r="I694">
        <v>1323.0772704999999</v>
      </c>
      <c r="J694">
        <v>1319.5919189000001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365.60400700000002</v>
      </c>
      <c r="B695" s="1">
        <f>DATE(2011,5,1) + TIME(14,29,46)</f>
        <v>40664.604004629633</v>
      </c>
      <c r="C695">
        <v>80</v>
      </c>
      <c r="D695">
        <v>73.954177856000001</v>
      </c>
      <c r="E695">
        <v>50</v>
      </c>
      <c r="F695">
        <v>49.839138030999997</v>
      </c>
      <c r="G695">
        <v>1345.5076904</v>
      </c>
      <c r="H695">
        <v>1341.1500243999999</v>
      </c>
      <c r="I695">
        <v>1323.0075684000001</v>
      </c>
      <c r="J695">
        <v>1319.5175781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365.63992100000002</v>
      </c>
      <c r="B696" s="1">
        <f>DATE(2011,5,1) + TIME(15,21,29)</f>
        <v>40664.639918981484</v>
      </c>
      <c r="C696">
        <v>80</v>
      </c>
      <c r="D696">
        <v>74.364990234000004</v>
      </c>
      <c r="E696">
        <v>50</v>
      </c>
      <c r="F696">
        <v>49.833740233999997</v>
      </c>
      <c r="G696">
        <v>1345.5943603999999</v>
      </c>
      <c r="H696">
        <v>1341.2457274999999</v>
      </c>
      <c r="I696">
        <v>1322.9447021000001</v>
      </c>
      <c r="J696">
        <v>1319.4503173999999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365.67693100000002</v>
      </c>
      <c r="B697" s="1">
        <f>DATE(2011,5,1) + TIME(16,14,46)</f>
        <v>40664.676921296297</v>
      </c>
      <c r="C697">
        <v>80</v>
      </c>
      <c r="D697">
        <v>74.759696959999999</v>
      </c>
      <c r="E697">
        <v>50</v>
      </c>
      <c r="F697">
        <v>49.828227996999999</v>
      </c>
      <c r="G697">
        <v>1345.6756591999999</v>
      </c>
      <c r="H697">
        <v>1341.3352050999999</v>
      </c>
      <c r="I697">
        <v>1322.8879394999999</v>
      </c>
      <c r="J697">
        <v>1319.3896483999999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365.715102</v>
      </c>
      <c r="B698" s="1">
        <f>DATE(2011,5,1) + TIME(17,9,44)</f>
        <v>40664.715092592596</v>
      </c>
      <c r="C698">
        <v>80</v>
      </c>
      <c r="D698">
        <v>75.138221740999995</v>
      </c>
      <c r="E698">
        <v>50</v>
      </c>
      <c r="F698">
        <v>49.822597504000001</v>
      </c>
      <c r="G698">
        <v>1345.7519531</v>
      </c>
      <c r="H698">
        <v>1341.4188231999999</v>
      </c>
      <c r="I698">
        <v>1322.8370361</v>
      </c>
      <c r="J698">
        <v>1319.3349608999999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365.75450799999999</v>
      </c>
      <c r="B699" s="1">
        <f>DATE(2011,5,1) + TIME(18,6,29)</f>
        <v>40664.754502314812</v>
      </c>
      <c r="C699">
        <v>80</v>
      </c>
      <c r="D699">
        <v>75.500526428000001</v>
      </c>
      <c r="E699">
        <v>50</v>
      </c>
      <c r="F699">
        <v>49.816841125000003</v>
      </c>
      <c r="G699">
        <v>1345.8236084</v>
      </c>
      <c r="H699">
        <v>1341.4970702999999</v>
      </c>
      <c r="I699">
        <v>1322.7915039</v>
      </c>
      <c r="J699">
        <v>1319.2858887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365.79522800000001</v>
      </c>
      <c r="B700" s="1">
        <f>DATE(2011,5,1) + TIME(19,5,7)</f>
        <v>40664.795219907406</v>
      </c>
      <c r="C700">
        <v>80</v>
      </c>
      <c r="D700">
        <v>75.846824646000002</v>
      </c>
      <c r="E700">
        <v>50</v>
      </c>
      <c r="F700">
        <v>49.810947417999998</v>
      </c>
      <c r="G700">
        <v>1345.8909911999999</v>
      </c>
      <c r="H700">
        <v>1341.5701904</v>
      </c>
      <c r="I700">
        <v>1322.7508545000001</v>
      </c>
      <c r="J700">
        <v>1319.2420654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365.83734800000002</v>
      </c>
      <c r="B701" s="1">
        <f>DATE(2011,5,1) + TIME(20,5,46)</f>
        <v>40664.837337962963</v>
      </c>
      <c r="C701">
        <v>80</v>
      </c>
      <c r="D701">
        <v>76.177162170000003</v>
      </c>
      <c r="E701">
        <v>50</v>
      </c>
      <c r="F701">
        <v>49.804908752000003</v>
      </c>
      <c r="G701">
        <v>1345.9544678</v>
      </c>
      <c r="H701">
        <v>1341.6386719</v>
      </c>
      <c r="I701">
        <v>1322.7148437999999</v>
      </c>
      <c r="J701">
        <v>1319.2030029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365.88096100000001</v>
      </c>
      <c r="B702" s="1">
        <f>DATE(2011,5,1) + TIME(21,8,35)</f>
        <v>40664.880960648145</v>
      </c>
      <c r="C702">
        <v>80</v>
      </c>
      <c r="D702">
        <v>76.491622925000001</v>
      </c>
      <c r="E702">
        <v>50</v>
      </c>
      <c r="F702">
        <v>49.798713683999999</v>
      </c>
      <c r="G702">
        <v>1346.0141602000001</v>
      </c>
      <c r="H702">
        <v>1341.7026367000001</v>
      </c>
      <c r="I702">
        <v>1322.6831055</v>
      </c>
      <c r="J702">
        <v>1319.168457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365.92619200000001</v>
      </c>
      <c r="B703" s="1">
        <f>DATE(2011,5,1) + TIME(22,13,43)</f>
        <v>40664.926192129627</v>
      </c>
      <c r="C703">
        <v>80</v>
      </c>
      <c r="D703">
        <v>76.790412903000004</v>
      </c>
      <c r="E703">
        <v>50</v>
      </c>
      <c r="F703">
        <v>49.792346954000003</v>
      </c>
      <c r="G703">
        <v>1346.0703125</v>
      </c>
      <c r="H703">
        <v>1341.7624512</v>
      </c>
      <c r="I703">
        <v>1322.6553954999999</v>
      </c>
      <c r="J703">
        <v>1319.1380615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365.97309999999999</v>
      </c>
      <c r="B704" s="1">
        <f>DATE(2011,5,1) + TIME(23,21,15)</f>
        <v>40664.973090277781</v>
      </c>
      <c r="C704">
        <v>80</v>
      </c>
      <c r="D704">
        <v>77.073310852000006</v>
      </c>
      <c r="E704">
        <v>50</v>
      </c>
      <c r="F704">
        <v>49.785808563000003</v>
      </c>
      <c r="G704">
        <v>1346.1231689000001</v>
      </c>
      <c r="H704">
        <v>1341.8183594</v>
      </c>
      <c r="I704">
        <v>1322.6312256000001</v>
      </c>
      <c r="J704">
        <v>1319.1115723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366.02177999999998</v>
      </c>
      <c r="B705" s="1">
        <f>DATE(2011,5,2) + TIME(0,31,21)</f>
        <v>40665.021770833337</v>
      </c>
      <c r="C705">
        <v>80</v>
      </c>
      <c r="D705">
        <v>77.340362549000005</v>
      </c>
      <c r="E705">
        <v>50</v>
      </c>
      <c r="F705">
        <v>49.779083252</v>
      </c>
      <c r="G705">
        <v>1346.1727295000001</v>
      </c>
      <c r="H705">
        <v>1341.8704834</v>
      </c>
      <c r="I705">
        <v>1322.6104736</v>
      </c>
      <c r="J705">
        <v>1319.088501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366.07236499999999</v>
      </c>
      <c r="B706" s="1">
        <f>DATE(2011,5,2) + TIME(1,44,12)</f>
        <v>40665.07236111111</v>
      </c>
      <c r="C706">
        <v>80</v>
      </c>
      <c r="D706">
        <v>77.591781616000006</v>
      </c>
      <c r="E706">
        <v>50</v>
      </c>
      <c r="F706">
        <v>49.772159576</v>
      </c>
      <c r="G706">
        <v>1346.2193603999999</v>
      </c>
      <c r="H706">
        <v>1341.9190673999999</v>
      </c>
      <c r="I706">
        <v>1322.5927733999999</v>
      </c>
      <c r="J706">
        <v>1319.0687256000001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366.125</v>
      </c>
      <c r="B707" s="1">
        <f>DATE(2011,5,2) + TIME(2,59,59)</f>
        <v>40665.124988425923</v>
      </c>
      <c r="C707">
        <v>80</v>
      </c>
      <c r="D707">
        <v>77.827789307000003</v>
      </c>
      <c r="E707">
        <v>50</v>
      </c>
      <c r="F707">
        <v>49.765018462999997</v>
      </c>
      <c r="G707">
        <v>1346.2630615</v>
      </c>
      <c r="H707">
        <v>1341.9643555</v>
      </c>
      <c r="I707">
        <v>1322.5780029</v>
      </c>
      <c r="J707">
        <v>1319.0518798999999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366.17981800000001</v>
      </c>
      <c r="B708" s="1">
        <f>DATE(2011,5,2) + TIME(4,18,56)</f>
        <v>40665.179814814815</v>
      </c>
      <c r="C708">
        <v>80</v>
      </c>
      <c r="D708">
        <v>78.048561096</v>
      </c>
      <c r="E708">
        <v>50</v>
      </c>
      <c r="F708">
        <v>49.757652282999999</v>
      </c>
      <c r="G708">
        <v>1346.3040771000001</v>
      </c>
      <c r="H708">
        <v>1342.0063477000001</v>
      </c>
      <c r="I708">
        <v>1322.5656738</v>
      </c>
      <c r="J708">
        <v>1319.0377197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366.236986</v>
      </c>
      <c r="B709" s="1">
        <f>DATE(2011,5,2) + TIME(5,41,15)</f>
        <v>40665.236979166664</v>
      </c>
      <c r="C709">
        <v>80</v>
      </c>
      <c r="D709">
        <v>78.254348754999995</v>
      </c>
      <c r="E709">
        <v>50</v>
      </c>
      <c r="F709">
        <v>49.750038146999998</v>
      </c>
      <c r="G709">
        <v>1346.3424072</v>
      </c>
      <c r="H709">
        <v>1342.0451660000001</v>
      </c>
      <c r="I709">
        <v>1322.5557861</v>
      </c>
      <c r="J709">
        <v>1319.026001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366.29668500000002</v>
      </c>
      <c r="B710" s="1">
        <f>DATE(2011,5,2) + TIME(7,7,13)</f>
        <v>40665.296678240738</v>
      </c>
      <c r="C710">
        <v>80</v>
      </c>
      <c r="D710">
        <v>78.445449828999998</v>
      </c>
      <c r="E710">
        <v>50</v>
      </c>
      <c r="F710">
        <v>49.742164612000003</v>
      </c>
      <c r="G710">
        <v>1346.3781738</v>
      </c>
      <c r="H710">
        <v>1342.0811768000001</v>
      </c>
      <c r="I710">
        <v>1322.5479736</v>
      </c>
      <c r="J710">
        <v>1319.0164795000001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366.35911700000003</v>
      </c>
      <c r="B711" s="1">
        <f>DATE(2011,5,2) + TIME(8,37,7)</f>
        <v>40665.3591087963</v>
      </c>
      <c r="C711">
        <v>80</v>
      </c>
      <c r="D711">
        <v>78.622207642000006</v>
      </c>
      <c r="E711">
        <v>50</v>
      </c>
      <c r="F711">
        <v>49.734001159999998</v>
      </c>
      <c r="G711">
        <v>1346.4113769999999</v>
      </c>
      <c r="H711">
        <v>1342.1143798999999</v>
      </c>
      <c r="I711">
        <v>1322.5419922000001</v>
      </c>
      <c r="J711">
        <v>1319.0089111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366.42450700000001</v>
      </c>
      <c r="B712" s="1">
        <f>DATE(2011,5,2) + TIME(10,11,17)</f>
        <v>40665.424502314818</v>
      </c>
      <c r="C712">
        <v>80</v>
      </c>
      <c r="D712">
        <v>78.784980774000005</v>
      </c>
      <c r="E712">
        <v>50</v>
      </c>
      <c r="F712">
        <v>49.725528717000003</v>
      </c>
      <c r="G712">
        <v>1346.4423827999999</v>
      </c>
      <c r="H712">
        <v>1342.1448975000001</v>
      </c>
      <c r="I712">
        <v>1322.5377197</v>
      </c>
      <c r="J712">
        <v>1319.0030518000001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366.49310700000001</v>
      </c>
      <c r="B713" s="1">
        <f>DATE(2011,5,2) + TIME(11,50,4)</f>
        <v>40665.493101851855</v>
      </c>
      <c r="C713">
        <v>80</v>
      </c>
      <c r="D713">
        <v>78.934173584000007</v>
      </c>
      <c r="E713">
        <v>50</v>
      </c>
      <c r="F713">
        <v>49.716724395999996</v>
      </c>
      <c r="G713">
        <v>1346.4709473</v>
      </c>
      <c r="H713">
        <v>1342.1728516000001</v>
      </c>
      <c r="I713">
        <v>1322.5347899999999</v>
      </c>
      <c r="J713">
        <v>1318.9987793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366.565202</v>
      </c>
      <c r="B714" s="1">
        <f>DATE(2011,5,2) + TIME(13,33,53)</f>
        <v>40665.565196759257</v>
      </c>
      <c r="C714">
        <v>80</v>
      </c>
      <c r="D714">
        <v>79.070236206000004</v>
      </c>
      <c r="E714">
        <v>50</v>
      </c>
      <c r="F714">
        <v>49.707557678000001</v>
      </c>
      <c r="G714">
        <v>1346.4973144999999</v>
      </c>
      <c r="H714">
        <v>1342.1982422000001</v>
      </c>
      <c r="I714">
        <v>1322.5332031</v>
      </c>
      <c r="J714">
        <v>1318.9957274999999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366.64110899999997</v>
      </c>
      <c r="B715" s="1">
        <f>DATE(2011,5,2) + TIME(15,23,11)</f>
        <v>40665.641099537039</v>
      </c>
      <c r="C715">
        <v>80</v>
      </c>
      <c r="D715">
        <v>79.193634032999995</v>
      </c>
      <c r="E715">
        <v>50</v>
      </c>
      <c r="F715">
        <v>49.697998046999999</v>
      </c>
      <c r="G715">
        <v>1346.5216064000001</v>
      </c>
      <c r="H715">
        <v>1342.2213135</v>
      </c>
      <c r="I715">
        <v>1322.5325928</v>
      </c>
      <c r="J715">
        <v>1318.9938964999999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366.72119400000003</v>
      </c>
      <c r="B716" s="1">
        <f>DATE(2011,5,2) + TIME(17,18,31)</f>
        <v>40665.721192129633</v>
      </c>
      <c r="C716">
        <v>80</v>
      </c>
      <c r="D716">
        <v>79.304893493999998</v>
      </c>
      <c r="E716">
        <v>50</v>
      </c>
      <c r="F716">
        <v>49.688003539999997</v>
      </c>
      <c r="G716">
        <v>1346.5435791</v>
      </c>
      <c r="H716">
        <v>1342.2420654</v>
      </c>
      <c r="I716">
        <v>1322.5329589999999</v>
      </c>
      <c r="J716">
        <v>1318.9929199000001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366.805927</v>
      </c>
      <c r="B717" s="1">
        <f>DATE(2011,5,2) + TIME(19,20,32)</f>
        <v>40665.805925925924</v>
      </c>
      <c r="C717">
        <v>80</v>
      </c>
      <c r="D717">
        <v>79.404624939000001</v>
      </c>
      <c r="E717">
        <v>50</v>
      </c>
      <c r="F717">
        <v>49.677532196000001</v>
      </c>
      <c r="G717">
        <v>1346.5634766000001</v>
      </c>
      <c r="H717">
        <v>1342.2606201000001</v>
      </c>
      <c r="I717">
        <v>1322.5339355000001</v>
      </c>
      <c r="J717">
        <v>1318.9927978999999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366.89574399999998</v>
      </c>
      <c r="B718" s="1">
        <f>DATE(2011,5,2) + TIME(21,29,52)</f>
        <v>40665.895740740743</v>
      </c>
      <c r="C718">
        <v>80</v>
      </c>
      <c r="D718">
        <v>79.493331909000005</v>
      </c>
      <c r="E718">
        <v>50</v>
      </c>
      <c r="F718">
        <v>49.666542053000001</v>
      </c>
      <c r="G718">
        <v>1346.5812988</v>
      </c>
      <c r="H718">
        <v>1342.2768555</v>
      </c>
      <c r="I718">
        <v>1322.5355225000001</v>
      </c>
      <c r="J718">
        <v>1318.9931641000001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366.99119100000001</v>
      </c>
      <c r="B719" s="1">
        <f>DATE(2011,5,2) + TIME(23,47,18)</f>
        <v>40665.991180555553</v>
      </c>
      <c r="C719">
        <v>80</v>
      </c>
      <c r="D719">
        <v>79.571640015</v>
      </c>
      <c r="E719">
        <v>50</v>
      </c>
      <c r="F719">
        <v>49.654975890999999</v>
      </c>
      <c r="G719">
        <v>1346.5970459</v>
      </c>
      <c r="H719">
        <v>1342.2910156</v>
      </c>
      <c r="I719">
        <v>1322.5375977000001</v>
      </c>
      <c r="J719">
        <v>1318.9940185999999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367.08903299999997</v>
      </c>
      <c r="B720" s="1">
        <f>DATE(2011,5,3) + TIME(2,8,12)</f>
        <v>40666.08902777778</v>
      </c>
      <c r="C720">
        <v>80</v>
      </c>
      <c r="D720">
        <v>79.638023376000007</v>
      </c>
      <c r="E720">
        <v>50</v>
      </c>
      <c r="F720">
        <v>49.643192290999998</v>
      </c>
      <c r="G720">
        <v>1346.6112060999999</v>
      </c>
      <c r="H720">
        <v>1342.3031006000001</v>
      </c>
      <c r="I720">
        <v>1322.5397949000001</v>
      </c>
      <c r="J720">
        <v>1318.9951172000001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367.18794300000002</v>
      </c>
      <c r="B721" s="1">
        <f>DATE(2011,5,3) + TIME(4,30,38)</f>
        <v>40666.187939814816</v>
      </c>
      <c r="C721">
        <v>80</v>
      </c>
      <c r="D721">
        <v>79.693420410000002</v>
      </c>
      <c r="E721">
        <v>50</v>
      </c>
      <c r="F721">
        <v>49.631328582999998</v>
      </c>
      <c r="G721">
        <v>1346.6229248</v>
      </c>
      <c r="H721">
        <v>1342.3129882999999</v>
      </c>
      <c r="I721">
        <v>1322.5421143000001</v>
      </c>
      <c r="J721">
        <v>1318.9964600000001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367.28816499999999</v>
      </c>
      <c r="B722" s="1">
        <f>DATE(2011,5,3) + TIME(6,54,57)</f>
        <v>40666.288159722222</v>
      </c>
      <c r="C722">
        <v>80</v>
      </c>
      <c r="D722">
        <v>79.739631653000004</v>
      </c>
      <c r="E722">
        <v>50</v>
      </c>
      <c r="F722">
        <v>49.619365692000002</v>
      </c>
      <c r="G722">
        <v>1346.6322021000001</v>
      </c>
      <c r="H722">
        <v>1342.3206786999999</v>
      </c>
      <c r="I722">
        <v>1322.5443115</v>
      </c>
      <c r="J722">
        <v>1318.9976807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367.38991600000003</v>
      </c>
      <c r="B723" s="1">
        <f>DATE(2011,5,3) + TIME(9,21,28)</f>
        <v>40666.389907407407</v>
      </c>
      <c r="C723">
        <v>80</v>
      </c>
      <c r="D723">
        <v>79.778152465999995</v>
      </c>
      <c r="E723">
        <v>50</v>
      </c>
      <c r="F723">
        <v>49.607276917</v>
      </c>
      <c r="G723">
        <v>1346.6394043</v>
      </c>
      <c r="H723">
        <v>1342.3264160000001</v>
      </c>
      <c r="I723">
        <v>1322.5465088000001</v>
      </c>
      <c r="J723">
        <v>1318.9989014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367.49345399999999</v>
      </c>
      <c r="B724" s="1">
        <f>DATE(2011,5,3) + TIME(11,50,34)</f>
        <v>40666.493449074071</v>
      </c>
      <c r="C724">
        <v>80</v>
      </c>
      <c r="D724">
        <v>79.810241699000002</v>
      </c>
      <c r="E724">
        <v>50</v>
      </c>
      <c r="F724">
        <v>49.595035553000002</v>
      </c>
      <c r="G724">
        <v>1346.6446533000001</v>
      </c>
      <c r="H724">
        <v>1342.3303223</v>
      </c>
      <c r="I724">
        <v>1322.5484618999999</v>
      </c>
      <c r="J724">
        <v>1319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367.59898199999998</v>
      </c>
      <c r="B725" s="1">
        <f>DATE(2011,5,3) + TIME(14,22,32)</f>
        <v>40666.598981481482</v>
      </c>
      <c r="C725">
        <v>80</v>
      </c>
      <c r="D725">
        <v>79.836929321</v>
      </c>
      <c r="E725">
        <v>50</v>
      </c>
      <c r="F725">
        <v>49.582622528000002</v>
      </c>
      <c r="G725">
        <v>1346.6480713000001</v>
      </c>
      <c r="H725">
        <v>1342.3328856999999</v>
      </c>
      <c r="I725">
        <v>1322.550293</v>
      </c>
      <c r="J725">
        <v>1319.0010986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367.706726</v>
      </c>
      <c r="B726" s="1">
        <f>DATE(2011,5,3) + TIME(16,57,41)</f>
        <v>40666.706724537034</v>
      </c>
      <c r="C726">
        <v>80</v>
      </c>
      <c r="D726">
        <v>79.859077454000001</v>
      </c>
      <c r="E726">
        <v>50</v>
      </c>
      <c r="F726">
        <v>49.570007324000002</v>
      </c>
      <c r="G726">
        <v>1346.6500243999999</v>
      </c>
      <c r="H726">
        <v>1342.3338623</v>
      </c>
      <c r="I726">
        <v>1322.5520019999999</v>
      </c>
      <c r="J726">
        <v>1319.0019531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367.81694299999998</v>
      </c>
      <c r="B727" s="1">
        <f>DATE(2011,5,3) + TIME(19,36,23)</f>
        <v>40666.816932870373</v>
      </c>
      <c r="C727">
        <v>80</v>
      </c>
      <c r="D727">
        <v>79.877426146999994</v>
      </c>
      <c r="E727">
        <v>50</v>
      </c>
      <c r="F727">
        <v>49.557170868</v>
      </c>
      <c r="G727">
        <v>1346.6503906</v>
      </c>
      <c r="H727">
        <v>1342.3337402</v>
      </c>
      <c r="I727">
        <v>1322.5534668</v>
      </c>
      <c r="J727">
        <v>1319.0025635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367.92990800000001</v>
      </c>
      <c r="B728" s="1">
        <f>DATE(2011,5,3) + TIME(22,19,4)</f>
        <v>40666.929907407408</v>
      </c>
      <c r="C728">
        <v>80</v>
      </c>
      <c r="D728">
        <v>79.892593383999994</v>
      </c>
      <c r="E728">
        <v>50</v>
      </c>
      <c r="F728">
        <v>49.544086456000002</v>
      </c>
      <c r="G728">
        <v>1346.6495361</v>
      </c>
      <c r="H728">
        <v>1342.3323975000001</v>
      </c>
      <c r="I728">
        <v>1322.5548096</v>
      </c>
      <c r="J728">
        <v>1319.0031738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368.04537599999998</v>
      </c>
      <c r="B729" s="1">
        <f>DATE(2011,5,4) + TIME(1,5,20)</f>
        <v>40667.045370370368</v>
      </c>
      <c r="C729">
        <v>80</v>
      </c>
      <c r="D729">
        <v>79.905044556000007</v>
      </c>
      <c r="E729">
        <v>50</v>
      </c>
      <c r="F729">
        <v>49.530773162999999</v>
      </c>
      <c r="G729">
        <v>1346.6474608999999</v>
      </c>
      <c r="H729">
        <v>1342.3300781</v>
      </c>
      <c r="I729">
        <v>1322.5559082</v>
      </c>
      <c r="J729">
        <v>1319.0035399999999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368.16314299999999</v>
      </c>
      <c r="B730" s="1">
        <f>DATE(2011,5,4) + TIME(3,54,55)</f>
        <v>40667.163136574076</v>
      </c>
      <c r="C730">
        <v>80</v>
      </c>
      <c r="D730">
        <v>79.915214539000004</v>
      </c>
      <c r="E730">
        <v>50</v>
      </c>
      <c r="F730">
        <v>49.517253875999998</v>
      </c>
      <c r="G730">
        <v>1346.6442870999999</v>
      </c>
      <c r="H730">
        <v>1342.3267822</v>
      </c>
      <c r="I730">
        <v>1322.5567627</v>
      </c>
      <c r="J730">
        <v>1319.0037841999999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368.28350999999998</v>
      </c>
      <c r="B731" s="1">
        <f>DATE(2011,5,4) + TIME(6,48,15)</f>
        <v>40667.283506944441</v>
      </c>
      <c r="C731">
        <v>80</v>
      </c>
      <c r="D731">
        <v>79.923515320000007</v>
      </c>
      <c r="E731">
        <v>50</v>
      </c>
      <c r="F731">
        <v>49.503505707000002</v>
      </c>
      <c r="G731">
        <v>1346.6400146000001</v>
      </c>
      <c r="H731">
        <v>1342.3226318</v>
      </c>
      <c r="I731">
        <v>1322.5574951000001</v>
      </c>
      <c r="J731">
        <v>1319.0037841999999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368.406679</v>
      </c>
      <c r="B732" s="1">
        <f>DATE(2011,5,4) + TIME(9,45,37)</f>
        <v>40667.406678240739</v>
      </c>
      <c r="C732">
        <v>80</v>
      </c>
      <c r="D732">
        <v>79.930267334000007</v>
      </c>
      <c r="E732">
        <v>50</v>
      </c>
      <c r="F732">
        <v>49.489498138000002</v>
      </c>
      <c r="G732">
        <v>1346.6347656</v>
      </c>
      <c r="H732">
        <v>1342.317749</v>
      </c>
      <c r="I732">
        <v>1322.5579834</v>
      </c>
      <c r="J732">
        <v>1319.0036620999999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368.532916</v>
      </c>
      <c r="B733" s="1">
        <f>DATE(2011,5,4) + TIME(12,47,23)</f>
        <v>40667.532905092594</v>
      </c>
      <c r="C733">
        <v>80</v>
      </c>
      <c r="D733">
        <v>79.935752868999998</v>
      </c>
      <c r="E733">
        <v>50</v>
      </c>
      <c r="F733">
        <v>49.475215912000003</v>
      </c>
      <c r="G733">
        <v>1346.6286620999999</v>
      </c>
      <c r="H733">
        <v>1342.3121338000001</v>
      </c>
      <c r="I733">
        <v>1322.5583495999999</v>
      </c>
      <c r="J733">
        <v>1319.003418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368.66251299999999</v>
      </c>
      <c r="B734" s="1">
        <f>DATE(2011,5,4) + TIME(15,54,1)</f>
        <v>40667.662511574075</v>
      </c>
      <c r="C734">
        <v>80</v>
      </c>
      <c r="D734">
        <v>79.940193175999994</v>
      </c>
      <c r="E734">
        <v>50</v>
      </c>
      <c r="F734">
        <v>49.460624695</v>
      </c>
      <c r="G734">
        <v>1346.6217041</v>
      </c>
      <c r="H734">
        <v>1342.3057861</v>
      </c>
      <c r="I734">
        <v>1322.5585937999999</v>
      </c>
      <c r="J734">
        <v>1319.0030518000001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368.79578800000002</v>
      </c>
      <c r="B735" s="1">
        <f>DATE(2011,5,4) + TIME(19,5,56)</f>
        <v>40667.795787037037</v>
      </c>
      <c r="C735">
        <v>80</v>
      </c>
      <c r="D735">
        <v>79.943786621000001</v>
      </c>
      <c r="E735">
        <v>50</v>
      </c>
      <c r="F735">
        <v>49.445697783999996</v>
      </c>
      <c r="G735">
        <v>1346.6140137</v>
      </c>
      <c r="H735">
        <v>1342.2989502</v>
      </c>
      <c r="I735">
        <v>1322.5587158000001</v>
      </c>
      <c r="J735">
        <v>1319.0025635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368.93307499999997</v>
      </c>
      <c r="B736" s="1">
        <f>DATE(2011,5,4) + TIME(22,23,37)</f>
        <v>40667.933067129627</v>
      </c>
      <c r="C736">
        <v>80</v>
      </c>
      <c r="D736">
        <v>79.946678161999998</v>
      </c>
      <c r="E736">
        <v>50</v>
      </c>
      <c r="F736">
        <v>49.430400847999998</v>
      </c>
      <c r="G736">
        <v>1346.6055908000001</v>
      </c>
      <c r="H736">
        <v>1342.2915039</v>
      </c>
      <c r="I736">
        <v>1322.5587158000001</v>
      </c>
      <c r="J736">
        <v>1319.0019531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369.07474400000001</v>
      </c>
      <c r="B737" s="1">
        <f>DATE(2011,5,5) + TIME(1,47,37)</f>
        <v>40668.074733796297</v>
      </c>
      <c r="C737">
        <v>80</v>
      </c>
      <c r="D737">
        <v>79.949012756000002</v>
      </c>
      <c r="E737">
        <v>50</v>
      </c>
      <c r="F737">
        <v>49.414699554000002</v>
      </c>
      <c r="G737">
        <v>1346.5965576000001</v>
      </c>
      <c r="H737">
        <v>1342.2834473</v>
      </c>
      <c r="I737">
        <v>1322.5585937999999</v>
      </c>
      <c r="J737">
        <v>1319.0012207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369.220485</v>
      </c>
      <c r="B738" s="1">
        <f>DATE(2011,5,5) + TIME(5,17,29)</f>
        <v>40668.22047453704</v>
      </c>
      <c r="C738">
        <v>80</v>
      </c>
      <c r="D738">
        <v>79.950874329000001</v>
      </c>
      <c r="E738">
        <v>50</v>
      </c>
      <c r="F738">
        <v>49.398624419999997</v>
      </c>
      <c r="G738">
        <v>1346.5866699000001</v>
      </c>
      <c r="H738">
        <v>1342.2750243999999</v>
      </c>
      <c r="I738">
        <v>1322.5582274999999</v>
      </c>
      <c r="J738">
        <v>1319.0003661999999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369.37005399999998</v>
      </c>
      <c r="B739" s="1">
        <f>DATE(2011,5,5) + TIME(8,52,52)</f>
        <v>40668.370046296295</v>
      </c>
      <c r="C739">
        <v>80</v>
      </c>
      <c r="D739">
        <v>79.952354431000003</v>
      </c>
      <c r="E739">
        <v>50</v>
      </c>
      <c r="F739">
        <v>49.382202147999998</v>
      </c>
      <c r="G739">
        <v>1346.5764160000001</v>
      </c>
      <c r="H739">
        <v>1342.2659911999999</v>
      </c>
      <c r="I739">
        <v>1322.5578613</v>
      </c>
      <c r="J739">
        <v>1318.9993896000001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369.523799</v>
      </c>
      <c r="B740" s="1">
        <f>DATE(2011,5,5) + TIME(12,34,16)</f>
        <v>40668.523796296293</v>
      </c>
      <c r="C740">
        <v>80</v>
      </c>
      <c r="D740">
        <v>79.953529357999997</v>
      </c>
      <c r="E740">
        <v>50</v>
      </c>
      <c r="F740">
        <v>49.365402222</v>
      </c>
      <c r="G740">
        <v>1346.5654297000001</v>
      </c>
      <c r="H740">
        <v>1342.2567139</v>
      </c>
      <c r="I740">
        <v>1322.5573730000001</v>
      </c>
      <c r="J740">
        <v>1318.9982910000001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369.68207899999999</v>
      </c>
      <c r="B741" s="1">
        <f>DATE(2011,5,5) + TIME(16,22,11)</f>
        <v>40668.682071759256</v>
      </c>
      <c r="C741">
        <v>80</v>
      </c>
      <c r="D741">
        <v>79.954467773000005</v>
      </c>
      <c r="E741">
        <v>50</v>
      </c>
      <c r="F741">
        <v>49.348186493</v>
      </c>
      <c r="G741">
        <v>1346.5540771000001</v>
      </c>
      <c r="H741">
        <v>1342.2470702999999</v>
      </c>
      <c r="I741">
        <v>1322.5568848</v>
      </c>
      <c r="J741">
        <v>1318.9971923999999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369.84528699999998</v>
      </c>
      <c r="B742" s="1">
        <f>DATE(2011,5,5) + TIME(20,17,12)</f>
        <v>40668.845277777778</v>
      </c>
      <c r="C742">
        <v>80</v>
      </c>
      <c r="D742">
        <v>79.955215453999998</v>
      </c>
      <c r="E742">
        <v>50</v>
      </c>
      <c r="F742">
        <v>49.330524445000002</v>
      </c>
      <c r="G742">
        <v>1346.5422363</v>
      </c>
      <c r="H742">
        <v>1342.2369385</v>
      </c>
      <c r="I742">
        <v>1322.5561522999999</v>
      </c>
      <c r="J742">
        <v>1318.9959716999999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370.01386300000001</v>
      </c>
      <c r="B743" s="1">
        <f>DATE(2011,5,6) + TIME(0,19,57)</f>
        <v>40669.013854166667</v>
      </c>
      <c r="C743">
        <v>80</v>
      </c>
      <c r="D743">
        <v>79.955810546999999</v>
      </c>
      <c r="E743">
        <v>50</v>
      </c>
      <c r="F743">
        <v>49.312377929999997</v>
      </c>
      <c r="G743">
        <v>1346.5297852000001</v>
      </c>
      <c r="H743">
        <v>1342.2265625</v>
      </c>
      <c r="I743">
        <v>1322.5554199000001</v>
      </c>
      <c r="J743">
        <v>1318.9946289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370.18829299999999</v>
      </c>
      <c r="B744" s="1">
        <f>DATE(2011,5,6) + TIME(4,31,8)</f>
        <v>40669.188287037039</v>
      </c>
      <c r="C744">
        <v>80</v>
      </c>
      <c r="D744">
        <v>79.956283568999993</v>
      </c>
      <c r="E744">
        <v>50</v>
      </c>
      <c r="F744">
        <v>49.293701171999999</v>
      </c>
      <c r="G744">
        <v>1346.5170897999999</v>
      </c>
      <c r="H744">
        <v>1342.2158202999999</v>
      </c>
      <c r="I744">
        <v>1322.5546875</v>
      </c>
      <c r="J744">
        <v>1318.9932861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370.36909200000002</v>
      </c>
      <c r="B745" s="1">
        <f>DATE(2011,5,6) + TIME(8,51,29)</f>
        <v>40669.369085648148</v>
      </c>
      <c r="C745">
        <v>80</v>
      </c>
      <c r="D745">
        <v>79.956657410000005</v>
      </c>
      <c r="E745">
        <v>50</v>
      </c>
      <c r="F745">
        <v>49.274452209000003</v>
      </c>
      <c r="G745">
        <v>1346.5037841999999</v>
      </c>
      <c r="H745">
        <v>1342.2048339999999</v>
      </c>
      <c r="I745">
        <v>1322.5537108999999</v>
      </c>
      <c r="J745">
        <v>1318.9918213000001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370.556849</v>
      </c>
      <c r="B746" s="1">
        <f>DATE(2011,5,6) + TIME(13,21,51)</f>
        <v>40669.556840277779</v>
      </c>
      <c r="C746">
        <v>80</v>
      </c>
      <c r="D746">
        <v>79.956962584999999</v>
      </c>
      <c r="E746">
        <v>50</v>
      </c>
      <c r="F746">
        <v>49.254577636999997</v>
      </c>
      <c r="G746">
        <v>1346.4901123</v>
      </c>
      <c r="H746">
        <v>1342.1934814000001</v>
      </c>
      <c r="I746">
        <v>1322.5528564000001</v>
      </c>
      <c r="J746">
        <v>1318.9903564000001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370.75188400000002</v>
      </c>
      <c r="B747" s="1">
        <f>DATE(2011,5,6) + TIME(18,2,42)</f>
        <v>40669.751875000002</v>
      </c>
      <c r="C747">
        <v>80</v>
      </c>
      <c r="D747">
        <v>79.957206725999995</v>
      </c>
      <c r="E747">
        <v>50</v>
      </c>
      <c r="F747">
        <v>49.234054565000001</v>
      </c>
      <c r="G747">
        <v>1346.4759521000001</v>
      </c>
      <c r="H747">
        <v>1342.1818848</v>
      </c>
      <c r="I747">
        <v>1322.5517577999999</v>
      </c>
      <c r="J747">
        <v>1318.9886475000001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370.94888600000002</v>
      </c>
      <c r="B748" s="1">
        <f>DATE(2011,5,6) + TIME(22,46,23)</f>
        <v>40669.948877314811</v>
      </c>
      <c r="C748">
        <v>80</v>
      </c>
      <c r="D748">
        <v>79.957389832000004</v>
      </c>
      <c r="E748">
        <v>50</v>
      </c>
      <c r="F748">
        <v>49.213329315000003</v>
      </c>
      <c r="G748">
        <v>1346.4614257999999</v>
      </c>
      <c r="H748">
        <v>1342.1699219</v>
      </c>
      <c r="I748">
        <v>1322.5506591999999</v>
      </c>
      <c r="J748">
        <v>1318.9869385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371.14826299999999</v>
      </c>
      <c r="B749" s="1">
        <f>DATE(2011,5,7) + TIME(3,33,29)</f>
        <v>40670.148252314815</v>
      </c>
      <c r="C749">
        <v>80</v>
      </c>
      <c r="D749">
        <v>79.957534789999997</v>
      </c>
      <c r="E749">
        <v>50</v>
      </c>
      <c r="F749">
        <v>49.192382811999998</v>
      </c>
      <c r="G749">
        <v>1346.4468993999999</v>
      </c>
      <c r="H749">
        <v>1342.1580810999999</v>
      </c>
      <c r="I749">
        <v>1322.5495605000001</v>
      </c>
      <c r="J749">
        <v>1318.9852295000001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371.35049299999997</v>
      </c>
      <c r="B750" s="1">
        <f>DATE(2011,5,7) + TIME(8,24,42)</f>
        <v>40670.350486111114</v>
      </c>
      <c r="C750">
        <v>80</v>
      </c>
      <c r="D750">
        <v>79.957649231000005</v>
      </c>
      <c r="E750">
        <v>50</v>
      </c>
      <c r="F750">
        <v>49.171188354000002</v>
      </c>
      <c r="G750">
        <v>1346.4323730000001</v>
      </c>
      <c r="H750">
        <v>1342.1461182</v>
      </c>
      <c r="I750">
        <v>1322.5483397999999</v>
      </c>
      <c r="J750">
        <v>1318.9835204999999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371.556059</v>
      </c>
      <c r="B751" s="1">
        <f>DATE(2011,5,7) + TIME(13,20,43)</f>
        <v>40670.55605324074</v>
      </c>
      <c r="C751">
        <v>80</v>
      </c>
      <c r="D751">
        <v>79.957740783999995</v>
      </c>
      <c r="E751">
        <v>50</v>
      </c>
      <c r="F751">
        <v>49.149711609000001</v>
      </c>
      <c r="G751">
        <v>1346.4178466999999</v>
      </c>
      <c r="H751">
        <v>1342.1343993999999</v>
      </c>
      <c r="I751">
        <v>1322.5471190999999</v>
      </c>
      <c r="J751">
        <v>1318.9816894999999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371.76546500000001</v>
      </c>
      <c r="B752" s="1">
        <f>DATE(2011,5,7) + TIME(18,22,16)</f>
        <v>40670.765462962961</v>
      </c>
      <c r="C752">
        <v>80</v>
      </c>
      <c r="D752">
        <v>79.957817078000005</v>
      </c>
      <c r="E752">
        <v>50</v>
      </c>
      <c r="F752">
        <v>49.127918243000003</v>
      </c>
      <c r="G752">
        <v>1346.4031981999999</v>
      </c>
      <c r="H752">
        <v>1342.1225586</v>
      </c>
      <c r="I752">
        <v>1322.5458983999999</v>
      </c>
      <c r="J752">
        <v>1318.9798584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371.979242</v>
      </c>
      <c r="B753" s="1">
        <f>DATE(2011,5,7) + TIME(23,30,6)</f>
        <v>40670.97923611111</v>
      </c>
      <c r="C753">
        <v>80</v>
      </c>
      <c r="D753">
        <v>79.957878113000007</v>
      </c>
      <c r="E753">
        <v>50</v>
      </c>
      <c r="F753">
        <v>49.105766295999999</v>
      </c>
      <c r="G753">
        <v>1346.3885498</v>
      </c>
      <c r="H753">
        <v>1342.1107178</v>
      </c>
      <c r="I753">
        <v>1322.5445557</v>
      </c>
      <c r="J753">
        <v>1318.9779053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372.19762200000002</v>
      </c>
      <c r="B754" s="1">
        <f>DATE(2011,5,8) + TIME(4,44,34)</f>
        <v>40671.197615740741</v>
      </c>
      <c r="C754">
        <v>80</v>
      </c>
      <c r="D754">
        <v>79.957916260000005</v>
      </c>
      <c r="E754">
        <v>50</v>
      </c>
      <c r="F754">
        <v>49.083236694</v>
      </c>
      <c r="G754">
        <v>1346.3737793</v>
      </c>
      <c r="H754">
        <v>1342.0988769999999</v>
      </c>
      <c r="I754">
        <v>1322.5432129000001</v>
      </c>
      <c r="J754">
        <v>1318.9759521000001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372.41870599999999</v>
      </c>
      <c r="B755" s="1">
        <f>DATE(2011,5,8) + TIME(10,2,56)</f>
        <v>40671.418703703705</v>
      </c>
      <c r="C755">
        <v>80</v>
      </c>
      <c r="D755">
        <v>79.957954407000003</v>
      </c>
      <c r="E755">
        <v>50</v>
      </c>
      <c r="F755">
        <v>49.060485839999998</v>
      </c>
      <c r="G755">
        <v>1346.3591309000001</v>
      </c>
      <c r="H755">
        <v>1342.0870361</v>
      </c>
      <c r="I755">
        <v>1322.5418701000001</v>
      </c>
      <c r="J755">
        <v>1318.973999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372.64307100000002</v>
      </c>
      <c r="B756" s="1">
        <f>DATE(2011,5,8) + TIME(15,26,1)</f>
        <v>40671.643067129633</v>
      </c>
      <c r="C756">
        <v>80</v>
      </c>
      <c r="D756">
        <v>79.957977295000006</v>
      </c>
      <c r="E756">
        <v>50</v>
      </c>
      <c r="F756">
        <v>49.037479400999999</v>
      </c>
      <c r="G756">
        <v>1346.3443603999999</v>
      </c>
      <c r="H756">
        <v>1342.0753173999999</v>
      </c>
      <c r="I756">
        <v>1322.5405272999999</v>
      </c>
      <c r="J756">
        <v>1318.9720459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372.871081</v>
      </c>
      <c r="B757" s="1">
        <f>DATE(2011,5,8) + TIME(20,54,21)</f>
        <v>40671.871076388888</v>
      </c>
      <c r="C757">
        <v>80</v>
      </c>
      <c r="D757">
        <v>79.958000182999996</v>
      </c>
      <c r="E757">
        <v>50</v>
      </c>
      <c r="F757">
        <v>49.014190673999998</v>
      </c>
      <c r="G757">
        <v>1346.3297118999999</v>
      </c>
      <c r="H757">
        <v>1342.0635986</v>
      </c>
      <c r="I757">
        <v>1322.5390625</v>
      </c>
      <c r="J757">
        <v>1318.9699707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373.10321800000003</v>
      </c>
      <c r="B758" s="1">
        <f>DATE(2011,5,9) + TIME(2,28,38)</f>
        <v>40672.103217592594</v>
      </c>
      <c r="C758">
        <v>80</v>
      </c>
      <c r="D758">
        <v>79.958015442000004</v>
      </c>
      <c r="E758">
        <v>50</v>
      </c>
      <c r="F758">
        <v>48.990585326999998</v>
      </c>
      <c r="G758">
        <v>1346.3150635</v>
      </c>
      <c r="H758">
        <v>1342.0520019999999</v>
      </c>
      <c r="I758">
        <v>1322.5375977000001</v>
      </c>
      <c r="J758">
        <v>1318.9678954999999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373.33989400000002</v>
      </c>
      <c r="B759" s="1">
        <f>DATE(2011,5,9) + TIME(8,9,26)</f>
        <v>40672.339884259258</v>
      </c>
      <c r="C759">
        <v>80</v>
      </c>
      <c r="D759">
        <v>79.958023071</v>
      </c>
      <c r="E759">
        <v>50</v>
      </c>
      <c r="F759">
        <v>48.966632842999999</v>
      </c>
      <c r="G759">
        <v>1346.3005370999999</v>
      </c>
      <c r="H759">
        <v>1342.0404053</v>
      </c>
      <c r="I759">
        <v>1322.5361327999999</v>
      </c>
      <c r="J759">
        <v>1318.9656981999999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373.58164599999998</v>
      </c>
      <c r="B760" s="1">
        <f>DATE(2011,5,9) + TIME(13,57,34)</f>
        <v>40672.581643518519</v>
      </c>
      <c r="C760">
        <v>80</v>
      </c>
      <c r="D760">
        <v>79.958023071</v>
      </c>
      <c r="E760">
        <v>50</v>
      </c>
      <c r="F760">
        <v>48.942291259999998</v>
      </c>
      <c r="G760">
        <v>1346.2858887</v>
      </c>
      <c r="H760">
        <v>1342.0289307</v>
      </c>
      <c r="I760">
        <v>1322.5345459</v>
      </c>
      <c r="J760">
        <v>1318.963501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373.82905199999999</v>
      </c>
      <c r="B761" s="1">
        <f>DATE(2011,5,9) + TIME(19,53,50)</f>
        <v>40672.829050925924</v>
      </c>
      <c r="C761">
        <v>80</v>
      </c>
      <c r="D761">
        <v>79.958023071</v>
      </c>
      <c r="E761">
        <v>50</v>
      </c>
      <c r="F761">
        <v>48.917510986000003</v>
      </c>
      <c r="G761">
        <v>1346.2712402</v>
      </c>
      <c r="H761">
        <v>1342.0173339999999</v>
      </c>
      <c r="I761">
        <v>1322.5330810999999</v>
      </c>
      <c r="J761">
        <v>1318.9613036999999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374.082739</v>
      </c>
      <c r="B762" s="1">
        <f>DATE(2011,5,10) + TIME(1,59,8)</f>
        <v>40673.082731481481</v>
      </c>
      <c r="C762">
        <v>80</v>
      </c>
      <c r="D762">
        <v>79.958023071</v>
      </c>
      <c r="E762">
        <v>50</v>
      </c>
      <c r="F762">
        <v>48.892246245999999</v>
      </c>
      <c r="G762">
        <v>1346.2564697</v>
      </c>
      <c r="H762">
        <v>1342.0058594</v>
      </c>
      <c r="I762">
        <v>1322.5313721</v>
      </c>
      <c r="J762">
        <v>1318.9589844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374.34291300000001</v>
      </c>
      <c r="B763" s="1">
        <f>DATE(2011,5,10) + TIME(8,13,47)</f>
        <v>40673.342905092592</v>
      </c>
      <c r="C763">
        <v>80</v>
      </c>
      <c r="D763">
        <v>79.958023071</v>
      </c>
      <c r="E763">
        <v>50</v>
      </c>
      <c r="F763">
        <v>48.866477965999998</v>
      </c>
      <c r="G763">
        <v>1346.2416992000001</v>
      </c>
      <c r="H763">
        <v>1341.9942627</v>
      </c>
      <c r="I763">
        <v>1322.5297852000001</v>
      </c>
      <c r="J763">
        <v>1318.9566649999999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374.60732200000001</v>
      </c>
      <c r="B764" s="1">
        <f>DATE(2011,5,10) + TIME(14,34,32)</f>
        <v>40673.607314814813</v>
      </c>
      <c r="C764">
        <v>80</v>
      </c>
      <c r="D764">
        <v>79.958015442000004</v>
      </c>
      <c r="E764">
        <v>50</v>
      </c>
      <c r="F764">
        <v>48.840370178000001</v>
      </c>
      <c r="G764">
        <v>1346.2269286999999</v>
      </c>
      <c r="H764">
        <v>1341.9826660000001</v>
      </c>
      <c r="I764">
        <v>1322.5280762</v>
      </c>
      <c r="J764">
        <v>1318.9542236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374.87651</v>
      </c>
      <c r="B765" s="1">
        <f>DATE(2011,5,10) + TIME(21,2,10)</f>
        <v>40673.876504629632</v>
      </c>
      <c r="C765">
        <v>80</v>
      </c>
      <c r="D765">
        <v>79.958007812000005</v>
      </c>
      <c r="E765">
        <v>50</v>
      </c>
      <c r="F765">
        <v>48.813899994000003</v>
      </c>
      <c r="G765">
        <v>1346.2121582</v>
      </c>
      <c r="H765">
        <v>1341.9710693</v>
      </c>
      <c r="I765">
        <v>1322.5263672000001</v>
      </c>
      <c r="J765">
        <v>1318.9517822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375.15095600000001</v>
      </c>
      <c r="B766" s="1">
        <f>DATE(2011,5,11) + TIME(3,37,22)</f>
        <v>40674.150949074072</v>
      </c>
      <c r="C766">
        <v>80</v>
      </c>
      <c r="D766">
        <v>79.957992554</v>
      </c>
      <c r="E766">
        <v>50</v>
      </c>
      <c r="F766">
        <v>48.787029265999998</v>
      </c>
      <c r="G766">
        <v>1346.1973877</v>
      </c>
      <c r="H766">
        <v>1341.9595947</v>
      </c>
      <c r="I766">
        <v>1322.5245361</v>
      </c>
      <c r="J766">
        <v>1318.9493408000001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375.43122899999997</v>
      </c>
      <c r="B767" s="1">
        <f>DATE(2011,5,11) + TIME(10,20,58)</f>
        <v>40674.431226851855</v>
      </c>
      <c r="C767">
        <v>80</v>
      </c>
      <c r="D767">
        <v>79.957984924000002</v>
      </c>
      <c r="E767">
        <v>50</v>
      </c>
      <c r="F767">
        <v>48.759723663000003</v>
      </c>
      <c r="G767">
        <v>1346.1826172000001</v>
      </c>
      <c r="H767">
        <v>1341.9482422000001</v>
      </c>
      <c r="I767">
        <v>1322.5228271000001</v>
      </c>
      <c r="J767">
        <v>1318.9467772999999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375.71787899999998</v>
      </c>
      <c r="B768" s="1">
        <f>DATE(2011,5,11) + TIME(17,13,44)</f>
        <v>40674.717870370368</v>
      </c>
      <c r="C768">
        <v>80</v>
      </c>
      <c r="D768">
        <v>79.957969665999997</v>
      </c>
      <c r="E768">
        <v>50</v>
      </c>
      <c r="F768">
        <v>48.731941223</v>
      </c>
      <c r="G768">
        <v>1346.1679687999999</v>
      </c>
      <c r="H768">
        <v>1341.9367675999999</v>
      </c>
      <c r="I768">
        <v>1322.520874</v>
      </c>
      <c r="J768">
        <v>1318.9440918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376.01146999999997</v>
      </c>
      <c r="B769" s="1">
        <f>DATE(2011,5,12) + TIME(0,16,31)</f>
        <v>40675.011469907404</v>
      </c>
      <c r="C769">
        <v>80</v>
      </c>
      <c r="D769">
        <v>79.957954407000003</v>
      </c>
      <c r="E769">
        <v>50</v>
      </c>
      <c r="F769">
        <v>48.703639983999999</v>
      </c>
      <c r="G769">
        <v>1346.1531981999999</v>
      </c>
      <c r="H769">
        <v>1341.9254149999999</v>
      </c>
      <c r="I769">
        <v>1322.519043</v>
      </c>
      <c r="J769">
        <v>1318.9414062000001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376.31271400000003</v>
      </c>
      <c r="B770" s="1">
        <f>DATE(2011,5,12) + TIME(7,30,18)</f>
        <v>40675.312708333331</v>
      </c>
      <c r="C770">
        <v>80</v>
      </c>
      <c r="D770">
        <v>79.957946777000004</v>
      </c>
      <c r="E770">
        <v>50</v>
      </c>
      <c r="F770">
        <v>48.674774169999999</v>
      </c>
      <c r="G770">
        <v>1346.1384277</v>
      </c>
      <c r="H770">
        <v>1341.9139404</v>
      </c>
      <c r="I770">
        <v>1322.5170897999999</v>
      </c>
      <c r="J770">
        <v>1318.9387207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376.62239499999998</v>
      </c>
      <c r="B771" s="1">
        <f>DATE(2011,5,12) + TIME(14,56,14)</f>
        <v>40675.622384259259</v>
      </c>
      <c r="C771">
        <v>80</v>
      </c>
      <c r="D771">
        <v>79.957931518999999</v>
      </c>
      <c r="E771">
        <v>50</v>
      </c>
      <c r="F771">
        <v>48.645275116000001</v>
      </c>
      <c r="G771">
        <v>1346.1235352000001</v>
      </c>
      <c r="H771">
        <v>1341.9025879000001</v>
      </c>
      <c r="I771">
        <v>1322.5150146000001</v>
      </c>
      <c r="J771">
        <v>1318.9357910000001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376.93916400000001</v>
      </c>
      <c r="B772" s="1">
        <f>DATE(2011,5,12) + TIME(22,32,23)</f>
        <v>40675.939155092594</v>
      </c>
      <c r="C772">
        <v>80</v>
      </c>
      <c r="D772">
        <v>79.957916260000005</v>
      </c>
      <c r="E772">
        <v>50</v>
      </c>
      <c r="F772">
        <v>48.615242004000002</v>
      </c>
      <c r="G772">
        <v>1346.1085204999999</v>
      </c>
      <c r="H772">
        <v>1341.8909911999999</v>
      </c>
      <c r="I772">
        <v>1322.5129394999999</v>
      </c>
      <c r="J772">
        <v>1318.9328613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377.261706</v>
      </c>
      <c r="B773" s="1">
        <f>DATE(2011,5,13) + TIME(6,16,51)</f>
        <v>40676.261701388888</v>
      </c>
      <c r="C773">
        <v>80</v>
      </c>
      <c r="D773">
        <v>79.957901000999996</v>
      </c>
      <c r="E773">
        <v>50</v>
      </c>
      <c r="F773">
        <v>48.584762572999999</v>
      </c>
      <c r="G773">
        <v>1346.0935059000001</v>
      </c>
      <c r="H773">
        <v>1341.8795166</v>
      </c>
      <c r="I773">
        <v>1322.5108643000001</v>
      </c>
      <c r="J773">
        <v>1318.9299315999999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377.59092600000002</v>
      </c>
      <c r="B774" s="1">
        <f>DATE(2011,5,13) + TIME(14,10,55)</f>
        <v>40676.590914351851</v>
      </c>
      <c r="C774">
        <v>80</v>
      </c>
      <c r="D774">
        <v>79.957878113000007</v>
      </c>
      <c r="E774">
        <v>50</v>
      </c>
      <c r="F774">
        <v>48.553791046000001</v>
      </c>
      <c r="G774">
        <v>1346.0784911999999</v>
      </c>
      <c r="H774">
        <v>1341.8681641000001</v>
      </c>
      <c r="I774">
        <v>1322.5086670000001</v>
      </c>
      <c r="J774">
        <v>1318.9268798999999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377.92321199999998</v>
      </c>
      <c r="B775" s="1">
        <f>DATE(2011,5,13) + TIME(22,9,25)</f>
        <v>40676.923206018517</v>
      </c>
      <c r="C775">
        <v>80</v>
      </c>
      <c r="D775">
        <v>79.957862853999998</v>
      </c>
      <c r="E775">
        <v>50</v>
      </c>
      <c r="F775">
        <v>48.522579192999999</v>
      </c>
      <c r="G775">
        <v>1346.0635986</v>
      </c>
      <c r="H775">
        <v>1341.8566894999999</v>
      </c>
      <c r="I775">
        <v>1322.5064697</v>
      </c>
      <c r="J775">
        <v>1318.9237060999999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378.25869399999999</v>
      </c>
      <c r="B776" s="1">
        <f>DATE(2011,5,14) + TIME(6,12,31)</f>
        <v>40677.258692129632</v>
      </c>
      <c r="C776">
        <v>80</v>
      </c>
      <c r="D776">
        <v>79.957847595000004</v>
      </c>
      <c r="E776">
        <v>50</v>
      </c>
      <c r="F776">
        <v>48.491149901999997</v>
      </c>
      <c r="G776">
        <v>1346.0488281</v>
      </c>
      <c r="H776">
        <v>1341.8454589999999</v>
      </c>
      <c r="I776">
        <v>1322.5041504000001</v>
      </c>
      <c r="J776">
        <v>1318.9205322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378.59804300000002</v>
      </c>
      <c r="B777" s="1">
        <f>DATE(2011,5,14) + TIME(14,21,10)</f>
        <v>40677.598032407404</v>
      </c>
      <c r="C777">
        <v>80</v>
      </c>
      <c r="D777">
        <v>79.957832335999996</v>
      </c>
      <c r="E777">
        <v>50</v>
      </c>
      <c r="F777">
        <v>48.459476471000002</v>
      </c>
      <c r="G777">
        <v>1346.0341797000001</v>
      </c>
      <c r="H777">
        <v>1341.8343506000001</v>
      </c>
      <c r="I777">
        <v>1322.5019531</v>
      </c>
      <c r="J777">
        <v>1318.9173584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378.94190700000001</v>
      </c>
      <c r="B778" s="1">
        <f>DATE(2011,5,14) + TIME(22,36,20)</f>
        <v>40677.94189814815</v>
      </c>
      <c r="C778">
        <v>80</v>
      </c>
      <c r="D778">
        <v>79.957817078000005</v>
      </c>
      <c r="E778">
        <v>50</v>
      </c>
      <c r="F778">
        <v>48.427528381000002</v>
      </c>
      <c r="G778">
        <v>1346.0196533000001</v>
      </c>
      <c r="H778">
        <v>1341.8233643000001</v>
      </c>
      <c r="I778">
        <v>1322.4996338000001</v>
      </c>
      <c r="J778">
        <v>1318.9140625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379.29102499999999</v>
      </c>
      <c r="B779" s="1">
        <f>DATE(2011,5,15) + TIME(6,59,4)</f>
        <v>40678.291018518517</v>
      </c>
      <c r="C779">
        <v>80</v>
      </c>
      <c r="D779">
        <v>79.957801818999997</v>
      </c>
      <c r="E779">
        <v>50</v>
      </c>
      <c r="F779">
        <v>48.395259856999999</v>
      </c>
      <c r="G779">
        <v>1346.005249</v>
      </c>
      <c r="H779">
        <v>1341.8125</v>
      </c>
      <c r="I779">
        <v>1322.4971923999999</v>
      </c>
      <c r="J779">
        <v>1318.9107666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379.64617900000002</v>
      </c>
      <c r="B780" s="1">
        <f>DATE(2011,5,15) + TIME(15,30,29)</f>
        <v>40678.646168981482</v>
      </c>
      <c r="C780">
        <v>80</v>
      </c>
      <c r="D780">
        <v>79.957778931000007</v>
      </c>
      <c r="E780">
        <v>50</v>
      </c>
      <c r="F780">
        <v>48.362625121999997</v>
      </c>
      <c r="G780">
        <v>1345.9908447</v>
      </c>
      <c r="H780">
        <v>1341.8016356999999</v>
      </c>
      <c r="I780">
        <v>1322.4948730000001</v>
      </c>
      <c r="J780">
        <v>1318.9073486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380.008197</v>
      </c>
      <c r="B781" s="1">
        <f>DATE(2011,5,16) + TIME(0,11,48)</f>
        <v>40679.008194444446</v>
      </c>
      <c r="C781">
        <v>80</v>
      </c>
      <c r="D781">
        <v>79.957763671999999</v>
      </c>
      <c r="E781">
        <v>50</v>
      </c>
      <c r="F781">
        <v>48.329563141000001</v>
      </c>
      <c r="G781">
        <v>1345.9765625</v>
      </c>
      <c r="H781">
        <v>1341.7908935999999</v>
      </c>
      <c r="I781">
        <v>1322.4923096</v>
      </c>
      <c r="J781">
        <v>1318.9038086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380.37796100000003</v>
      </c>
      <c r="B782" s="1">
        <f>DATE(2011,5,16) + TIME(9,4,15)</f>
        <v>40679.377951388888</v>
      </c>
      <c r="C782">
        <v>80</v>
      </c>
      <c r="D782">
        <v>79.957748413000004</v>
      </c>
      <c r="E782">
        <v>50</v>
      </c>
      <c r="F782">
        <v>48.296012877999999</v>
      </c>
      <c r="G782">
        <v>1345.9622803</v>
      </c>
      <c r="H782">
        <v>1341.7801514</v>
      </c>
      <c r="I782">
        <v>1322.4898682</v>
      </c>
      <c r="J782">
        <v>1318.9002685999999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380.75643200000002</v>
      </c>
      <c r="B783" s="1">
        <f>DATE(2011,5,16) + TIME(18,9,15)</f>
        <v>40679.756423611114</v>
      </c>
      <c r="C783">
        <v>80</v>
      </c>
      <c r="D783">
        <v>79.957733153999996</v>
      </c>
      <c r="E783">
        <v>50</v>
      </c>
      <c r="F783">
        <v>48.261905669999997</v>
      </c>
      <c r="G783">
        <v>1345.947876</v>
      </c>
      <c r="H783">
        <v>1341.7694091999999</v>
      </c>
      <c r="I783">
        <v>1322.4873047000001</v>
      </c>
      <c r="J783">
        <v>1318.8967285000001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381.14238999999998</v>
      </c>
      <c r="B784" s="1">
        <f>DATE(2011,5,17) + TIME(3,25,2)</f>
        <v>40680.142384259256</v>
      </c>
      <c r="C784">
        <v>80</v>
      </c>
      <c r="D784">
        <v>79.957717896000005</v>
      </c>
      <c r="E784">
        <v>50</v>
      </c>
      <c r="F784">
        <v>48.227306366000001</v>
      </c>
      <c r="G784">
        <v>1345.9334716999999</v>
      </c>
      <c r="H784">
        <v>1341.7585449000001</v>
      </c>
      <c r="I784">
        <v>1322.4846190999999</v>
      </c>
      <c r="J784">
        <v>1318.8929443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381.53287499999999</v>
      </c>
      <c r="B785" s="1">
        <f>DATE(2011,5,17) + TIME(12,47,20)</f>
        <v>40680.532870370371</v>
      </c>
      <c r="C785">
        <v>80</v>
      </c>
      <c r="D785">
        <v>79.957702636999997</v>
      </c>
      <c r="E785">
        <v>50</v>
      </c>
      <c r="F785">
        <v>48.192398071</v>
      </c>
      <c r="G785">
        <v>1345.9191894999999</v>
      </c>
      <c r="H785">
        <v>1341.7478027</v>
      </c>
      <c r="I785">
        <v>1322.4819336</v>
      </c>
      <c r="J785">
        <v>1318.8891602000001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381.92863</v>
      </c>
      <c r="B786" s="1">
        <f>DATE(2011,5,17) + TIME(22,17,13)</f>
        <v>40680.928622685184</v>
      </c>
      <c r="C786">
        <v>80</v>
      </c>
      <c r="D786">
        <v>79.957687378000003</v>
      </c>
      <c r="E786">
        <v>50</v>
      </c>
      <c r="F786">
        <v>48.157165526999997</v>
      </c>
      <c r="G786">
        <v>1345.9047852000001</v>
      </c>
      <c r="H786">
        <v>1341.7371826000001</v>
      </c>
      <c r="I786">
        <v>1322.479126</v>
      </c>
      <c r="J786">
        <v>1318.8852539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382.33017599999999</v>
      </c>
      <c r="B787" s="1">
        <f>DATE(2011,5,18) + TIME(7,55,27)</f>
        <v>40681.33017361111</v>
      </c>
      <c r="C787">
        <v>80</v>
      </c>
      <c r="D787">
        <v>79.957672118999994</v>
      </c>
      <c r="E787">
        <v>50</v>
      </c>
      <c r="F787">
        <v>48.121589661000002</v>
      </c>
      <c r="G787">
        <v>1345.890625</v>
      </c>
      <c r="H787">
        <v>1341.7265625</v>
      </c>
      <c r="I787">
        <v>1322.4763184000001</v>
      </c>
      <c r="J787">
        <v>1318.8813477000001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382.73827399999999</v>
      </c>
      <c r="B788" s="1">
        <f>DATE(2011,5,18) + TIME(17,43,6)</f>
        <v>40681.738263888888</v>
      </c>
      <c r="C788">
        <v>80</v>
      </c>
      <c r="D788">
        <v>79.95765686</v>
      </c>
      <c r="E788">
        <v>50</v>
      </c>
      <c r="F788">
        <v>48.085632324000002</v>
      </c>
      <c r="G788">
        <v>1345.8764647999999</v>
      </c>
      <c r="H788">
        <v>1341.7160644999999</v>
      </c>
      <c r="I788">
        <v>1322.4735106999999</v>
      </c>
      <c r="J788">
        <v>1318.8773193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383.15376600000002</v>
      </c>
      <c r="B789" s="1">
        <f>DATE(2011,5,19) + TIME(3,41,25)</f>
        <v>40682.153761574074</v>
      </c>
      <c r="C789">
        <v>80</v>
      </c>
      <c r="D789">
        <v>79.957633971999996</v>
      </c>
      <c r="E789">
        <v>50</v>
      </c>
      <c r="F789">
        <v>48.049247741999999</v>
      </c>
      <c r="G789">
        <v>1345.8623047000001</v>
      </c>
      <c r="H789">
        <v>1341.7055664</v>
      </c>
      <c r="I789">
        <v>1322.4705810999999</v>
      </c>
      <c r="J789">
        <v>1318.8731689000001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383.57755400000002</v>
      </c>
      <c r="B790" s="1">
        <f>DATE(2011,5,19) + TIME(13,51,40)</f>
        <v>40682.577546296299</v>
      </c>
      <c r="C790">
        <v>80</v>
      </c>
      <c r="D790">
        <v>79.957618713000002</v>
      </c>
      <c r="E790">
        <v>50</v>
      </c>
      <c r="F790">
        <v>48.012378693000002</v>
      </c>
      <c r="G790">
        <v>1345.8482666</v>
      </c>
      <c r="H790">
        <v>1341.6951904</v>
      </c>
      <c r="I790">
        <v>1322.4675293</v>
      </c>
      <c r="J790">
        <v>1318.8688964999999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384.01060999999999</v>
      </c>
      <c r="B791" s="1">
        <f>DATE(2011,5,20) + TIME(0,15,16)</f>
        <v>40683.010601851849</v>
      </c>
      <c r="C791">
        <v>80</v>
      </c>
      <c r="D791">
        <v>79.957603454999997</v>
      </c>
      <c r="E791">
        <v>50</v>
      </c>
      <c r="F791">
        <v>47.974956511999999</v>
      </c>
      <c r="G791">
        <v>1345.8341064000001</v>
      </c>
      <c r="H791">
        <v>1341.6846923999999</v>
      </c>
      <c r="I791">
        <v>1322.4644774999999</v>
      </c>
      <c r="J791">
        <v>1318.864624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384.45399400000002</v>
      </c>
      <c r="B792" s="1">
        <f>DATE(2011,5,20) + TIME(10,53,45)</f>
        <v>40683.453993055555</v>
      </c>
      <c r="C792">
        <v>80</v>
      </c>
      <c r="D792">
        <v>79.957595824999999</v>
      </c>
      <c r="E792">
        <v>50</v>
      </c>
      <c r="F792">
        <v>47.936912536999998</v>
      </c>
      <c r="G792">
        <v>1345.8199463000001</v>
      </c>
      <c r="H792">
        <v>1341.6741943</v>
      </c>
      <c r="I792">
        <v>1322.4613036999999</v>
      </c>
      <c r="J792">
        <v>1318.8601074000001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384.90294899999998</v>
      </c>
      <c r="B793" s="1">
        <f>DATE(2011,5,20) + TIME(21,40,14)</f>
        <v>40683.902939814812</v>
      </c>
      <c r="C793">
        <v>80</v>
      </c>
      <c r="D793">
        <v>79.957580566000004</v>
      </c>
      <c r="E793">
        <v>50</v>
      </c>
      <c r="F793">
        <v>47.898502350000001</v>
      </c>
      <c r="G793">
        <v>1345.8056641000001</v>
      </c>
      <c r="H793">
        <v>1341.6636963000001</v>
      </c>
      <c r="I793">
        <v>1322.4581298999999</v>
      </c>
      <c r="J793">
        <v>1318.8555908000001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385.354446</v>
      </c>
      <c r="B794" s="1">
        <f>DATE(2011,5,21) + TIME(8,30,24)</f>
        <v>40684.354444444441</v>
      </c>
      <c r="C794">
        <v>80</v>
      </c>
      <c r="D794">
        <v>79.957565308</v>
      </c>
      <c r="E794">
        <v>50</v>
      </c>
      <c r="F794">
        <v>47.859935759999999</v>
      </c>
      <c r="G794">
        <v>1345.7915039</v>
      </c>
      <c r="H794">
        <v>1341.6533202999999</v>
      </c>
      <c r="I794">
        <v>1322.4548339999999</v>
      </c>
      <c r="J794">
        <v>1318.8509521000001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385.80949600000002</v>
      </c>
      <c r="B795" s="1">
        <f>DATE(2011,5,21) + TIME(19,25,40)</f>
        <v>40684.809490740743</v>
      </c>
      <c r="C795">
        <v>80</v>
      </c>
      <c r="D795">
        <v>79.957550049000005</v>
      </c>
      <c r="E795">
        <v>50</v>
      </c>
      <c r="F795">
        <v>47.821205139</v>
      </c>
      <c r="G795">
        <v>1345.7775879000001</v>
      </c>
      <c r="H795">
        <v>1341.6430664</v>
      </c>
      <c r="I795">
        <v>1322.4514160000001</v>
      </c>
      <c r="J795">
        <v>1318.8461914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386.26913300000001</v>
      </c>
      <c r="B796" s="1">
        <f>DATE(2011,5,22) + TIME(6,27,33)</f>
        <v>40685.269131944442</v>
      </c>
      <c r="C796">
        <v>80</v>
      </c>
      <c r="D796">
        <v>79.957534789999997</v>
      </c>
      <c r="E796">
        <v>50</v>
      </c>
      <c r="F796">
        <v>47.782279967999997</v>
      </c>
      <c r="G796">
        <v>1345.7636719</v>
      </c>
      <c r="H796">
        <v>1341.6328125</v>
      </c>
      <c r="I796">
        <v>1322.4479980000001</v>
      </c>
      <c r="J796">
        <v>1318.8414307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386.73417000000001</v>
      </c>
      <c r="B797" s="1">
        <f>DATE(2011,5,22) + TIME(17,37,12)</f>
        <v>40685.734166666669</v>
      </c>
      <c r="C797">
        <v>80</v>
      </c>
      <c r="D797">
        <v>79.957519531000003</v>
      </c>
      <c r="E797">
        <v>50</v>
      </c>
      <c r="F797">
        <v>47.743125915999997</v>
      </c>
      <c r="G797">
        <v>1345.7498779</v>
      </c>
      <c r="H797">
        <v>1341.6228027</v>
      </c>
      <c r="I797">
        <v>1322.4445800999999</v>
      </c>
      <c r="J797">
        <v>1318.8365478999999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387.20559100000003</v>
      </c>
      <c r="B798" s="1">
        <f>DATE(2011,5,23) + TIME(4,56,3)</f>
        <v>40686.205590277779</v>
      </c>
      <c r="C798">
        <v>80</v>
      </c>
      <c r="D798">
        <v>79.957504271999994</v>
      </c>
      <c r="E798">
        <v>50</v>
      </c>
      <c r="F798">
        <v>47.703693389999998</v>
      </c>
      <c r="G798">
        <v>1345.7362060999999</v>
      </c>
      <c r="H798">
        <v>1341.612793</v>
      </c>
      <c r="I798">
        <v>1322.4410399999999</v>
      </c>
      <c r="J798">
        <v>1318.831543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387.68442700000003</v>
      </c>
      <c r="B799" s="1">
        <f>DATE(2011,5,23) + TIME(16,25,34)</f>
        <v>40686.684421296297</v>
      </c>
      <c r="C799">
        <v>80</v>
      </c>
      <c r="D799">
        <v>79.957489014000004</v>
      </c>
      <c r="E799">
        <v>50</v>
      </c>
      <c r="F799">
        <v>47.663913727000001</v>
      </c>
      <c r="G799">
        <v>1345.7226562000001</v>
      </c>
      <c r="H799">
        <v>1341.6027832</v>
      </c>
      <c r="I799">
        <v>1322.4375</v>
      </c>
      <c r="J799">
        <v>1318.8264160000001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388.17175900000001</v>
      </c>
      <c r="B800" s="1">
        <f>DATE(2011,5,24) + TIME(4,7,20)</f>
        <v>40687.171759259261</v>
      </c>
      <c r="C800">
        <v>80</v>
      </c>
      <c r="D800">
        <v>79.957481384000005</v>
      </c>
      <c r="E800">
        <v>50</v>
      </c>
      <c r="F800">
        <v>47.623718261999997</v>
      </c>
      <c r="G800">
        <v>1345.7089844</v>
      </c>
      <c r="H800">
        <v>1341.5928954999999</v>
      </c>
      <c r="I800">
        <v>1322.4337158000001</v>
      </c>
      <c r="J800">
        <v>1318.8212891000001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388.668747</v>
      </c>
      <c r="B801" s="1">
        <f>DATE(2011,5,24) + TIME(16,2,59)</f>
        <v>40687.668738425928</v>
      </c>
      <c r="C801">
        <v>80</v>
      </c>
      <c r="D801">
        <v>79.957466124999996</v>
      </c>
      <c r="E801">
        <v>50</v>
      </c>
      <c r="F801">
        <v>47.583034515000001</v>
      </c>
      <c r="G801">
        <v>1345.6954346</v>
      </c>
      <c r="H801">
        <v>1341.5828856999999</v>
      </c>
      <c r="I801">
        <v>1322.4299315999999</v>
      </c>
      <c r="J801">
        <v>1318.815918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389.17664000000002</v>
      </c>
      <c r="B802" s="1">
        <f>DATE(2011,5,25) + TIME(4,14,21)</f>
        <v>40688.176631944443</v>
      </c>
      <c r="C802">
        <v>80</v>
      </c>
      <c r="D802">
        <v>79.957450867000006</v>
      </c>
      <c r="E802">
        <v>50</v>
      </c>
      <c r="F802">
        <v>47.541774750000002</v>
      </c>
      <c r="G802">
        <v>1345.6817627</v>
      </c>
      <c r="H802">
        <v>1341.5729980000001</v>
      </c>
      <c r="I802">
        <v>1322.4261475000001</v>
      </c>
      <c r="J802">
        <v>1318.8104248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389.696845</v>
      </c>
      <c r="B803" s="1">
        <f>DATE(2011,5,25) + TIME(16,43,27)</f>
        <v>40688.696840277778</v>
      </c>
      <c r="C803">
        <v>80</v>
      </c>
      <c r="D803">
        <v>79.957443237000007</v>
      </c>
      <c r="E803">
        <v>50</v>
      </c>
      <c r="F803">
        <v>47.499851227000001</v>
      </c>
      <c r="G803">
        <v>1345.6679687999999</v>
      </c>
      <c r="H803">
        <v>1341.5629882999999</v>
      </c>
      <c r="I803">
        <v>1322.4221190999999</v>
      </c>
      <c r="J803">
        <v>1318.8048096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390.22270800000001</v>
      </c>
      <c r="B804" s="1">
        <f>DATE(2011,5,26) + TIME(5,20,42)</f>
        <v>40689.222708333335</v>
      </c>
      <c r="C804">
        <v>80</v>
      </c>
      <c r="D804">
        <v>79.957427979000002</v>
      </c>
      <c r="E804">
        <v>50</v>
      </c>
      <c r="F804">
        <v>47.457569122000002</v>
      </c>
      <c r="G804">
        <v>1345.6541748</v>
      </c>
      <c r="H804">
        <v>1341.5529785000001</v>
      </c>
      <c r="I804">
        <v>1322.4179687999999</v>
      </c>
      <c r="J804">
        <v>1318.7989502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390.75310300000001</v>
      </c>
      <c r="B805" s="1">
        <f>DATE(2011,5,26) + TIME(18,4,28)</f>
        <v>40689.753101851849</v>
      </c>
      <c r="C805">
        <v>80</v>
      </c>
      <c r="D805">
        <v>79.957420349000003</v>
      </c>
      <c r="E805">
        <v>50</v>
      </c>
      <c r="F805">
        <v>47.415046691999997</v>
      </c>
      <c r="G805">
        <v>1345.6405029</v>
      </c>
      <c r="H805">
        <v>1341.5429687999999</v>
      </c>
      <c r="I805">
        <v>1322.4138184000001</v>
      </c>
      <c r="J805">
        <v>1318.7930908000001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391.28908100000001</v>
      </c>
      <c r="B806" s="1">
        <f>DATE(2011,5,27) + TIME(6,56,16)</f>
        <v>40690.289074074077</v>
      </c>
      <c r="C806">
        <v>80</v>
      </c>
      <c r="D806">
        <v>79.957405089999995</v>
      </c>
      <c r="E806">
        <v>50</v>
      </c>
      <c r="F806">
        <v>47.372280121000003</v>
      </c>
      <c r="G806">
        <v>1345.6268310999999</v>
      </c>
      <c r="H806">
        <v>1341.5330810999999</v>
      </c>
      <c r="I806">
        <v>1322.4095459</v>
      </c>
      <c r="J806">
        <v>1318.7869873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391.83183400000001</v>
      </c>
      <c r="B807" s="1">
        <f>DATE(2011,5,27) + TIME(19,57,50)</f>
        <v>40690.831828703704</v>
      </c>
      <c r="C807">
        <v>80</v>
      </c>
      <c r="D807">
        <v>79.957397460999999</v>
      </c>
      <c r="E807">
        <v>50</v>
      </c>
      <c r="F807">
        <v>47.329231262</v>
      </c>
      <c r="G807">
        <v>1345.6132812000001</v>
      </c>
      <c r="H807">
        <v>1341.5233154</v>
      </c>
      <c r="I807">
        <v>1322.4051514</v>
      </c>
      <c r="J807">
        <v>1318.7807617000001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392.38222000000002</v>
      </c>
      <c r="B808" s="1">
        <f>DATE(2011,5,28) + TIME(9,10,23)</f>
        <v>40691.382210648146</v>
      </c>
      <c r="C808">
        <v>80</v>
      </c>
      <c r="D808">
        <v>79.957382202000005</v>
      </c>
      <c r="E808">
        <v>50</v>
      </c>
      <c r="F808">
        <v>47.285861969000003</v>
      </c>
      <c r="G808">
        <v>1345.5997314000001</v>
      </c>
      <c r="H808">
        <v>1341.5135498</v>
      </c>
      <c r="I808">
        <v>1322.4006348</v>
      </c>
      <c r="J808">
        <v>1318.7744141000001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392.94135299999999</v>
      </c>
      <c r="B809" s="1">
        <f>DATE(2011,5,28) + TIME(22,35,32)</f>
        <v>40691.941342592596</v>
      </c>
      <c r="C809">
        <v>80</v>
      </c>
      <c r="D809">
        <v>79.957374572999996</v>
      </c>
      <c r="E809">
        <v>50</v>
      </c>
      <c r="F809">
        <v>47.242115020999996</v>
      </c>
      <c r="G809">
        <v>1345.5863036999999</v>
      </c>
      <c r="H809">
        <v>1341.5037841999999</v>
      </c>
      <c r="I809">
        <v>1322.3961182</v>
      </c>
      <c r="J809">
        <v>1318.7679443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393.51040799999998</v>
      </c>
      <c r="B810" s="1">
        <f>DATE(2011,5,29) + TIME(12,14,59)</f>
        <v>40692.510405092595</v>
      </c>
      <c r="C810">
        <v>80</v>
      </c>
      <c r="D810">
        <v>79.957359314000001</v>
      </c>
      <c r="E810">
        <v>50</v>
      </c>
      <c r="F810">
        <v>47.197925568000002</v>
      </c>
      <c r="G810">
        <v>1345.572876</v>
      </c>
      <c r="H810">
        <v>1341.4941406</v>
      </c>
      <c r="I810">
        <v>1322.3913574000001</v>
      </c>
      <c r="J810">
        <v>1318.7613524999999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394.08482600000002</v>
      </c>
      <c r="B811" s="1">
        <f>DATE(2011,5,30) + TIME(2,2,8)</f>
        <v>40693.084814814814</v>
      </c>
      <c r="C811">
        <v>80</v>
      </c>
      <c r="D811">
        <v>79.957351685000006</v>
      </c>
      <c r="E811">
        <v>50</v>
      </c>
      <c r="F811">
        <v>47.153480530000003</v>
      </c>
      <c r="G811">
        <v>1345.5593262</v>
      </c>
      <c r="H811">
        <v>1341.484375</v>
      </c>
      <c r="I811">
        <v>1322.3865966999999</v>
      </c>
      <c r="J811">
        <v>1318.7545166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394.66407900000002</v>
      </c>
      <c r="B812" s="1">
        <f>DATE(2011,5,30) + TIME(15,56,16)</f>
        <v>40693.664074074077</v>
      </c>
      <c r="C812">
        <v>80</v>
      </c>
      <c r="D812">
        <v>79.957344054999993</v>
      </c>
      <c r="E812">
        <v>50</v>
      </c>
      <c r="F812">
        <v>47.108852386000002</v>
      </c>
      <c r="G812">
        <v>1345.5458983999999</v>
      </c>
      <c r="H812">
        <v>1341.4747314000001</v>
      </c>
      <c r="I812">
        <v>1322.3815918</v>
      </c>
      <c r="J812">
        <v>1318.7475586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395.24919699999998</v>
      </c>
      <c r="B813" s="1">
        <f>DATE(2011,5,31) + TIME(5,58,50)</f>
        <v>40694.249189814815</v>
      </c>
      <c r="C813">
        <v>80</v>
      </c>
      <c r="D813">
        <v>79.957328795999999</v>
      </c>
      <c r="E813">
        <v>50</v>
      </c>
      <c r="F813">
        <v>47.064029693999998</v>
      </c>
      <c r="G813">
        <v>1345.5325928</v>
      </c>
      <c r="H813">
        <v>1341.4652100000001</v>
      </c>
      <c r="I813">
        <v>1322.3765868999999</v>
      </c>
      <c r="J813">
        <v>1318.7403564000001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395.84143599999999</v>
      </c>
      <c r="B814" s="1">
        <f>DATE(2011,5,31) + TIME(20,11,40)</f>
        <v>40694.841435185182</v>
      </c>
      <c r="C814">
        <v>80</v>
      </c>
      <c r="D814">
        <v>79.957321167000003</v>
      </c>
      <c r="E814">
        <v>50</v>
      </c>
      <c r="F814">
        <v>47.018962860000002</v>
      </c>
      <c r="G814">
        <v>1345.5194091999999</v>
      </c>
      <c r="H814">
        <v>1341.4556885</v>
      </c>
      <c r="I814">
        <v>1322.3714600000001</v>
      </c>
      <c r="J814">
        <v>1318.7331543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396</v>
      </c>
      <c r="B815" s="1">
        <f>DATE(2011,6,1) + TIME(0,0,0)</f>
        <v>40695</v>
      </c>
      <c r="C815">
        <v>80</v>
      </c>
      <c r="D815">
        <v>79.957298279</v>
      </c>
      <c r="E815">
        <v>50</v>
      </c>
      <c r="F815">
        <v>47.001899719000001</v>
      </c>
      <c r="G815">
        <v>1345.5084228999999</v>
      </c>
      <c r="H815">
        <v>1341.447876</v>
      </c>
      <c r="I815">
        <v>1322.3663329999999</v>
      </c>
      <c r="J815">
        <v>1318.7270507999999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396.600663</v>
      </c>
      <c r="B816" s="1">
        <f>DATE(2011,6,1) + TIME(14,24,57)</f>
        <v>40695.600659722222</v>
      </c>
      <c r="C816">
        <v>80</v>
      </c>
      <c r="D816">
        <v>79.957313537999994</v>
      </c>
      <c r="E816">
        <v>50</v>
      </c>
      <c r="F816">
        <v>46.958587645999998</v>
      </c>
      <c r="G816">
        <v>1345.5021973</v>
      </c>
      <c r="H816">
        <v>1341.4433594</v>
      </c>
      <c r="I816">
        <v>1322.364624</v>
      </c>
      <c r="J816">
        <v>1318.7232666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397.21407399999998</v>
      </c>
      <c r="B817" s="1">
        <f>DATE(2011,6,2) + TIME(5,8,15)</f>
        <v>40696.214062500003</v>
      </c>
      <c r="C817">
        <v>80</v>
      </c>
      <c r="D817">
        <v>79.957305907999995</v>
      </c>
      <c r="E817">
        <v>50</v>
      </c>
      <c r="F817">
        <v>46.913959503000001</v>
      </c>
      <c r="G817">
        <v>1345.4895019999999</v>
      </c>
      <c r="H817">
        <v>1341.4342041</v>
      </c>
      <c r="I817">
        <v>1322.359375</v>
      </c>
      <c r="J817">
        <v>1318.7158202999999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397.83904200000001</v>
      </c>
      <c r="B818" s="1">
        <f>DATE(2011,6,2) + TIME(20,8,13)</f>
        <v>40696.839039351849</v>
      </c>
      <c r="C818">
        <v>80</v>
      </c>
      <c r="D818">
        <v>79.957298279</v>
      </c>
      <c r="E818">
        <v>50</v>
      </c>
      <c r="F818">
        <v>46.868328093999999</v>
      </c>
      <c r="G818">
        <v>1345.4763184000001</v>
      </c>
      <c r="H818">
        <v>1341.4246826000001</v>
      </c>
      <c r="I818">
        <v>1322.3538818</v>
      </c>
      <c r="J818">
        <v>1318.7078856999999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398.47790800000001</v>
      </c>
      <c r="B819" s="1">
        <f>DATE(2011,6,3) + TIME(11,28,11)</f>
        <v>40697.477905092594</v>
      </c>
      <c r="C819">
        <v>80</v>
      </c>
      <c r="D819">
        <v>79.957290649000001</v>
      </c>
      <c r="E819">
        <v>50</v>
      </c>
      <c r="F819">
        <v>46.821769713999998</v>
      </c>
      <c r="G819">
        <v>1345.4631348</v>
      </c>
      <c r="H819">
        <v>1341.4152832</v>
      </c>
      <c r="I819">
        <v>1322.3481445</v>
      </c>
      <c r="J819">
        <v>1318.699707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399.13265699999999</v>
      </c>
      <c r="B820" s="1">
        <f>DATE(2011,6,4) + TIME(3,11,1)</f>
        <v>40698.132650462961</v>
      </c>
      <c r="C820">
        <v>80</v>
      </c>
      <c r="D820">
        <v>79.957283020000006</v>
      </c>
      <c r="E820">
        <v>50</v>
      </c>
      <c r="F820">
        <v>46.774276733000001</v>
      </c>
      <c r="G820">
        <v>1345.449707</v>
      </c>
      <c r="H820">
        <v>1341.4056396000001</v>
      </c>
      <c r="I820">
        <v>1322.3421631000001</v>
      </c>
      <c r="J820">
        <v>1318.6912841999999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399.79334</v>
      </c>
      <c r="B821" s="1">
        <f>DATE(2011,6,4) + TIME(19,2,24)</f>
        <v>40698.793333333335</v>
      </c>
      <c r="C821">
        <v>80</v>
      </c>
      <c r="D821">
        <v>79.957275390999996</v>
      </c>
      <c r="E821">
        <v>50</v>
      </c>
      <c r="F821">
        <v>46.726299286</v>
      </c>
      <c r="G821">
        <v>1345.4362793</v>
      </c>
      <c r="H821">
        <v>1341.3961182</v>
      </c>
      <c r="I821">
        <v>1322.3359375</v>
      </c>
      <c r="J821">
        <v>1318.6824951000001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400.45788199999998</v>
      </c>
      <c r="B822" s="1">
        <f>DATE(2011,6,5) + TIME(10,59,20)</f>
        <v>40699.457870370374</v>
      </c>
      <c r="C822">
        <v>80</v>
      </c>
      <c r="D822">
        <v>79.957267760999997</v>
      </c>
      <c r="E822">
        <v>50</v>
      </c>
      <c r="F822">
        <v>46.678073883000003</v>
      </c>
      <c r="G822">
        <v>1345.4229736</v>
      </c>
      <c r="H822">
        <v>1341.3864745999999</v>
      </c>
      <c r="I822">
        <v>1322.3297118999999</v>
      </c>
      <c r="J822">
        <v>1318.6734618999999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401.12758600000001</v>
      </c>
      <c r="B823" s="1">
        <f>DATE(2011,6,6) + TIME(3,3,43)</f>
        <v>40700.127581018518</v>
      </c>
      <c r="C823">
        <v>80</v>
      </c>
      <c r="D823">
        <v>79.957260132000002</v>
      </c>
      <c r="E823">
        <v>50</v>
      </c>
      <c r="F823">
        <v>46.629661560000002</v>
      </c>
      <c r="G823">
        <v>1345.409668</v>
      </c>
      <c r="H823">
        <v>1341.3770752</v>
      </c>
      <c r="I823">
        <v>1322.3232422000001</v>
      </c>
      <c r="J823">
        <v>1318.6643065999999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401.803899</v>
      </c>
      <c r="B824" s="1">
        <f>DATE(2011,6,6) + TIME(19,17,36)</f>
        <v>40700.803888888891</v>
      </c>
      <c r="C824">
        <v>80</v>
      </c>
      <c r="D824">
        <v>79.957252502000003</v>
      </c>
      <c r="E824">
        <v>50</v>
      </c>
      <c r="F824">
        <v>46.581054688000002</v>
      </c>
      <c r="G824">
        <v>1345.3964844</v>
      </c>
      <c r="H824">
        <v>1341.3675536999999</v>
      </c>
      <c r="I824">
        <v>1322.3166504000001</v>
      </c>
      <c r="J824">
        <v>1318.6549072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402.48820799999999</v>
      </c>
      <c r="B825" s="1">
        <f>DATE(2011,6,7) + TIME(11,43,1)</f>
        <v>40701.488206018519</v>
      </c>
      <c r="C825">
        <v>80</v>
      </c>
      <c r="D825">
        <v>79.957244872999993</v>
      </c>
      <c r="E825">
        <v>50</v>
      </c>
      <c r="F825">
        <v>46.532203674000002</v>
      </c>
      <c r="G825">
        <v>1345.3833007999999</v>
      </c>
      <c r="H825">
        <v>1341.3582764</v>
      </c>
      <c r="I825">
        <v>1322.3099365</v>
      </c>
      <c r="J825">
        <v>1318.6452637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403.18172600000003</v>
      </c>
      <c r="B826" s="1">
        <f>DATE(2011,6,8) + TIME(4,21,41)</f>
        <v>40702.18172453704</v>
      </c>
      <c r="C826">
        <v>80</v>
      </c>
      <c r="D826">
        <v>79.957244872999993</v>
      </c>
      <c r="E826">
        <v>50</v>
      </c>
      <c r="F826">
        <v>46.483055114999999</v>
      </c>
      <c r="G826">
        <v>1345.3702393000001</v>
      </c>
      <c r="H826">
        <v>1341.3488769999999</v>
      </c>
      <c r="I826">
        <v>1322.3029785000001</v>
      </c>
      <c r="J826">
        <v>1318.635376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403.88590399999998</v>
      </c>
      <c r="B827" s="1">
        <f>DATE(2011,6,8) + TIME(21,15,42)</f>
        <v>40702.88590277778</v>
      </c>
      <c r="C827">
        <v>80</v>
      </c>
      <c r="D827">
        <v>79.957237243999998</v>
      </c>
      <c r="E827">
        <v>50</v>
      </c>
      <c r="F827">
        <v>46.433532714999998</v>
      </c>
      <c r="G827">
        <v>1345.3571777</v>
      </c>
      <c r="H827">
        <v>1341.3395995999999</v>
      </c>
      <c r="I827">
        <v>1322.2958983999999</v>
      </c>
      <c r="J827">
        <v>1318.6252440999999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404.59854000000001</v>
      </c>
      <c r="B828" s="1">
        <f>DATE(2011,6,9) + TIME(14,21,53)</f>
        <v>40703.598530092589</v>
      </c>
      <c r="C828">
        <v>80</v>
      </c>
      <c r="D828">
        <v>79.957237243999998</v>
      </c>
      <c r="E828">
        <v>50</v>
      </c>
      <c r="F828">
        <v>46.383697509999998</v>
      </c>
      <c r="G828">
        <v>1345.3441161999999</v>
      </c>
      <c r="H828">
        <v>1341.3302002</v>
      </c>
      <c r="I828">
        <v>1322.2885742000001</v>
      </c>
      <c r="J828">
        <v>1318.6147461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405.31803300000001</v>
      </c>
      <c r="B829" s="1">
        <f>DATE(2011,6,10) + TIME(7,37,58)</f>
        <v>40704.318032407406</v>
      </c>
      <c r="C829">
        <v>80</v>
      </c>
      <c r="D829">
        <v>79.957229613999999</v>
      </c>
      <c r="E829">
        <v>50</v>
      </c>
      <c r="F829">
        <v>46.333618164000001</v>
      </c>
      <c r="G829">
        <v>1345.3310547000001</v>
      </c>
      <c r="H829">
        <v>1341.3209228999999</v>
      </c>
      <c r="I829">
        <v>1322.2810059000001</v>
      </c>
      <c r="J829">
        <v>1318.6038818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406.04599300000001</v>
      </c>
      <c r="B830" s="1">
        <f>DATE(2011,6,11) + TIME(1,6,13)</f>
        <v>40705.045983796299</v>
      </c>
      <c r="C830">
        <v>80</v>
      </c>
      <c r="D830">
        <v>79.957229613999999</v>
      </c>
      <c r="E830">
        <v>50</v>
      </c>
      <c r="F830">
        <v>46.283271790000001</v>
      </c>
      <c r="G830">
        <v>1345.3181152</v>
      </c>
      <c r="H830">
        <v>1341.3116454999999</v>
      </c>
      <c r="I830">
        <v>1322.2733154</v>
      </c>
      <c r="J830">
        <v>1318.5928954999999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406.78405400000003</v>
      </c>
      <c r="B831" s="1">
        <f>DATE(2011,6,11) + TIME(18,49,2)</f>
        <v>40705.784050925926</v>
      </c>
      <c r="C831">
        <v>80</v>
      </c>
      <c r="D831">
        <v>79.957221985000004</v>
      </c>
      <c r="E831">
        <v>50</v>
      </c>
      <c r="F831">
        <v>46.232589722</v>
      </c>
      <c r="G831">
        <v>1345.3050536999999</v>
      </c>
      <c r="H831">
        <v>1341.3023682</v>
      </c>
      <c r="I831">
        <v>1322.2653809000001</v>
      </c>
      <c r="J831">
        <v>1318.581543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407.53121800000002</v>
      </c>
      <c r="B832" s="1">
        <f>DATE(2011,6,12) + TIME(12,44,57)</f>
        <v>40706.531215277777</v>
      </c>
      <c r="C832">
        <v>80</v>
      </c>
      <c r="D832">
        <v>79.957221985000004</v>
      </c>
      <c r="E832">
        <v>50</v>
      </c>
      <c r="F832">
        <v>46.181594849</v>
      </c>
      <c r="G832">
        <v>1345.2921143000001</v>
      </c>
      <c r="H832">
        <v>1341.2932129000001</v>
      </c>
      <c r="I832">
        <v>1322.2573242000001</v>
      </c>
      <c r="J832">
        <v>1318.5698242000001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408.28914700000001</v>
      </c>
      <c r="B833" s="1">
        <f>DATE(2011,6,13) + TIME(6,56,22)</f>
        <v>40707.289143518516</v>
      </c>
      <c r="C833">
        <v>80</v>
      </c>
      <c r="D833">
        <v>79.957214355000005</v>
      </c>
      <c r="E833">
        <v>50</v>
      </c>
      <c r="F833">
        <v>46.130218505999999</v>
      </c>
      <c r="G833">
        <v>1345.2791748</v>
      </c>
      <c r="H833">
        <v>1341.2839355000001</v>
      </c>
      <c r="I833">
        <v>1322.2489014</v>
      </c>
      <c r="J833">
        <v>1318.5577393000001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409.05958299999998</v>
      </c>
      <c r="B834" s="1">
        <f>DATE(2011,6,14) + TIME(1,25,48)</f>
        <v>40708.059583333335</v>
      </c>
      <c r="C834">
        <v>80</v>
      </c>
      <c r="D834">
        <v>79.957214355000005</v>
      </c>
      <c r="E834">
        <v>50</v>
      </c>
      <c r="F834">
        <v>46.078388214</v>
      </c>
      <c r="G834">
        <v>1345.2662353999999</v>
      </c>
      <c r="H834">
        <v>1341.2747803</v>
      </c>
      <c r="I834">
        <v>1322.2403564000001</v>
      </c>
      <c r="J834">
        <v>1318.5452881000001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409.84520199999997</v>
      </c>
      <c r="B835" s="1">
        <f>DATE(2011,6,14) + TIME(20,17,5)</f>
        <v>40708.845196759263</v>
      </c>
      <c r="C835">
        <v>80</v>
      </c>
      <c r="D835">
        <v>79.957214355000005</v>
      </c>
      <c r="E835">
        <v>50</v>
      </c>
      <c r="F835">
        <v>46.025974273999999</v>
      </c>
      <c r="G835">
        <v>1345.2531738</v>
      </c>
      <c r="H835">
        <v>1341.2655029</v>
      </c>
      <c r="I835">
        <v>1322.2314452999999</v>
      </c>
      <c r="J835">
        <v>1318.5324707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410.64533999999998</v>
      </c>
      <c r="B836" s="1">
        <f>DATE(2011,6,15) + TIME(15,29,17)</f>
        <v>40709.645335648151</v>
      </c>
      <c r="C836">
        <v>80</v>
      </c>
      <c r="D836">
        <v>79.957214355000005</v>
      </c>
      <c r="E836">
        <v>50</v>
      </c>
      <c r="F836">
        <v>45.972946167000003</v>
      </c>
      <c r="G836">
        <v>1345.2401123</v>
      </c>
      <c r="H836">
        <v>1341.2561035000001</v>
      </c>
      <c r="I836">
        <v>1322.222168</v>
      </c>
      <c r="J836">
        <v>1318.5191649999999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411.45820900000001</v>
      </c>
      <c r="B837" s="1">
        <f>DATE(2011,6,16) + TIME(10,59,49)</f>
        <v>40710.45820601852</v>
      </c>
      <c r="C837">
        <v>80</v>
      </c>
      <c r="D837">
        <v>79.957214355000005</v>
      </c>
      <c r="E837">
        <v>50</v>
      </c>
      <c r="F837">
        <v>45.919353485000002</v>
      </c>
      <c r="G837">
        <v>1345.2270507999999</v>
      </c>
      <c r="H837">
        <v>1341.2468262</v>
      </c>
      <c r="I837">
        <v>1322.2126464999999</v>
      </c>
      <c r="J837">
        <v>1318.5054932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412.27548400000001</v>
      </c>
      <c r="B838" s="1">
        <f>DATE(2011,6,17) + TIME(6,36,41)</f>
        <v>40711.27547453704</v>
      </c>
      <c r="C838">
        <v>80</v>
      </c>
      <c r="D838">
        <v>79.957214355000005</v>
      </c>
      <c r="E838">
        <v>50</v>
      </c>
      <c r="F838">
        <v>45.865497589</v>
      </c>
      <c r="G838">
        <v>1345.2138672000001</v>
      </c>
      <c r="H838">
        <v>1341.2374268000001</v>
      </c>
      <c r="I838">
        <v>1322.2028809000001</v>
      </c>
      <c r="J838">
        <v>1318.4912108999999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413.09884799999998</v>
      </c>
      <c r="B839" s="1">
        <f>DATE(2011,6,18) + TIME(2,22,20)</f>
        <v>40712.09884259259</v>
      </c>
      <c r="C839">
        <v>80</v>
      </c>
      <c r="D839">
        <v>79.957214355000005</v>
      </c>
      <c r="E839">
        <v>50</v>
      </c>
      <c r="F839">
        <v>45.811454773000001</v>
      </c>
      <c r="G839">
        <v>1345.2008057</v>
      </c>
      <c r="H839">
        <v>1341.2281493999999</v>
      </c>
      <c r="I839">
        <v>1322.192749</v>
      </c>
      <c r="J839">
        <v>1318.4766846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413.93015700000001</v>
      </c>
      <c r="B840" s="1">
        <f>DATE(2011,6,18) + TIME(22,19,25)</f>
        <v>40712.930150462962</v>
      </c>
      <c r="C840">
        <v>80</v>
      </c>
      <c r="D840">
        <v>79.957214355000005</v>
      </c>
      <c r="E840">
        <v>50</v>
      </c>
      <c r="F840">
        <v>45.757209778000004</v>
      </c>
      <c r="G840">
        <v>1345.1878661999999</v>
      </c>
      <c r="H840">
        <v>1341.2188721</v>
      </c>
      <c r="I840">
        <v>1322.1824951000001</v>
      </c>
      <c r="J840">
        <v>1318.4616699000001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414.77113500000002</v>
      </c>
      <c r="B841" s="1">
        <f>DATE(2011,6,19) + TIME(18,30,26)</f>
        <v>40713.771134259259</v>
      </c>
      <c r="C841">
        <v>80</v>
      </c>
      <c r="D841">
        <v>79.957214355000005</v>
      </c>
      <c r="E841">
        <v>50</v>
      </c>
      <c r="F841">
        <v>45.702701568999998</v>
      </c>
      <c r="G841">
        <v>1345.1749268000001</v>
      </c>
      <c r="H841">
        <v>1341.2097168</v>
      </c>
      <c r="I841">
        <v>1322.171875</v>
      </c>
      <c r="J841">
        <v>1318.4464111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415.61888099999999</v>
      </c>
      <c r="B842" s="1">
        <f>DATE(2011,6,20) + TIME(14,51,11)</f>
        <v>40714.618877314817</v>
      </c>
      <c r="C842">
        <v>80</v>
      </c>
      <c r="D842">
        <v>79.957214355000005</v>
      </c>
      <c r="E842">
        <v>50</v>
      </c>
      <c r="F842">
        <v>45.647994994999998</v>
      </c>
      <c r="G842">
        <v>1345.1619873</v>
      </c>
      <c r="H842">
        <v>1341.2005615</v>
      </c>
      <c r="I842">
        <v>1322.1610106999999</v>
      </c>
      <c r="J842">
        <v>1318.4305420000001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416.47195900000003</v>
      </c>
      <c r="B843" s="1">
        <f>DATE(2011,6,21) + TIME(11,19,37)</f>
        <v>40715.471956018519</v>
      </c>
      <c r="C843">
        <v>80</v>
      </c>
      <c r="D843">
        <v>79.957214355000005</v>
      </c>
      <c r="E843">
        <v>50</v>
      </c>
      <c r="F843">
        <v>45.593162536999998</v>
      </c>
      <c r="G843">
        <v>1345.1491699000001</v>
      </c>
      <c r="H843">
        <v>1341.1914062000001</v>
      </c>
      <c r="I843">
        <v>1322.1499022999999</v>
      </c>
      <c r="J843">
        <v>1318.4144286999999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417.33232600000002</v>
      </c>
      <c r="B844" s="1">
        <f>DATE(2011,6,22) + TIME(7,58,32)</f>
        <v>40716.332314814812</v>
      </c>
      <c r="C844">
        <v>80</v>
      </c>
      <c r="D844">
        <v>79.957221985000004</v>
      </c>
      <c r="E844">
        <v>50</v>
      </c>
      <c r="F844">
        <v>45.538177490000002</v>
      </c>
      <c r="G844">
        <v>1345.1363524999999</v>
      </c>
      <c r="H844">
        <v>1341.182251</v>
      </c>
      <c r="I844">
        <v>1322.1385498</v>
      </c>
      <c r="J844">
        <v>1318.3978271000001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418.20160600000003</v>
      </c>
      <c r="B845" s="1">
        <f>DATE(2011,6,23) + TIME(4,50,18)</f>
        <v>40717.201597222222</v>
      </c>
      <c r="C845">
        <v>80</v>
      </c>
      <c r="D845">
        <v>79.957221985000004</v>
      </c>
      <c r="E845">
        <v>50</v>
      </c>
      <c r="F845">
        <v>45.482971190999997</v>
      </c>
      <c r="G845">
        <v>1345.1236572</v>
      </c>
      <c r="H845">
        <v>1341.1732178</v>
      </c>
      <c r="I845">
        <v>1322.1268310999999</v>
      </c>
      <c r="J845">
        <v>1318.3807373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419.08172200000001</v>
      </c>
      <c r="B846" s="1">
        <f>DATE(2011,6,24) + TIME(1,57,40)</f>
        <v>40718.081712962965</v>
      </c>
      <c r="C846">
        <v>80</v>
      </c>
      <c r="D846">
        <v>79.957221985000004</v>
      </c>
      <c r="E846">
        <v>50</v>
      </c>
      <c r="F846">
        <v>45.427448273000003</v>
      </c>
      <c r="G846">
        <v>1345.1109618999999</v>
      </c>
      <c r="H846">
        <v>1341.1641846</v>
      </c>
      <c r="I846">
        <v>1322.1148682</v>
      </c>
      <c r="J846">
        <v>1318.3632812000001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419.97471400000001</v>
      </c>
      <c r="B847" s="1">
        <f>DATE(2011,6,24) + TIME(23,23,35)</f>
        <v>40718.974710648145</v>
      </c>
      <c r="C847">
        <v>80</v>
      </c>
      <c r="D847">
        <v>79.957229613999999</v>
      </c>
      <c r="E847">
        <v>50</v>
      </c>
      <c r="F847">
        <v>45.371498107999997</v>
      </c>
      <c r="G847">
        <v>1345.0983887</v>
      </c>
      <c r="H847">
        <v>1341.1550293</v>
      </c>
      <c r="I847">
        <v>1322.1024170000001</v>
      </c>
      <c r="J847">
        <v>1318.3452147999999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420.88425699999999</v>
      </c>
      <c r="B848" s="1">
        <f>DATE(2011,6,25) + TIME(21,13,19)</f>
        <v>40719.884247685186</v>
      </c>
      <c r="C848">
        <v>80</v>
      </c>
      <c r="D848">
        <v>79.957229613999999</v>
      </c>
      <c r="E848">
        <v>50</v>
      </c>
      <c r="F848">
        <v>45.314956664999997</v>
      </c>
      <c r="G848">
        <v>1345.0855713000001</v>
      </c>
      <c r="H848">
        <v>1341.1459961</v>
      </c>
      <c r="I848">
        <v>1322.0897216999999</v>
      </c>
      <c r="J848">
        <v>1318.3265381000001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421.81289299999997</v>
      </c>
      <c r="B849" s="1">
        <f>DATE(2011,6,26) + TIME(19,30,33)</f>
        <v>40720.812881944446</v>
      </c>
      <c r="C849">
        <v>80</v>
      </c>
      <c r="D849">
        <v>79.957237243999998</v>
      </c>
      <c r="E849">
        <v>50</v>
      </c>
      <c r="F849">
        <v>45.257656097000002</v>
      </c>
      <c r="G849">
        <v>1345.072876</v>
      </c>
      <c r="H849">
        <v>1341.1368408000001</v>
      </c>
      <c r="I849">
        <v>1322.0765381000001</v>
      </c>
      <c r="J849">
        <v>1318.307251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422.76330000000002</v>
      </c>
      <c r="B850" s="1">
        <f>DATE(2011,6,27) + TIME(18,19,9)</f>
        <v>40721.763298611113</v>
      </c>
      <c r="C850">
        <v>80</v>
      </c>
      <c r="D850">
        <v>79.957244872999993</v>
      </c>
      <c r="E850">
        <v>50</v>
      </c>
      <c r="F850">
        <v>45.199440002000003</v>
      </c>
      <c r="G850">
        <v>1345.0599365</v>
      </c>
      <c r="H850">
        <v>1341.1276855000001</v>
      </c>
      <c r="I850">
        <v>1322.0629882999999</v>
      </c>
      <c r="J850">
        <v>1318.2872314000001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423.73009999999999</v>
      </c>
      <c r="B851" s="1">
        <f>DATE(2011,6,28) + TIME(17,31,20)</f>
        <v>40722.730092592596</v>
      </c>
      <c r="C851">
        <v>80</v>
      </c>
      <c r="D851">
        <v>79.957252502000003</v>
      </c>
      <c r="E851">
        <v>50</v>
      </c>
      <c r="F851">
        <v>45.140373230000002</v>
      </c>
      <c r="G851">
        <v>1345.0469971</v>
      </c>
      <c r="H851">
        <v>1341.1184082</v>
      </c>
      <c r="I851">
        <v>1322.0488281</v>
      </c>
      <c r="J851">
        <v>1318.2663574000001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424.70944600000001</v>
      </c>
      <c r="B852" s="1">
        <f>DATE(2011,6,29) + TIME(17,1,36)</f>
        <v>40723.709444444445</v>
      </c>
      <c r="C852">
        <v>80</v>
      </c>
      <c r="D852">
        <v>79.957252502000003</v>
      </c>
      <c r="E852">
        <v>50</v>
      </c>
      <c r="F852">
        <v>45.080623627000001</v>
      </c>
      <c r="G852">
        <v>1345.0338135</v>
      </c>
      <c r="H852">
        <v>1341.1090088000001</v>
      </c>
      <c r="I852">
        <v>1322.0340576000001</v>
      </c>
      <c r="J852">
        <v>1318.2448730000001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425.69151599999998</v>
      </c>
      <c r="B853" s="1">
        <f>DATE(2011,6,30) + TIME(16,35,46)</f>
        <v>40724.691504629627</v>
      </c>
      <c r="C853">
        <v>80</v>
      </c>
      <c r="D853">
        <v>79.957260132000002</v>
      </c>
      <c r="E853">
        <v>50</v>
      </c>
      <c r="F853">
        <v>45.020553589000002</v>
      </c>
      <c r="G853">
        <v>1345.0207519999999</v>
      </c>
      <c r="H853">
        <v>1341.0996094</v>
      </c>
      <c r="I853">
        <v>1322.019043</v>
      </c>
      <c r="J853">
        <v>1318.2226562000001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426</v>
      </c>
      <c r="B854" s="1">
        <f>DATE(2011,7,1) + TIME(0,0,0)</f>
        <v>40725</v>
      </c>
      <c r="C854">
        <v>80</v>
      </c>
      <c r="D854">
        <v>79.957244872999993</v>
      </c>
      <c r="E854">
        <v>50</v>
      </c>
      <c r="F854">
        <v>44.990955352999997</v>
      </c>
      <c r="G854">
        <v>1345.0098877</v>
      </c>
      <c r="H854">
        <v>1341.0920410000001</v>
      </c>
      <c r="I854">
        <v>1322.0048827999999</v>
      </c>
      <c r="J854">
        <v>1318.203125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426.98323199999999</v>
      </c>
      <c r="B855" s="1">
        <f>DATE(2011,7,1) + TIME(23,35,51)</f>
        <v>40725.983229166668</v>
      </c>
      <c r="C855">
        <v>80</v>
      </c>
      <c r="D855">
        <v>79.957267760999997</v>
      </c>
      <c r="E855">
        <v>50</v>
      </c>
      <c r="F855">
        <v>44.936485290999997</v>
      </c>
      <c r="G855">
        <v>1345.0032959</v>
      </c>
      <c r="H855">
        <v>1341.0870361</v>
      </c>
      <c r="I855">
        <v>1321.9978027</v>
      </c>
      <c r="J855">
        <v>1318.1910399999999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427.97159499999998</v>
      </c>
      <c r="B856" s="1">
        <f>DATE(2011,7,2) + TIME(23,19,5)</f>
        <v>40726.971585648149</v>
      </c>
      <c r="C856">
        <v>80</v>
      </c>
      <c r="D856">
        <v>79.957275390999996</v>
      </c>
      <c r="E856">
        <v>50</v>
      </c>
      <c r="F856">
        <v>44.878986359000002</v>
      </c>
      <c r="G856">
        <v>1344.9908447</v>
      </c>
      <c r="H856">
        <v>1341.078125</v>
      </c>
      <c r="I856">
        <v>1321.9824219</v>
      </c>
      <c r="J856">
        <v>1318.1685791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428.96621699999997</v>
      </c>
      <c r="B857" s="1">
        <f>DATE(2011,7,3) + TIME(23,11,21)</f>
        <v>40727.966215277775</v>
      </c>
      <c r="C857">
        <v>80</v>
      </c>
      <c r="D857">
        <v>79.957290649000001</v>
      </c>
      <c r="E857">
        <v>50</v>
      </c>
      <c r="F857">
        <v>44.819972991999997</v>
      </c>
      <c r="G857">
        <v>1344.9782714999999</v>
      </c>
      <c r="H857">
        <v>1341.0690918</v>
      </c>
      <c r="I857">
        <v>1321.9665527</v>
      </c>
      <c r="J857">
        <v>1318.1450195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429.96944999999999</v>
      </c>
      <c r="B858" s="1">
        <f>DATE(2011,7,4) + TIME(23,16,0)</f>
        <v>40728.969444444447</v>
      </c>
      <c r="C858">
        <v>80</v>
      </c>
      <c r="D858">
        <v>79.957298279</v>
      </c>
      <c r="E858">
        <v>50</v>
      </c>
      <c r="F858">
        <v>44.760074615000001</v>
      </c>
      <c r="G858">
        <v>1344.9656981999999</v>
      </c>
      <c r="H858">
        <v>1341.0600586</v>
      </c>
      <c r="I858">
        <v>1321.9501952999999</v>
      </c>
      <c r="J858">
        <v>1318.1207274999999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430.98329100000001</v>
      </c>
      <c r="B859" s="1">
        <f>DATE(2011,7,5) + TIME(23,35,56)</f>
        <v>40729.983287037037</v>
      </c>
      <c r="C859">
        <v>80</v>
      </c>
      <c r="D859">
        <v>79.957305907999995</v>
      </c>
      <c r="E859">
        <v>50</v>
      </c>
      <c r="F859">
        <v>44.699527740000001</v>
      </c>
      <c r="G859">
        <v>1344.953125</v>
      </c>
      <c r="H859">
        <v>1341.0510254000001</v>
      </c>
      <c r="I859">
        <v>1321.9333495999999</v>
      </c>
      <c r="J859">
        <v>1318.0958252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432.01011199999999</v>
      </c>
      <c r="B860" s="1">
        <f>DATE(2011,7,7) + TIME(0,14,33)</f>
        <v>40731.010104166664</v>
      </c>
      <c r="C860">
        <v>80</v>
      </c>
      <c r="D860">
        <v>79.957313537999994</v>
      </c>
      <c r="E860">
        <v>50</v>
      </c>
      <c r="F860">
        <v>44.638362884999999</v>
      </c>
      <c r="G860">
        <v>1344.9405518000001</v>
      </c>
      <c r="H860">
        <v>1341.0419922000001</v>
      </c>
      <c r="I860">
        <v>1321.9160156</v>
      </c>
      <c r="J860">
        <v>1318.0700684000001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433.05436500000002</v>
      </c>
      <c r="B861" s="1">
        <f>DATE(2011,7,8) + TIME(1,18,17)</f>
        <v>40732.054363425923</v>
      </c>
      <c r="C861">
        <v>80</v>
      </c>
      <c r="D861">
        <v>79.957328795999999</v>
      </c>
      <c r="E861">
        <v>50</v>
      </c>
      <c r="F861">
        <v>44.576465607000003</v>
      </c>
      <c r="G861">
        <v>1344.9279785000001</v>
      </c>
      <c r="H861">
        <v>1341.0329589999999</v>
      </c>
      <c r="I861">
        <v>1321.8983154</v>
      </c>
      <c r="J861">
        <v>1318.0435791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434.11893600000002</v>
      </c>
      <c r="B862" s="1">
        <f>DATE(2011,7,9) + TIME(2,51,16)</f>
        <v>40733.118935185186</v>
      </c>
      <c r="C862">
        <v>80</v>
      </c>
      <c r="D862">
        <v>79.957336425999998</v>
      </c>
      <c r="E862">
        <v>50</v>
      </c>
      <c r="F862">
        <v>44.513675689999999</v>
      </c>
      <c r="G862">
        <v>1344.9152832</v>
      </c>
      <c r="H862">
        <v>1341.0238036999999</v>
      </c>
      <c r="I862">
        <v>1321.8798827999999</v>
      </c>
      <c r="J862">
        <v>1318.0162353999999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435.20192300000002</v>
      </c>
      <c r="B863" s="1">
        <f>DATE(2011,7,10) + TIME(4,50,46)</f>
        <v>40734.201921296299</v>
      </c>
      <c r="C863">
        <v>80</v>
      </c>
      <c r="D863">
        <v>79.957351685000006</v>
      </c>
      <c r="E863">
        <v>50</v>
      </c>
      <c r="F863">
        <v>44.449947356999999</v>
      </c>
      <c r="G863">
        <v>1344.9025879000001</v>
      </c>
      <c r="H863">
        <v>1341.0146483999999</v>
      </c>
      <c r="I863">
        <v>1321.8609618999999</v>
      </c>
      <c r="J863">
        <v>1317.987793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436.302886</v>
      </c>
      <c r="B864" s="1">
        <f>DATE(2011,7,11) + TIME(7,16,9)</f>
        <v>40735.302881944444</v>
      </c>
      <c r="C864">
        <v>80</v>
      </c>
      <c r="D864">
        <v>79.957359314000001</v>
      </c>
      <c r="E864">
        <v>50</v>
      </c>
      <c r="F864">
        <v>44.385288238999998</v>
      </c>
      <c r="G864">
        <v>1344.8897704999999</v>
      </c>
      <c r="H864">
        <v>1341.0054932</v>
      </c>
      <c r="I864">
        <v>1321.8414307</v>
      </c>
      <c r="J864">
        <v>1317.9584961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437.42587300000002</v>
      </c>
      <c r="B865" s="1">
        <f>DATE(2011,7,12) + TIME(10,13,15)</f>
        <v>40736.425868055558</v>
      </c>
      <c r="C865">
        <v>80</v>
      </c>
      <c r="D865">
        <v>79.957374572999996</v>
      </c>
      <c r="E865">
        <v>50</v>
      </c>
      <c r="F865">
        <v>44.319587708</v>
      </c>
      <c r="G865">
        <v>1344.8769531</v>
      </c>
      <c r="H865">
        <v>1340.9960937999999</v>
      </c>
      <c r="I865">
        <v>1321.8212891000001</v>
      </c>
      <c r="J865">
        <v>1317.9282227000001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438.55919799999998</v>
      </c>
      <c r="B866" s="1">
        <f>DATE(2011,7,13) + TIME(13,25,14)</f>
        <v>40737.559189814812</v>
      </c>
      <c r="C866">
        <v>80</v>
      </c>
      <c r="D866">
        <v>79.957389832000004</v>
      </c>
      <c r="E866">
        <v>50</v>
      </c>
      <c r="F866">
        <v>44.253063202</v>
      </c>
      <c r="G866">
        <v>1344.8640137</v>
      </c>
      <c r="H866">
        <v>1340.9868164</v>
      </c>
      <c r="I866">
        <v>1321.8004149999999</v>
      </c>
      <c r="J866">
        <v>1317.8968506000001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439.69300900000002</v>
      </c>
      <c r="B867" s="1">
        <f>DATE(2011,7,14) + TIME(16,37,55)</f>
        <v>40738.692997685182</v>
      </c>
      <c r="C867">
        <v>80</v>
      </c>
      <c r="D867">
        <v>79.957405089999995</v>
      </c>
      <c r="E867">
        <v>50</v>
      </c>
      <c r="F867">
        <v>44.186153412000003</v>
      </c>
      <c r="G867">
        <v>1344.8510742000001</v>
      </c>
      <c r="H867">
        <v>1340.9774170000001</v>
      </c>
      <c r="I867">
        <v>1321.7790527</v>
      </c>
      <c r="J867">
        <v>1317.8647461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440.82987500000002</v>
      </c>
      <c r="B868" s="1">
        <f>DATE(2011,7,15) + TIME(19,55,1)</f>
        <v>40739.829872685186</v>
      </c>
      <c r="C868">
        <v>80</v>
      </c>
      <c r="D868">
        <v>79.957412719999994</v>
      </c>
      <c r="E868">
        <v>50</v>
      </c>
      <c r="F868">
        <v>44.119045258</v>
      </c>
      <c r="G868">
        <v>1344.8382568</v>
      </c>
      <c r="H868">
        <v>1340.9681396000001</v>
      </c>
      <c r="I868">
        <v>1321.7573242000001</v>
      </c>
      <c r="J868">
        <v>1317.8319091999999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441.97232100000002</v>
      </c>
      <c r="B869" s="1">
        <f>DATE(2011,7,16) + TIME(23,20,8)</f>
        <v>40740.972314814811</v>
      </c>
      <c r="C869">
        <v>80</v>
      </c>
      <c r="D869">
        <v>79.957427979000002</v>
      </c>
      <c r="E869">
        <v>50</v>
      </c>
      <c r="F869">
        <v>44.051738739000001</v>
      </c>
      <c r="G869">
        <v>1344.8255615</v>
      </c>
      <c r="H869">
        <v>1340.9588623</v>
      </c>
      <c r="I869">
        <v>1321.7352295000001</v>
      </c>
      <c r="J869">
        <v>1317.7985839999999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443.123265</v>
      </c>
      <c r="B870" s="1">
        <f>DATE(2011,7,18) + TIME(2,57,30)</f>
        <v>40742.123263888891</v>
      </c>
      <c r="C870">
        <v>80</v>
      </c>
      <c r="D870">
        <v>79.957443237000007</v>
      </c>
      <c r="E870">
        <v>50</v>
      </c>
      <c r="F870">
        <v>43.984142302999999</v>
      </c>
      <c r="G870">
        <v>1344.8129882999999</v>
      </c>
      <c r="H870">
        <v>1340.949707</v>
      </c>
      <c r="I870">
        <v>1321.7127685999999</v>
      </c>
      <c r="J870">
        <v>1317.7644043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444.28526699999998</v>
      </c>
      <c r="B871" s="1">
        <f>DATE(2011,7,19) + TIME(6,50,47)</f>
        <v>40743.285266203704</v>
      </c>
      <c r="C871">
        <v>80</v>
      </c>
      <c r="D871">
        <v>79.957458496000001</v>
      </c>
      <c r="E871">
        <v>50</v>
      </c>
      <c r="F871">
        <v>43.916114807</v>
      </c>
      <c r="G871">
        <v>1344.8004149999999</v>
      </c>
      <c r="H871">
        <v>1340.9405518000001</v>
      </c>
      <c r="I871">
        <v>1321.6898193</v>
      </c>
      <c r="J871">
        <v>1317.7296143000001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445.46106300000002</v>
      </c>
      <c r="B872" s="1">
        <f>DATE(2011,7,20) + TIME(11,3,55)</f>
        <v>40744.461053240739</v>
      </c>
      <c r="C872">
        <v>80</v>
      </c>
      <c r="D872">
        <v>79.957473754999995</v>
      </c>
      <c r="E872">
        <v>50</v>
      </c>
      <c r="F872">
        <v>43.847515106000003</v>
      </c>
      <c r="G872">
        <v>1344.7878418</v>
      </c>
      <c r="H872">
        <v>1340.9313964999999</v>
      </c>
      <c r="I872">
        <v>1321.6665039</v>
      </c>
      <c r="J872">
        <v>1317.6939697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446.65601900000001</v>
      </c>
      <c r="B873" s="1">
        <f>DATE(2011,7,21) + TIME(15,44,40)</f>
        <v>40745.656018518515</v>
      </c>
      <c r="C873">
        <v>80</v>
      </c>
      <c r="D873">
        <v>79.957496642999999</v>
      </c>
      <c r="E873">
        <v>50</v>
      </c>
      <c r="F873">
        <v>43.778129577999998</v>
      </c>
      <c r="G873">
        <v>1344.7752685999999</v>
      </c>
      <c r="H873">
        <v>1340.9222411999999</v>
      </c>
      <c r="I873">
        <v>1321.6424560999999</v>
      </c>
      <c r="J873">
        <v>1317.6573486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447.865025</v>
      </c>
      <c r="B874" s="1">
        <f>DATE(2011,7,22) + TIME(20,45,38)</f>
        <v>40746.865023148152</v>
      </c>
      <c r="C874">
        <v>80</v>
      </c>
      <c r="D874">
        <v>79.957511901999993</v>
      </c>
      <c r="E874">
        <v>50</v>
      </c>
      <c r="F874">
        <v>43.707939148000001</v>
      </c>
      <c r="G874">
        <v>1344.7625731999999</v>
      </c>
      <c r="H874">
        <v>1340.9130858999999</v>
      </c>
      <c r="I874">
        <v>1321.6179199000001</v>
      </c>
      <c r="J874">
        <v>1317.6196289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449.08955600000002</v>
      </c>
      <c r="B875" s="1">
        <f>DATE(2011,7,24) + TIME(2,8,57)</f>
        <v>40748.089548611111</v>
      </c>
      <c r="C875">
        <v>80</v>
      </c>
      <c r="D875">
        <v>79.957527161000002</v>
      </c>
      <c r="E875">
        <v>50</v>
      </c>
      <c r="F875">
        <v>43.636962891000003</v>
      </c>
      <c r="G875">
        <v>1344.75</v>
      </c>
      <c r="H875">
        <v>1340.9038086</v>
      </c>
      <c r="I875">
        <v>1321.5927733999999</v>
      </c>
      <c r="J875">
        <v>1317.5810547000001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450.33556299999998</v>
      </c>
      <c r="B876" s="1">
        <f>DATE(2011,7,25) + TIME(8,3,12)</f>
        <v>40749.335555555554</v>
      </c>
      <c r="C876">
        <v>80</v>
      </c>
      <c r="D876">
        <v>79.957550049000005</v>
      </c>
      <c r="E876">
        <v>50</v>
      </c>
      <c r="F876">
        <v>43.565063477000002</v>
      </c>
      <c r="G876">
        <v>1344.7373047000001</v>
      </c>
      <c r="H876">
        <v>1340.8945312000001</v>
      </c>
      <c r="I876">
        <v>1321.5668945</v>
      </c>
      <c r="J876">
        <v>1317.5413818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451.606492</v>
      </c>
      <c r="B877" s="1">
        <f>DATE(2011,7,26) + TIME(14,33,20)</f>
        <v>40750.606481481482</v>
      </c>
      <c r="C877">
        <v>80</v>
      </c>
      <c r="D877">
        <v>79.957565308</v>
      </c>
      <c r="E877">
        <v>50</v>
      </c>
      <c r="F877">
        <v>43.492050171000002</v>
      </c>
      <c r="G877">
        <v>1344.7244873</v>
      </c>
      <c r="H877">
        <v>1340.8852539</v>
      </c>
      <c r="I877">
        <v>1321.5404053</v>
      </c>
      <c r="J877">
        <v>1317.5004882999999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452.90254299999998</v>
      </c>
      <c r="B878" s="1">
        <f>DATE(2011,7,27) + TIME(21,39,39)</f>
        <v>40751.90253472222</v>
      </c>
      <c r="C878">
        <v>80</v>
      </c>
      <c r="D878">
        <v>79.957588196000003</v>
      </c>
      <c r="E878">
        <v>50</v>
      </c>
      <c r="F878">
        <v>43.417823792</v>
      </c>
      <c r="G878">
        <v>1344.7116699000001</v>
      </c>
      <c r="H878">
        <v>1340.8757324000001</v>
      </c>
      <c r="I878">
        <v>1321.5131836</v>
      </c>
      <c r="J878">
        <v>1317.4582519999999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454.19904200000002</v>
      </c>
      <c r="B879" s="1">
        <f>DATE(2011,7,29) + TIME(4,46,37)</f>
        <v>40753.19903935185</v>
      </c>
      <c r="C879">
        <v>80</v>
      </c>
      <c r="D879">
        <v>79.957611084000007</v>
      </c>
      <c r="E879">
        <v>50</v>
      </c>
      <c r="F879">
        <v>43.342926024999997</v>
      </c>
      <c r="G879">
        <v>1344.6987305</v>
      </c>
      <c r="H879">
        <v>1340.8662108999999</v>
      </c>
      <c r="I879">
        <v>1321.4852295000001</v>
      </c>
      <c r="J879">
        <v>1317.4147949000001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455.498986</v>
      </c>
      <c r="B880" s="1">
        <f>DATE(2011,7,30) + TIME(11,58,32)</f>
        <v>40754.498981481483</v>
      </c>
      <c r="C880">
        <v>80</v>
      </c>
      <c r="D880">
        <v>79.957633971999996</v>
      </c>
      <c r="E880">
        <v>50</v>
      </c>
      <c r="F880">
        <v>43.267826079999999</v>
      </c>
      <c r="G880">
        <v>1344.6859131000001</v>
      </c>
      <c r="H880">
        <v>1340.8568115</v>
      </c>
      <c r="I880">
        <v>1321.4567870999999</v>
      </c>
      <c r="J880">
        <v>1317.3707274999999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456.80539499999998</v>
      </c>
      <c r="B881" s="1">
        <f>DATE(2011,7,31) + TIME(19,19,46)</f>
        <v>40755.805393518516</v>
      </c>
      <c r="C881">
        <v>80</v>
      </c>
      <c r="D881">
        <v>79.957649231000005</v>
      </c>
      <c r="E881">
        <v>50</v>
      </c>
      <c r="F881">
        <v>43.192649840999998</v>
      </c>
      <c r="G881">
        <v>1344.6730957</v>
      </c>
      <c r="H881">
        <v>1340.8474120999999</v>
      </c>
      <c r="I881">
        <v>1321.4281006000001</v>
      </c>
      <c r="J881">
        <v>1317.3258057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457</v>
      </c>
      <c r="B882" s="1">
        <f>DATE(2011,8,1) + TIME(0,0,0)</f>
        <v>40756</v>
      </c>
      <c r="C882">
        <v>80</v>
      </c>
      <c r="D882">
        <v>79.957641601999995</v>
      </c>
      <c r="E882">
        <v>50</v>
      </c>
      <c r="F882">
        <v>43.169441223</v>
      </c>
      <c r="G882">
        <v>1344.6644286999999</v>
      </c>
      <c r="H882">
        <v>1340.8414307</v>
      </c>
      <c r="I882">
        <v>1321.4035644999999</v>
      </c>
      <c r="J882">
        <v>1317.2897949000001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458.31618900000001</v>
      </c>
      <c r="B883" s="1">
        <f>DATE(2011,8,2) + TIME(7,35,18)</f>
        <v>40757.316180555557</v>
      </c>
      <c r="C883">
        <v>80</v>
      </c>
      <c r="D883">
        <v>79.957672118999994</v>
      </c>
      <c r="E883">
        <v>50</v>
      </c>
      <c r="F883">
        <v>43.101524353000002</v>
      </c>
      <c r="G883">
        <v>1344.6579589999999</v>
      </c>
      <c r="H883">
        <v>1340.8361815999999</v>
      </c>
      <c r="I883">
        <v>1321.3928223</v>
      </c>
      <c r="J883">
        <v>1317.2705077999999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459.64778100000001</v>
      </c>
      <c r="B884" s="1">
        <f>DATE(2011,8,3) + TIME(15,32,48)</f>
        <v>40758.647777777776</v>
      </c>
      <c r="C884">
        <v>80</v>
      </c>
      <c r="D884">
        <v>79.957702636999997</v>
      </c>
      <c r="E884">
        <v>50</v>
      </c>
      <c r="F884">
        <v>43.028923034999998</v>
      </c>
      <c r="G884">
        <v>1344.6457519999999</v>
      </c>
      <c r="H884">
        <v>1340.8271483999999</v>
      </c>
      <c r="I884">
        <v>1321.3643798999999</v>
      </c>
      <c r="J884">
        <v>1317.2257079999999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460.99373900000001</v>
      </c>
      <c r="B885" s="1">
        <f>DATE(2011,8,4) + TIME(23,50,59)</f>
        <v>40759.993738425925</v>
      </c>
      <c r="C885">
        <v>80</v>
      </c>
      <c r="D885">
        <v>79.957725525000001</v>
      </c>
      <c r="E885">
        <v>50</v>
      </c>
      <c r="F885">
        <v>42.954299927000001</v>
      </c>
      <c r="G885">
        <v>1344.6331786999999</v>
      </c>
      <c r="H885">
        <v>1340.8178711</v>
      </c>
      <c r="I885">
        <v>1321.3345947</v>
      </c>
      <c r="J885">
        <v>1317.1789550999999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462.35258800000003</v>
      </c>
      <c r="B886" s="1">
        <f>DATE(2011,8,6) + TIME(8,27,43)</f>
        <v>40761.352581018517</v>
      </c>
      <c r="C886">
        <v>80</v>
      </c>
      <c r="D886">
        <v>79.957748413000004</v>
      </c>
      <c r="E886">
        <v>50</v>
      </c>
      <c r="F886">
        <v>42.878810883</v>
      </c>
      <c r="G886">
        <v>1344.6206055</v>
      </c>
      <c r="H886">
        <v>1340.8084716999999</v>
      </c>
      <c r="I886">
        <v>1321.3041992000001</v>
      </c>
      <c r="J886">
        <v>1317.1308594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463.72694899999999</v>
      </c>
      <c r="B887" s="1">
        <f>DATE(2011,8,7) + TIME(17,26,48)</f>
        <v>40762.726944444446</v>
      </c>
      <c r="C887">
        <v>80</v>
      </c>
      <c r="D887">
        <v>79.957771300999994</v>
      </c>
      <c r="E887">
        <v>50</v>
      </c>
      <c r="F887">
        <v>42.802967072000001</v>
      </c>
      <c r="G887">
        <v>1344.6079102000001</v>
      </c>
      <c r="H887">
        <v>1340.7990723</v>
      </c>
      <c r="I887">
        <v>1321.2731934000001</v>
      </c>
      <c r="J887">
        <v>1317.0816649999999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465.12336299999998</v>
      </c>
      <c r="B888" s="1">
        <f>DATE(2011,8,9) + TIME(2,57,38)</f>
        <v>40764.123356481483</v>
      </c>
      <c r="C888">
        <v>80</v>
      </c>
      <c r="D888">
        <v>79.957794188999998</v>
      </c>
      <c r="E888">
        <v>50</v>
      </c>
      <c r="F888">
        <v>42.726863860999998</v>
      </c>
      <c r="G888">
        <v>1344.5952147999999</v>
      </c>
      <c r="H888">
        <v>1340.7896728999999</v>
      </c>
      <c r="I888">
        <v>1321.2416992000001</v>
      </c>
      <c r="J888">
        <v>1317.0313721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466.54615699999999</v>
      </c>
      <c r="B889" s="1">
        <f>DATE(2011,8,10) + TIME(13,6,27)</f>
        <v>40765.54614583333</v>
      </c>
      <c r="C889">
        <v>80</v>
      </c>
      <c r="D889">
        <v>79.957824707</v>
      </c>
      <c r="E889">
        <v>50</v>
      </c>
      <c r="F889">
        <v>42.650470734000002</v>
      </c>
      <c r="G889">
        <v>1344.5823975000001</v>
      </c>
      <c r="H889">
        <v>1340.7801514</v>
      </c>
      <c r="I889">
        <v>1321.2094727000001</v>
      </c>
      <c r="J889">
        <v>1316.9799805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467.999304</v>
      </c>
      <c r="B890" s="1">
        <f>DATE(2011,8,11) + TIME(23,58,59)</f>
        <v>40766.999293981484</v>
      </c>
      <c r="C890">
        <v>80</v>
      </c>
      <c r="D890">
        <v>79.957847595000004</v>
      </c>
      <c r="E890">
        <v>50</v>
      </c>
      <c r="F890">
        <v>42.573806763</v>
      </c>
      <c r="G890">
        <v>1344.5695800999999</v>
      </c>
      <c r="H890">
        <v>1340.7705077999999</v>
      </c>
      <c r="I890">
        <v>1321.1766356999999</v>
      </c>
      <c r="J890">
        <v>1316.9272461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469.46411699999999</v>
      </c>
      <c r="B891" s="1">
        <f>DATE(2011,8,13) + TIME(11,8,19)</f>
        <v>40768.464108796295</v>
      </c>
      <c r="C891">
        <v>80</v>
      </c>
      <c r="D891">
        <v>79.957878113000007</v>
      </c>
      <c r="E891">
        <v>50</v>
      </c>
      <c r="F891">
        <v>42.497325897000003</v>
      </c>
      <c r="G891">
        <v>1344.5565185999999</v>
      </c>
      <c r="H891">
        <v>1340.7607422000001</v>
      </c>
      <c r="I891">
        <v>1321.1431885</v>
      </c>
      <c r="J891">
        <v>1316.8731689000001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470.929644</v>
      </c>
      <c r="B892" s="1">
        <f>DATE(2011,8,14) + TIME(22,18,41)</f>
        <v>40769.9296412037</v>
      </c>
      <c r="C892">
        <v>80</v>
      </c>
      <c r="D892">
        <v>79.957908630000006</v>
      </c>
      <c r="E892">
        <v>50</v>
      </c>
      <c r="F892">
        <v>42.421821594000001</v>
      </c>
      <c r="G892">
        <v>1344.543457</v>
      </c>
      <c r="H892">
        <v>1340.7510986</v>
      </c>
      <c r="I892">
        <v>1321.1091309000001</v>
      </c>
      <c r="J892">
        <v>1316.8182373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472.39954299999999</v>
      </c>
      <c r="B893" s="1">
        <f>DATE(2011,8,16) + TIME(9,35,20)</f>
        <v>40771.399537037039</v>
      </c>
      <c r="C893">
        <v>80</v>
      </c>
      <c r="D893">
        <v>79.957931518999999</v>
      </c>
      <c r="E893">
        <v>50</v>
      </c>
      <c r="F893">
        <v>42.347839354999998</v>
      </c>
      <c r="G893">
        <v>1344.5306396000001</v>
      </c>
      <c r="H893">
        <v>1340.7413329999999</v>
      </c>
      <c r="I893">
        <v>1321.0750731999999</v>
      </c>
      <c r="J893">
        <v>1316.7628173999999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473.877994</v>
      </c>
      <c r="B894" s="1">
        <f>DATE(2011,8,17) + TIME(21,4,18)</f>
        <v>40772.877986111111</v>
      </c>
      <c r="C894">
        <v>80</v>
      </c>
      <c r="D894">
        <v>79.957962035999998</v>
      </c>
      <c r="E894">
        <v>50</v>
      </c>
      <c r="F894">
        <v>42.275638579999999</v>
      </c>
      <c r="G894">
        <v>1344.5177002</v>
      </c>
      <c r="H894">
        <v>1340.7316894999999</v>
      </c>
      <c r="I894">
        <v>1321.0408935999999</v>
      </c>
      <c r="J894">
        <v>1316.7070312000001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475.37089200000003</v>
      </c>
      <c r="B895" s="1">
        <f>DATE(2011,8,19) + TIME(8,54,5)</f>
        <v>40774.370891203704</v>
      </c>
      <c r="C895">
        <v>80</v>
      </c>
      <c r="D895">
        <v>79.957992554</v>
      </c>
      <c r="E895">
        <v>50</v>
      </c>
      <c r="F895">
        <v>42.205387115000001</v>
      </c>
      <c r="G895">
        <v>1344.5050048999999</v>
      </c>
      <c r="H895">
        <v>1340.7220459</v>
      </c>
      <c r="I895">
        <v>1321.0064697</v>
      </c>
      <c r="J895">
        <v>1316.6507568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476.88340799999997</v>
      </c>
      <c r="B896" s="1">
        <f>DATE(2011,8,20) + TIME(21,12,6)</f>
        <v>40775.883402777778</v>
      </c>
      <c r="C896">
        <v>80</v>
      </c>
      <c r="D896">
        <v>79.958023071</v>
      </c>
      <c r="E896">
        <v>50</v>
      </c>
      <c r="F896">
        <v>42.137252808</v>
      </c>
      <c r="G896">
        <v>1344.4921875</v>
      </c>
      <c r="H896">
        <v>1340.7124022999999</v>
      </c>
      <c r="I896">
        <v>1320.9719238</v>
      </c>
      <c r="J896">
        <v>1316.5938721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478.41121800000002</v>
      </c>
      <c r="B897" s="1">
        <f>DATE(2011,8,22) + TIME(9,52,9)</f>
        <v>40777.411215277774</v>
      </c>
      <c r="C897">
        <v>80</v>
      </c>
      <c r="D897">
        <v>79.958053589000002</v>
      </c>
      <c r="E897">
        <v>50</v>
      </c>
      <c r="F897">
        <v>42.071643829000003</v>
      </c>
      <c r="G897">
        <v>1344.4792480000001</v>
      </c>
      <c r="H897">
        <v>1340.7026367000001</v>
      </c>
      <c r="I897">
        <v>1320.9370117000001</v>
      </c>
      <c r="J897">
        <v>1316.5362548999999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479.95560399999999</v>
      </c>
      <c r="B898" s="1">
        <f>DATE(2011,8,23) + TIME(22,56,4)</f>
        <v>40778.955601851849</v>
      </c>
      <c r="C898">
        <v>80</v>
      </c>
      <c r="D898">
        <v>79.958084106000001</v>
      </c>
      <c r="E898">
        <v>50</v>
      </c>
      <c r="F898">
        <v>42.009124755999999</v>
      </c>
      <c r="G898">
        <v>1344.4663086</v>
      </c>
      <c r="H898">
        <v>1340.6928711</v>
      </c>
      <c r="I898">
        <v>1320.9019774999999</v>
      </c>
      <c r="J898">
        <v>1316.4781493999999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481.52373899999998</v>
      </c>
      <c r="B899" s="1">
        <f>DATE(2011,8,25) + TIME(12,34,11)</f>
        <v>40780.523738425924</v>
      </c>
      <c r="C899">
        <v>80</v>
      </c>
      <c r="D899">
        <v>79.958114624000004</v>
      </c>
      <c r="E899">
        <v>50</v>
      </c>
      <c r="F899">
        <v>41.950199126999998</v>
      </c>
      <c r="G899">
        <v>1344.4534911999999</v>
      </c>
      <c r="H899">
        <v>1340.6829834</v>
      </c>
      <c r="I899">
        <v>1320.8666992000001</v>
      </c>
      <c r="J899">
        <v>1316.4194336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483.12066299999998</v>
      </c>
      <c r="B900" s="1">
        <f>DATE(2011,8,27) + TIME(2,53,45)</f>
        <v>40782.120659722219</v>
      </c>
      <c r="C900">
        <v>80</v>
      </c>
      <c r="D900">
        <v>79.958145142000006</v>
      </c>
      <c r="E900">
        <v>50</v>
      </c>
      <c r="F900">
        <v>41.895397185999997</v>
      </c>
      <c r="G900">
        <v>1344.4404297000001</v>
      </c>
      <c r="H900">
        <v>1340.6730957</v>
      </c>
      <c r="I900">
        <v>1320.8311768000001</v>
      </c>
      <c r="J900">
        <v>1316.3601074000001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484.73136499999998</v>
      </c>
      <c r="B901" s="1">
        <f>DATE(2011,8,28) + TIME(17,33,9)</f>
        <v>40783.731354166666</v>
      </c>
      <c r="C901">
        <v>80</v>
      </c>
      <c r="D901">
        <v>79.958183289000004</v>
      </c>
      <c r="E901">
        <v>50</v>
      </c>
      <c r="F901">
        <v>41.845596313000001</v>
      </c>
      <c r="G901">
        <v>1344.4272461</v>
      </c>
      <c r="H901">
        <v>1340.6630858999999</v>
      </c>
      <c r="I901">
        <v>1320.7954102000001</v>
      </c>
      <c r="J901">
        <v>1316.3000488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486.35064899999998</v>
      </c>
      <c r="B902" s="1">
        <f>DATE(2011,8,30) + TIME(8,24,56)</f>
        <v>40785.350648148145</v>
      </c>
      <c r="C902">
        <v>80</v>
      </c>
      <c r="D902">
        <v>79.958213806000003</v>
      </c>
      <c r="E902">
        <v>50</v>
      </c>
      <c r="F902">
        <v>41.801887512</v>
      </c>
      <c r="G902">
        <v>1344.4140625</v>
      </c>
      <c r="H902">
        <v>1340.6529541</v>
      </c>
      <c r="I902">
        <v>1320.7595214999999</v>
      </c>
      <c r="J902">
        <v>1316.2397461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487.17532399999999</v>
      </c>
      <c r="B903" s="1">
        <f>DATE(2011,8,31) + TIME(4,12,28)</f>
        <v>40786.175324074073</v>
      </c>
      <c r="C903">
        <v>80</v>
      </c>
      <c r="D903">
        <v>79.958213806000003</v>
      </c>
      <c r="E903">
        <v>50</v>
      </c>
      <c r="F903">
        <v>41.774074554000002</v>
      </c>
      <c r="G903">
        <v>1344.4022216999999</v>
      </c>
      <c r="H903">
        <v>1340.644043</v>
      </c>
      <c r="I903">
        <v>1320.7266846</v>
      </c>
      <c r="J903">
        <v>1316.1844481999999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488</v>
      </c>
      <c r="B904" s="1">
        <f>DATE(2011,9,1) + TIME(0,0,0)</f>
        <v>40787</v>
      </c>
      <c r="C904">
        <v>80</v>
      </c>
      <c r="D904">
        <v>79.958229064999998</v>
      </c>
      <c r="E904">
        <v>50</v>
      </c>
      <c r="F904">
        <v>41.754085541000002</v>
      </c>
      <c r="G904">
        <v>1344.3946533000001</v>
      </c>
      <c r="H904">
        <v>1340.6380615</v>
      </c>
      <c r="I904">
        <v>1320.7048339999999</v>
      </c>
      <c r="J904">
        <v>1316.1478271000001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489.64935100000002</v>
      </c>
      <c r="B905" s="1">
        <f>DATE(2011,9,2) + TIME(15,35,3)</f>
        <v>40788.649340277778</v>
      </c>
      <c r="C905">
        <v>80</v>
      </c>
      <c r="D905">
        <v>79.958282471000004</v>
      </c>
      <c r="E905">
        <v>50</v>
      </c>
      <c r="F905">
        <v>41.734355927000003</v>
      </c>
      <c r="G905">
        <v>1344.3869629000001</v>
      </c>
      <c r="H905">
        <v>1340.6319579999999</v>
      </c>
      <c r="I905">
        <v>1320.6827393000001</v>
      </c>
      <c r="J905">
        <v>1316.1105957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491.30270300000001</v>
      </c>
      <c r="B906" s="1">
        <f>DATE(2011,9,4) + TIME(7,15,53)</f>
        <v>40790.30269675926</v>
      </c>
      <c r="C906">
        <v>80</v>
      </c>
      <c r="D906">
        <v>79.958320618000002</v>
      </c>
      <c r="E906">
        <v>50</v>
      </c>
      <c r="F906">
        <v>41.717735290999997</v>
      </c>
      <c r="G906">
        <v>1344.3743896000001</v>
      </c>
      <c r="H906">
        <v>1340.6223144999999</v>
      </c>
      <c r="I906">
        <v>1320.651001</v>
      </c>
      <c r="J906">
        <v>1316.0563964999999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492.97769699999998</v>
      </c>
      <c r="B907" s="1">
        <f>DATE(2011,9,5) + TIME(23,27,53)</f>
        <v>40791.977696759262</v>
      </c>
      <c r="C907">
        <v>80</v>
      </c>
      <c r="D907">
        <v>79.958351135000001</v>
      </c>
      <c r="E907">
        <v>50</v>
      </c>
      <c r="F907">
        <v>41.709281920999999</v>
      </c>
      <c r="G907">
        <v>1344.3613281</v>
      </c>
      <c r="H907">
        <v>1340.6123047000001</v>
      </c>
      <c r="I907">
        <v>1320.6171875</v>
      </c>
      <c r="J907">
        <v>1315.9989014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494.67117200000001</v>
      </c>
      <c r="B908" s="1">
        <f>DATE(2011,9,7) + TIME(16,6,29)</f>
        <v>40793.671168981484</v>
      </c>
      <c r="C908">
        <v>80</v>
      </c>
      <c r="D908">
        <v>79.958389281999999</v>
      </c>
      <c r="E908">
        <v>50</v>
      </c>
      <c r="F908">
        <v>41.711387633999998</v>
      </c>
      <c r="G908">
        <v>1344.3481445</v>
      </c>
      <c r="H908">
        <v>1340.6020507999999</v>
      </c>
      <c r="I908">
        <v>1320.5828856999999</v>
      </c>
      <c r="J908">
        <v>1315.9404297000001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496.38035000000002</v>
      </c>
      <c r="B909" s="1">
        <f>DATE(2011,9,9) + TIME(9,7,42)</f>
        <v>40795.380347222221</v>
      </c>
      <c r="C909">
        <v>80</v>
      </c>
      <c r="D909">
        <v>79.958427428999997</v>
      </c>
      <c r="E909">
        <v>50</v>
      </c>
      <c r="F909">
        <v>41.725658416999998</v>
      </c>
      <c r="G909">
        <v>1344.3349608999999</v>
      </c>
      <c r="H909">
        <v>1340.5917969</v>
      </c>
      <c r="I909">
        <v>1320.5485839999999</v>
      </c>
      <c r="J909">
        <v>1315.8822021000001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498.11311799999999</v>
      </c>
      <c r="B910" s="1">
        <f>DATE(2011,9,11) + TIME(2,42,53)</f>
        <v>40797.113113425927</v>
      </c>
      <c r="C910">
        <v>80</v>
      </c>
      <c r="D910">
        <v>79.958465575999995</v>
      </c>
      <c r="E910">
        <v>50</v>
      </c>
      <c r="F910">
        <v>41.753456116000002</v>
      </c>
      <c r="G910">
        <v>1344.3216553</v>
      </c>
      <c r="H910">
        <v>1340.5814209</v>
      </c>
      <c r="I910">
        <v>1320.5145264</v>
      </c>
      <c r="J910">
        <v>1315.8243408000001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499.874099</v>
      </c>
      <c r="B911" s="1">
        <f>DATE(2011,9,12) + TIME(20,58,42)</f>
        <v>40798.874097222222</v>
      </c>
      <c r="C911">
        <v>80</v>
      </c>
      <c r="D911">
        <v>79.958503723000007</v>
      </c>
      <c r="E911">
        <v>50</v>
      </c>
      <c r="F911">
        <v>41.796180724999999</v>
      </c>
      <c r="G911">
        <v>1344.3083495999999</v>
      </c>
      <c r="H911">
        <v>1340.5710449000001</v>
      </c>
      <c r="I911">
        <v>1320.4808350000001</v>
      </c>
      <c r="J911">
        <v>1315.7672118999999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500.76140800000002</v>
      </c>
      <c r="B912" s="1">
        <f>DATE(2011,9,13) + TIME(18,16,25)</f>
        <v>40799.761400462965</v>
      </c>
      <c r="C912">
        <v>80</v>
      </c>
      <c r="D912">
        <v>79.958511353000006</v>
      </c>
      <c r="E912">
        <v>50</v>
      </c>
      <c r="F912">
        <v>41.841674804999997</v>
      </c>
      <c r="G912">
        <v>1344.2961425999999</v>
      </c>
      <c r="H912">
        <v>1340.5616454999999</v>
      </c>
      <c r="I912">
        <v>1320.4512939000001</v>
      </c>
      <c r="J912">
        <v>1315.7155762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501.64871599999998</v>
      </c>
      <c r="B913" s="1">
        <f>DATE(2011,9,14) + TIME(15,34,9)</f>
        <v>40800.648715277777</v>
      </c>
      <c r="C913">
        <v>80</v>
      </c>
      <c r="D913">
        <v>79.958526610999996</v>
      </c>
      <c r="E913">
        <v>50</v>
      </c>
      <c r="F913">
        <v>41.884990692000002</v>
      </c>
      <c r="G913">
        <v>1344.2884521000001</v>
      </c>
      <c r="H913">
        <v>1340.5554199000001</v>
      </c>
      <c r="I913">
        <v>1320.4305420000001</v>
      </c>
      <c r="J913">
        <v>1315.6820068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502.536025</v>
      </c>
      <c r="B914" s="1">
        <f>DATE(2011,9,15) + TIME(12,51,52)</f>
        <v>40801.53601851852</v>
      </c>
      <c r="C914">
        <v>80</v>
      </c>
      <c r="D914">
        <v>79.958549500000004</v>
      </c>
      <c r="E914">
        <v>50</v>
      </c>
      <c r="F914">
        <v>41.929660796999997</v>
      </c>
      <c r="G914">
        <v>1344.2813721</v>
      </c>
      <c r="H914">
        <v>1340.5498047000001</v>
      </c>
      <c r="I914">
        <v>1320.4122314000001</v>
      </c>
      <c r="J914">
        <v>1315.6519774999999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503.42333400000001</v>
      </c>
      <c r="B915" s="1">
        <f>DATE(2011,9,16) + TIME(10,9,36)</f>
        <v>40802.423333333332</v>
      </c>
      <c r="C915">
        <v>80</v>
      </c>
      <c r="D915">
        <v>79.958572387999993</v>
      </c>
      <c r="E915">
        <v>50</v>
      </c>
      <c r="F915">
        <v>41.977310181</v>
      </c>
      <c r="G915">
        <v>1344.2745361</v>
      </c>
      <c r="H915">
        <v>1340.5443115</v>
      </c>
      <c r="I915">
        <v>1320.3952637</v>
      </c>
      <c r="J915">
        <v>1315.6239014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504.31064199999997</v>
      </c>
      <c r="B916" s="1">
        <f>DATE(2011,9,17) + TIME(7,27,19)</f>
        <v>40803.310636574075</v>
      </c>
      <c r="C916">
        <v>80</v>
      </c>
      <c r="D916">
        <v>79.958587645999998</v>
      </c>
      <c r="E916">
        <v>50</v>
      </c>
      <c r="F916">
        <v>42.028701781999999</v>
      </c>
      <c r="G916">
        <v>1344.2678223</v>
      </c>
      <c r="H916">
        <v>1340.5390625</v>
      </c>
      <c r="I916">
        <v>1320.3790283000001</v>
      </c>
      <c r="J916">
        <v>1315.5970459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505.19795099999999</v>
      </c>
      <c r="B917" s="1">
        <f>DATE(2011,9,18) + TIME(4,45,2)</f>
        <v>40804.197939814818</v>
      </c>
      <c r="C917">
        <v>80</v>
      </c>
      <c r="D917">
        <v>79.958610535000005</v>
      </c>
      <c r="E917">
        <v>50</v>
      </c>
      <c r="F917">
        <v>42.084182738999999</v>
      </c>
      <c r="G917">
        <v>1344.2611084</v>
      </c>
      <c r="H917">
        <v>1340.5336914</v>
      </c>
      <c r="I917">
        <v>1320.3632812000001</v>
      </c>
      <c r="J917">
        <v>1315.5711670000001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506.97256800000002</v>
      </c>
      <c r="B918" s="1">
        <f>DATE(2011,9,19) + TIME(23,20,29)</f>
        <v>40805.972557870373</v>
      </c>
      <c r="C918">
        <v>80</v>
      </c>
      <c r="D918">
        <v>79.958663939999994</v>
      </c>
      <c r="E918">
        <v>50</v>
      </c>
      <c r="F918">
        <v>42.161388397000003</v>
      </c>
      <c r="G918">
        <v>1344.2536620999999</v>
      </c>
      <c r="H918">
        <v>1340.5277100000001</v>
      </c>
      <c r="I918">
        <v>1320.3448486</v>
      </c>
      <c r="J918">
        <v>1315.5428466999999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508.74905000000001</v>
      </c>
      <c r="B919" s="1">
        <f>DATE(2011,9,21) + TIME(17,58,37)</f>
        <v>40807.749039351853</v>
      </c>
      <c r="C919">
        <v>80</v>
      </c>
      <c r="D919">
        <v>79.958709717000005</v>
      </c>
      <c r="E919">
        <v>50</v>
      </c>
      <c r="F919">
        <v>42.279811858999999</v>
      </c>
      <c r="G919">
        <v>1344.2412108999999</v>
      </c>
      <c r="H919">
        <v>1340.5178223</v>
      </c>
      <c r="I919">
        <v>1320.3193358999999</v>
      </c>
      <c r="J919">
        <v>1315.4996338000001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510.55471999999997</v>
      </c>
      <c r="B920" s="1">
        <f>DATE(2011,9,23) + TIME(13,18,47)</f>
        <v>40809.554710648146</v>
      </c>
      <c r="C920">
        <v>80</v>
      </c>
      <c r="D920">
        <v>79.958747864000003</v>
      </c>
      <c r="E920">
        <v>50</v>
      </c>
      <c r="F920">
        <v>42.423526764000002</v>
      </c>
      <c r="G920">
        <v>1344.2281493999999</v>
      </c>
      <c r="H920">
        <v>1340.5075684000001</v>
      </c>
      <c r="I920">
        <v>1320.2915039</v>
      </c>
      <c r="J920">
        <v>1315.4542236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512.39978699999995</v>
      </c>
      <c r="B921" s="1">
        <f>DATE(2011,9,25) + TIME(9,35,41)</f>
        <v>40811.399780092594</v>
      </c>
      <c r="C921">
        <v>80</v>
      </c>
      <c r="D921">
        <v>79.958793639999996</v>
      </c>
      <c r="E921">
        <v>50</v>
      </c>
      <c r="F921">
        <v>42.589054107999999</v>
      </c>
      <c r="G921">
        <v>1344.2148437999999</v>
      </c>
      <c r="H921">
        <v>1340.4969481999999</v>
      </c>
      <c r="I921">
        <v>1320.2631836</v>
      </c>
      <c r="J921">
        <v>1315.4090576000001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514.28963599999997</v>
      </c>
      <c r="B922" s="1">
        <f>DATE(2011,9,27) + TIME(6,57,4)</f>
        <v>40813.289629629631</v>
      </c>
      <c r="C922">
        <v>80</v>
      </c>
      <c r="D922">
        <v>79.958831786999994</v>
      </c>
      <c r="E922">
        <v>50</v>
      </c>
      <c r="F922">
        <v>42.776119231999999</v>
      </c>
      <c r="G922">
        <v>1344.2014160000001</v>
      </c>
      <c r="H922">
        <v>1340.4862060999999</v>
      </c>
      <c r="I922">
        <v>1320.2351074000001</v>
      </c>
      <c r="J922">
        <v>1315.3648682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516.19826</v>
      </c>
      <c r="B923" s="1">
        <f>DATE(2011,9,29) + TIME(4,45,29)</f>
        <v>40815.198252314818</v>
      </c>
      <c r="C923">
        <v>80</v>
      </c>
      <c r="D923">
        <v>79.958877563000001</v>
      </c>
      <c r="E923">
        <v>50</v>
      </c>
      <c r="F923">
        <v>42.984115600999999</v>
      </c>
      <c r="G923">
        <v>1344.1877440999999</v>
      </c>
      <c r="H923">
        <v>1340.4752197</v>
      </c>
      <c r="I923">
        <v>1320.2073975000001</v>
      </c>
      <c r="J923">
        <v>1315.3221435999999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518</v>
      </c>
      <c r="B924" s="1">
        <f>DATE(2011,10,1) + TIME(0,0,0)</f>
        <v>40817</v>
      </c>
      <c r="C924">
        <v>80</v>
      </c>
      <c r="D924">
        <v>79.958923339999998</v>
      </c>
      <c r="E924">
        <v>50</v>
      </c>
      <c r="F924">
        <v>43.206890106000003</v>
      </c>
      <c r="G924">
        <v>1344.1740723</v>
      </c>
      <c r="H924">
        <v>1340.4643555</v>
      </c>
      <c r="I924">
        <v>1320.1807861</v>
      </c>
      <c r="J924">
        <v>1315.2817382999999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519.933133</v>
      </c>
      <c r="B925" s="1">
        <f>DATE(2011,10,2) + TIME(22,23,42)</f>
        <v>40818.933125000003</v>
      </c>
      <c r="C925">
        <v>80</v>
      </c>
      <c r="D925">
        <v>79.958969116000006</v>
      </c>
      <c r="E925">
        <v>50</v>
      </c>
      <c r="F925">
        <v>43.441989898999999</v>
      </c>
      <c r="G925">
        <v>1344.1610106999999</v>
      </c>
      <c r="H925">
        <v>1340.4537353999999</v>
      </c>
      <c r="I925">
        <v>1320.1555175999999</v>
      </c>
      <c r="J925">
        <v>1315.2448730000001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521.90342399999997</v>
      </c>
      <c r="B926" s="1">
        <f>DATE(2011,10,4) + TIME(21,40,55)</f>
        <v>40820.903414351851</v>
      </c>
      <c r="C926">
        <v>80</v>
      </c>
      <c r="D926">
        <v>79.959014893000003</v>
      </c>
      <c r="E926">
        <v>50</v>
      </c>
      <c r="F926">
        <v>43.698734283</v>
      </c>
      <c r="G926">
        <v>1344.1474608999999</v>
      </c>
      <c r="H926">
        <v>1340.442749</v>
      </c>
      <c r="I926">
        <v>1320.1306152</v>
      </c>
      <c r="J926">
        <v>1315.2088623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523.89239399999997</v>
      </c>
      <c r="B927" s="1">
        <f>DATE(2011,10,6) + TIME(21,25,2)</f>
        <v>40822.892384259256</v>
      </c>
      <c r="C927">
        <v>80</v>
      </c>
      <c r="D927">
        <v>79.959060668999996</v>
      </c>
      <c r="E927">
        <v>50</v>
      </c>
      <c r="F927">
        <v>43.972774506</v>
      </c>
      <c r="G927">
        <v>1344.1336670000001</v>
      </c>
      <c r="H927">
        <v>1340.4316406</v>
      </c>
      <c r="I927">
        <v>1320.1064452999999</v>
      </c>
      <c r="J927">
        <v>1315.1746826000001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524.89265899999998</v>
      </c>
      <c r="B928" s="1">
        <f>DATE(2011,10,7) + TIME(21,25,25)</f>
        <v>40823.892650462964</v>
      </c>
      <c r="C928">
        <v>80</v>
      </c>
      <c r="D928">
        <v>79.959068298000005</v>
      </c>
      <c r="E928">
        <v>50</v>
      </c>
      <c r="F928">
        <v>44.201744079999997</v>
      </c>
      <c r="G928">
        <v>1344.1212158000001</v>
      </c>
      <c r="H928">
        <v>1340.421875</v>
      </c>
      <c r="I928">
        <v>1320.0887451000001</v>
      </c>
      <c r="J928">
        <v>1315.1459961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525.89292499999999</v>
      </c>
      <c r="B929" s="1">
        <f>DATE(2011,10,8) + TIME(21,25,48)</f>
        <v>40824.892916666664</v>
      </c>
      <c r="C929">
        <v>80</v>
      </c>
      <c r="D929">
        <v>79.959091186999999</v>
      </c>
      <c r="E929">
        <v>50</v>
      </c>
      <c r="F929">
        <v>44.384017944</v>
      </c>
      <c r="G929">
        <v>1344.1132812000001</v>
      </c>
      <c r="H929">
        <v>1340.4152832</v>
      </c>
      <c r="I929">
        <v>1320.0739745999999</v>
      </c>
      <c r="J929">
        <v>1315.1287841999999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526.89319</v>
      </c>
      <c r="B930" s="1">
        <f>DATE(2011,10,9) + TIME(21,26,11)</f>
        <v>40825.893182870372</v>
      </c>
      <c r="C930">
        <v>80</v>
      </c>
      <c r="D930">
        <v>79.959114075000002</v>
      </c>
      <c r="E930">
        <v>50</v>
      </c>
      <c r="F930">
        <v>44.548053740999997</v>
      </c>
      <c r="G930">
        <v>1344.1062012</v>
      </c>
      <c r="H930">
        <v>1340.4094238</v>
      </c>
      <c r="I930">
        <v>1320.0615233999999</v>
      </c>
      <c r="J930">
        <v>1315.1132812000001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528.89372000000003</v>
      </c>
      <c r="B931" s="1">
        <f>DATE(2011,10,11) + TIME(21,26,57)</f>
        <v>40827.89371527778</v>
      </c>
      <c r="C931">
        <v>80</v>
      </c>
      <c r="D931">
        <v>79.959182738999999</v>
      </c>
      <c r="E931">
        <v>50</v>
      </c>
      <c r="F931">
        <v>44.745098114000001</v>
      </c>
      <c r="G931">
        <v>1344.0983887</v>
      </c>
      <c r="H931">
        <v>1340.4029541</v>
      </c>
      <c r="I931">
        <v>1320.0466309000001</v>
      </c>
      <c r="J931">
        <v>1315.0969238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530.89608099999998</v>
      </c>
      <c r="B932" s="1">
        <f>DATE(2011,10,13) + TIME(21,30,21)</f>
        <v>40829.89607638889</v>
      </c>
      <c r="C932">
        <v>80</v>
      </c>
      <c r="D932">
        <v>79.959228515999996</v>
      </c>
      <c r="E932">
        <v>50</v>
      </c>
      <c r="F932">
        <v>45.024177551000001</v>
      </c>
      <c r="G932">
        <v>1344.0855713000001</v>
      </c>
      <c r="H932">
        <v>1340.3927002</v>
      </c>
      <c r="I932">
        <v>1320.0294189000001</v>
      </c>
      <c r="J932">
        <v>1315.0729980000001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532.92385999999999</v>
      </c>
      <c r="B933" s="1">
        <f>DATE(2011,10,15) + TIME(22,10,21)</f>
        <v>40831.923854166664</v>
      </c>
      <c r="C933">
        <v>80</v>
      </c>
      <c r="D933">
        <v>79.959274292000003</v>
      </c>
      <c r="E933">
        <v>50</v>
      </c>
      <c r="F933">
        <v>45.327236176</v>
      </c>
      <c r="G933">
        <v>1344.0722656</v>
      </c>
      <c r="H933">
        <v>1340.3819579999999</v>
      </c>
      <c r="I933">
        <v>1320.0113524999999</v>
      </c>
      <c r="J933">
        <v>1315.050293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534.99054100000001</v>
      </c>
      <c r="B934" s="1">
        <f>DATE(2011,10,17) + TIME(23,46,22)</f>
        <v>40833.990532407406</v>
      </c>
      <c r="C934">
        <v>80</v>
      </c>
      <c r="D934">
        <v>79.959327697999996</v>
      </c>
      <c r="E934">
        <v>50</v>
      </c>
      <c r="F934">
        <v>45.640293120999999</v>
      </c>
      <c r="G934">
        <v>1344.0588379000001</v>
      </c>
      <c r="H934">
        <v>1340.3709716999999</v>
      </c>
      <c r="I934">
        <v>1319.9936522999999</v>
      </c>
      <c r="J934">
        <v>1315.0289307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537.10141499999997</v>
      </c>
      <c r="B935" s="1">
        <f>DATE(2011,10,20) + TIME(2,26,2)</f>
        <v>40836.101412037038</v>
      </c>
      <c r="C935">
        <v>80</v>
      </c>
      <c r="D935">
        <v>79.959373474000003</v>
      </c>
      <c r="E935">
        <v>50</v>
      </c>
      <c r="F935">
        <v>45.959697722999998</v>
      </c>
      <c r="G935">
        <v>1344.0452881000001</v>
      </c>
      <c r="H935">
        <v>1340.3599853999999</v>
      </c>
      <c r="I935">
        <v>1319.9766846</v>
      </c>
      <c r="J935">
        <v>1315.0092772999999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539.26277700000003</v>
      </c>
      <c r="B936" s="1">
        <f>DATE(2011,10,22) + TIME(6,18,23)</f>
        <v>40838.262766203705</v>
      </c>
      <c r="C936">
        <v>80</v>
      </c>
      <c r="D936">
        <v>79.959426879999995</v>
      </c>
      <c r="E936">
        <v>50</v>
      </c>
      <c r="F936">
        <v>46.283908844000003</v>
      </c>
      <c r="G936">
        <v>1344.0314940999999</v>
      </c>
      <c r="H936">
        <v>1340.348999</v>
      </c>
      <c r="I936">
        <v>1319.9606934000001</v>
      </c>
      <c r="J936">
        <v>1314.9912108999999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541.46041300000002</v>
      </c>
      <c r="B937" s="1">
        <f>DATE(2011,10,24) + TIME(11,2,59)</f>
        <v>40840.460405092592</v>
      </c>
      <c r="C937">
        <v>80</v>
      </c>
      <c r="D937">
        <v>79.959480286000002</v>
      </c>
      <c r="E937">
        <v>50</v>
      </c>
      <c r="F937">
        <v>46.611366271999998</v>
      </c>
      <c r="G937">
        <v>1344.0177002</v>
      </c>
      <c r="H937">
        <v>1340.3377685999999</v>
      </c>
      <c r="I937">
        <v>1319.9456786999999</v>
      </c>
      <c r="J937">
        <v>1314.9749756000001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543.664536</v>
      </c>
      <c r="B938" s="1">
        <f>DATE(2011,10,26) + TIME(15,56,55)</f>
        <v>40842.664525462962</v>
      </c>
      <c r="C938">
        <v>80</v>
      </c>
      <c r="D938">
        <v>79.959533691000004</v>
      </c>
      <c r="E938">
        <v>50</v>
      </c>
      <c r="F938">
        <v>46.938518524000003</v>
      </c>
      <c r="G938">
        <v>1344.0039062000001</v>
      </c>
      <c r="H938">
        <v>1340.3265381000001</v>
      </c>
      <c r="I938">
        <v>1319.9318848</v>
      </c>
      <c r="J938">
        <v>1314.9604492000001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545.88184100000001</v>
      </c>
      <c r="B939" s="1">
        <f>DATE(2011,10,28) + TIME(21,9,51)</f>
        <v>40844.881840277776</v>
      </c>
      <c r="C939">
        <v>80</v>
      </c>
      <c r="D939">
        <v>79.959587096999996</v>
      </c>
      <c r="E939">
        <v>50</v>
      </c>
      <c r="F939">
        <v>47.261032104000002</v>
      </c>
      <c r="G939">
        <v>1343.9901123</v>
      </c>
      <c r="H939">
        <v>1340.3154297000001</v>
      </c>
      <c r="I939">
        <v>1319.9191894999999</v>
      </c>
      <c r="J939">
        <v>1314.9479980000001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548.12113099999999</v>
      </c>
      <c r="B940" s="1">
        <f>DATE(2011,10,31) + TIME(2,54,25)</f>
        <v>40847.121122685188</v>
      </c>
      <c r="C940">
        <v>80</v>
      </c>
      <c r="D940">
        <v>79.959632873999993</v>
      </c>
      <c r="E940">
        <v>50</v>
      </c>
      <c r="F940">
        <v>47.578186035000002</v>
      </c>
      <c r="G940">
        <v>1343.9764404</v>
      </c>
      <c r="H940">
        <v>1340.3044434000001</v>
      </c>
      <c r="I940">
        <v>1319.9077147999999</v>
      </c>
      <c r="J940">
        <v>1314.9371338000001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549</v>
      </c>
      <c r="B941" s="1">
        <f>DATE(2011,11,1) + TIME(0,0,0)</f>
        <v>40848</v>
      </c>
      <c r="C941">
        <v>80</v>
      </c>
      <c r="D941">
        <v>79.959640503000003</v>
      </c>
      <c r="E941">
        <v>50</v>
      </c>
      <c r="F941">
        <v>47.809829712000003</v>
      </c>
      <c r="G941">
        <v>1343.9648437999999</v>
      </c>
      <c r="H941">
        <v>1340.2952881000001</v>
      </c>
      <c r="I941">
        <v>1319.9034423999999</v>
      </c>
      <c r="J941">
        <v>1314.9304199000001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549.000001</v>
      </c>
      <c r="B942" s="1">
        <f>DATE(2011,11,1) + TIME(0,0,0)</f>
        <v>40848</v>
      </c>
      <c r="C942">
        <v>80</v>
      </c>
      <c r="D942">
        <v>79.959609985</v>
      </c>
      <c r="E942">
        <v>50</v>
      </c>
      <c r="F942">
        <v>47.809852599999999</v>
      </c>
      <c r="G942">
        <v>1340.2854004000001</v>
      </c>
      <c r="H942">
        <v>1338.8907471</v>
      </c>
      <c r="I942">
        <v>1324.9991454999999</v>
      </c>
      <c r="J942">
        <v>1319.9158935999999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549.00000399999999</v>
      </c>
      <c r="B943" s="1">
        <f>DATE(2011,11,1) + TIME(0,0,0)</f>
        <v>40848</v>
      </c>
      <c r="C943">
        <v>80</v>
      </c>
      <c r="D943">
        <v>79.959510803000001</v>
      </c>
      <c r="E943">
        <v>50</v>
      </c>
      <c r="F943">
        <v>47.809921265</v>
      </c>
      <c r="G943">
        <v>1340.2557373</v>
      </c>
      <c r="H943">
        <v>1338.8610839999999</v>
      </c>
      <c r="I943">
        <v>1325.0292969</v>
      </c>
      <c r="J943">
        <v>1319.9528809000001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549.00001299999997</v>
      </c>
      <c r="B944" s="1">
        <f>DATE(2011,11,1) + TIME(0,0,1)</f>
        <v>40848.000011574077</v>
      </c>
      <c r="C944">
        <v>80</v>
      </c>
      <c r="D944">
        <v>79.959236145000006</v>
      </c>
      <c r="E944">
        <v>50</v>
      </c>
      <c r="F944">
        <v>47.810115814</v>
      </c>
      <c r="G944">
        <v>1340.1696777</v>
      </c>
      <c r="H944">
        <v>1338.7749022999999</v>
      </c>
      <c r="I944">
        <v>1325.1180420000001</v>
      </c>
      <c r="J944">
        <v>1320.0614014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549.00004000000001</v>
      </c>
      <c r="B945" s="1">
        <f>DATE(2011,11,1) + TIME(0,0,3)</f>
        <v>40848.000034722223</v>
      </c>
      <c r="C945">
        <v>80</v>
      </c>
      <c r="D945">
        <v>79.958473205999994</v>
      </c>
      <c r="E945">
        <v>50</v>
      </c>
      <c r="F945">
        <v>47.810680388999998</v>
      </c>
      <c r="G945">
        <v>1339.9335937999999</v>
      </c>
      <c r="H945">
        <v>1338.5388184000001</v>
      </c>
      <c r="I945">
        <v>1325.3714600000001</v>
      </c>
      <c r="J945">
        <v>1320.3674315999999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549.00012100000004</v>
      </c>
      <c r="B946" s="1">
        <f>DATE(2011,11,1) + TIME(0,0,10)</f>
        <v>40848.000115740739</v>
      </c>
      <c r="C946">
        <v>80</v>
      </c>
      <c r="D946">
        <v>79.956657410000005</v>
      </c>
      <c r="E946">
        <v>50</v>
      </c>
      <c r="F946">
        <v>47.812168120999999</v>
      </c>
      <c r="G946">
        <v>1339.3714600000001</v>
      </c>
      <c r="H946">
        <v>1337.9764404</v>
      </c>
      <c r="I946">
        <v>1326.0371094</v>
      </c>
      <c r="J946">
        <v>1321.145874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549.00036399999999</v>
      </c>
      <c r="B947" s="1">
        <f>DATE(2011,11,1) + TIME(0,0,31)</f>
        <v>40848.000358796293</v>
      </c>
      <c r="C947">
        <v>80</v>
      </c>
      <c r="D947">
        <v>79.953338622999993</v>
      </c>
      <c r="E947">
        <v>50</v>
      </c>
      <c r="F947">
        <v>47.815551757999998</v>
      </c>
      <c r="G947">
        <v>1338.3441161999999</v>
      </c>
      <c r="H947">
        <v>1336.9487305</v>
      </c>
      <c r="I947">
        <v>1327.4893798999999</v>
      </c>
      <c r="J947">
        <v>1322.7441406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549.00109299999997</v>
      </c>
      <c r="B948" s="1">
        <f>DATE(2011,11,1) + TIME(0,1,34)</f>
        <v>40848.001087962963</v>
      </c>
      <c r="C948">
        <v>80</v>
      </c>
      <c r="D948">
        <v>79.948898314999994</v>
      </c>
      <c r="E948">
        <v>50</v>
      </c>
      <c r="F948">
        <v>47.821426391999999</v>
      </c>
      <c r="G948">
        <v>1336.9863281</v>
      </c>
      <c r="H948">
        <v>1335.5904541</v>
      </c>
      <c r="I948">
        <v>1329.8323975000001</v>
      </c>
      <c r="J948">
        <v>1325.1365966999999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549.00328000000002</v>
      </c>
      <c r="B949" s="1">
        <f>DATE(2011,11,1) + TIME(0,4,43)</f>
        <v>40848.003275462965</v>
      </c>
      <c r="C949">
        <v>80</v>
      </c>
      <c r="D949">
        <v>79.943954468000001</v>
      </c>
      <c r="E949">
        <v>50</v>
      </c>
      <c r="F949">
        <v>47.832523346000002</v>
      </c>
      <c r="G949">
        <v>1335.5400391000001</v>
      </c>
      <c r="H949">
        <v>1334.1418457</v>
      </c>
      <c r="I949">
        <v>1332.6535644999999</v>
      </c>
      <c r="J949">
        <v>1327.9248047000001</v>
      </c>
      <c r="K949">
        <v>0</v>
      </c>
      <c r="L949">
        <v>2400</v>
      </c>
      <c r="M949">
        <v>2400</v>
      </c>
      <c r="N949">
        <v>0</v>
      </c>
    </row>
    <row r="950" spans="1:14" x14ac:dyDescent="0.25">
      <c r="A950">
        <v>549.00984100000005</v>
      </c>
      <c r="B950" s="1">
        <f>DATE(2011,11,1) + TIME(0,14,10)</f>
        <v>40848.009837962964</v>
      </c>
      <c r="C950">
        <v>80</v>
      </c>
      <c r="D950">
        <v>79.938293457</v>
      </c>
      <c r="E950">
        <v>50</v>
      </c>
      <c r="F950">
        <v>47.857543945000003</v>
      </c>
      <c r="G950">
        <v>1334.0742187999999</v>
      </c>
      <c r="H950">
        <v>1332.6630858999999</v>
      </c>
      <c r="I950">
        <v>1335.5837402</v>
      </c>
      <c r="J950">
        <v>1330.8283690999999</v>
      </c>
      <c r="K950">
        <v>0</v>
      </c>
      <c r="L950">
        <v>2400</v>
      </c>
      <c r="M950">
        <v>2400</v>
      </c>
      <c r="N950">
        <v>0</v>
      </c>
    </row>
    <row r="951" spans="1:14" x14ac:dyDescent="0.25">
      <c r="A951">
        <v>549.02952400000004</v>
      </c>
      <c r="B951" s="1">
        <f>DATE(2011,11,1) + TIME(0,42,30)</f>
        <v>40848.029513888891</v>
      </c>
      <c r="C951">
        <v>80</v>
      </c>
      <c r="D951">
        <v>79.930442810000002</v>
      </c>
      <c r="E951">
        <v>50</v>
      </c>
      <c r="F951">
        <v>47.922290801999999</v>
      </c>
      <c r="G951">
        <v>1332.5458983999999</v>
      </c>
      <c r="H951">
        <v>1331.0834961</v>
      </c>
      <c r="I951">
        <v>1338.5545654</v>
      </c>
      <c r="J951">
        <v>1333.7895507999999</v>
      </c>
      <c r="K951">
        <v>0</v>
      </c>
      <c r="L951">
        <v>2400</v>
      </c>
      <c r="M951">
        <v>2400</v>
      </c>
      <c r="N951">
        <v>0</v>
      </c>
    </row>
    <row r="952" spans="1:14" x14ac:dyDescent="0.25">
      <c r="A952">
        <v>549.07081800000003</v>
      </c>
      <c r="B952" s="1">
        <f>DATE(2011,11,1) + TIME(1,41,58)</f>
        <v>40848.070810185185</v>
      </c>
      <c r="C952">
        <v>80</v>
      </c>
      <c r="D952">
        <v>79.919845581000004</v>
      </c>
      <c r="E952">
        <v>50</v>
      </c>
      <c r="F952">
        <v>48.045101166000002</v>
      </c>
      <c r="G952">
        <v>1331.2072754000001</v>
      </c>
      <c r="H952">
        <v>1329.6501464999999</v>
      </c>
      <c r="I952">
        <v>1340.9921875</v>
      </c>
      <c r="J952">
        <v>1336.2258300999999</v>
      </c>
      <c r="K952">
        <v>0</v>
      </c>
      <c r="L952">
        <v>2400</v>
      </c>
      <c r="M952">
        <v>2400</v>
      </c>
      <c r="N952">
        <v>0</v>
      </c>
    </row>
    <row r="953" spans="1:14" x14ac:dyDescent="0.25">
      <c r="A953">
        <v>549.11379499999998</v>
      </c>
      <c r="B953" s="1">
        <f>DATE(2011,11,1) + TIME(2,43,51)</f>
        <v>40848.11378472222</v>
      </c>
      <c r="C953">
        <v>80</v>
      </c>
      <c r="D953">
        <v>79.910552979000002</v>
      </c>
      <c r="E953">
        <v>50</v>
      </c>
      <c r="F953">
        <v>48.163772582999997</v>
      </c>
      <c r="G953">
        <v>1330.4057617000001</v>
      </c>
      <c r="H953">
        <v>1328.7736815999999</v>
      </c>
      <c r="I953">
        <v>1342.3676757999999</v>
      </c>
      <c r="J953">
        <v>1337.5981445</v>
      </c>
      <c r="K953">
        <v>0</v>
      </c>
      <c r="L953">
        <v>2400</v>
      </c>
      <c r="M953">
        <v>2400</v>
      </c>
      <c r="N953">
        <v>0</v>
      </c>
    </row>
    <row r="954" spans="1:14" x14ac:dyDescent="0.25">
      <c r="A954">
        <v>549.15856900000006</v>
      </c>
      <c r="B954" s="1">
        <f>DATE(2011,11,1) + TIME(3,48,20)</f>
        <v>40848.158564814818</v>
      </c>
      <c r="C954">
        <v>80</v>
      </c>
      <c r="D954">
        <v>79.901679993000002</v>
      </c>
      <c r="E954">
        <v>50</v>
      </c>
      <c r="F954">
        <v>48.279014586999999</v>
      </c>
      <c r="G954">
        <v>1329.8500977000001</v>
      </c>
      <c r="H954">
        <v>1328.1621094</v>
      </c>
      <c r="I954">
        <v>1343.2626952999999</v>
      </c>
      <c r="J954">
        <v>1338.4938964999999</v>
      </c>
      <c r="K954">
        <v>0</v>
      </c>
      <c r="L954">
        <v>2400</v>
      </c>
      <c r="M954">
        <v>2400</v>
      </c>
      <c r="N954">
        <v>0</v>
      </c>
    </row>
    <row r="955" spans="1:14" x14ac:dyDescent="0.25">
      <c r="A955">
        <v>549.20520999999997</v>
      </c>
      <c r="B955" s="1">
        <f>DATE(2011,11,1) + TIME(4,55,30)</f>
        <v>40848.205208333333</v>
      </c>
      <c r="C955">
        <v>80</v>
      </c>
      <c r="D955">
        <v>79.892921447999996</v>
      </c>
      <c r="E955">
        <v>50</v>
      </c>
      <c r="F955">
        <v>48.390865325999997</v>
      </c>
      <c r="G955">
        <v>1329.4342041</v>
      </c>
      <c r="H955">
        <v>1327.7054443</v>
      </c>
      <c r="I955">
        <v>1343.8920897999999</v>
      </c>
      <c r="J955">
        <v>1339.1262207</v>
      </c>
      <c r="K955">
        <v>0</v>
      </c>
      <c r="L955">
        <v>2400</v>
      </c>
      <c r="M955">
        <v>2400</v>
      </c>
      <c r="N955">
        <v>0</v>
      </c>
    </row>
    <row r="956" spans="1:14" x14ac:dyDescent="0.25">
      <c r="A956">
        <v>549.25385700000004</v>
      </c>
      <c r="B956" s="1">
        <f>DATE(2011,11,1) + TIME(6,5,33)</f>
        <v>40848.253854166665</v>
      </c>
      <c r="C956">
        <v>80</v>
      </c>
      <c r="D956">
        <v>79.884124756000006</v>
      </c>
      <c r="E956">
        <v>50</v>
      </c>
      <c r="F956">
        <v>48.499343871999997</v>
      </c>
      <c r="G956">
        <v>1329.1081543</v>
      </c>
      <c r="H956">
        <v>1327.3496094</v>
      </c>
      <c r="I956">
        <v>1344.3557129000001</v>
      </c>
      <c r="J956">
        <v>1339.5947266000001</v>
      </c>
      <c r="K956">
        <v>0</v>
      </c>
      <c r="L956">
        <v>2400</v>
      </c>
      <c r="M956">
        <v>2400</v>
      </c>
      <c r="N956">
        <v>0</v>
      </c>
    </row>
    <row r="957" spans="1:14" x14ac:dyDescent="0.25">
      <c r="A957">
        <v>549.30467199999998</v>
      </c>
      <c r="B957" s="1">
        <f>DATE(2011,11,1) + TIME(7,18,43)</f>
        <v>40848.304664351854</v>
      </c>
      <c r="C957">
        <v>80</v>
      </c>
      <c r="D957">
        <v>79.875213622999993</v>
      </c>
      <c r="E957">
        <v>50</v>
      </c>
      <c r="F957">
        <v>48.604431151999997</v>
      </c>
      <c r="G957">
        <v>1328.8446045000001</v>
      </c>
      <c r="H957">
        <v>1327.0643310999999</v>
      </c>
      <c r="I957">
        <v>1344.7077637</v>
      </c>
      <c r="J957">
        <v>1339.9527588000001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549.35783400000003</v>
      </c>
      <c r="B958" s="1">
        <f>DATE(2011,11,1) + TIME(8,35,16)</f>
        <v>40848.357824074075</v>
      </c>
      <c r="C958">
        <v>80</v>
      </c>
      <c r="D958">
        <v>79.866119385000005</v>
      </c>
      <c r="E958">
        <v>50</v>
      </c>
      <c r="F958">
        <v>48.706081390000001</v>
      </c>
      <c r="G958">
        <v>1328.6270752</v>
      </c>
      <c r="H958">
        <v>1326.8306885</v>
      </c>
      <c r="I958">
        <v>1344.9803466999999</v>
      </c>
      <c r="J958">
        <v>1340.2319336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549.41354999999999</v>
      </c>
      <c r="B959" s="1">
        <f>DATE(2011,11,1) + TIME(9,55,30)</f>
        <v>40848.413541666669</v>
      </c>
      <c r="C959">
        <v>80</v>
      </c>
      <c r="D959">
        <v>79.856796265</v>
      </c>
      <c r="E959">
        <v>50</v>
      </c>
      <c r="F959">
        <v>48.804241179999998</v>
      </c>
      <c r="G959">
        <v>1328.4449463000001</v>
      </c>
      <c r="H959">
        <v>1326.6363524999999</v>
      </c>
      <c r="I959">
        <v>1345.1939697</v>
      </c>
      <c r="J959">
        <v>1340.4527588000001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549.47205399999996</v>
      </c>
      <c r="B960" s="1">
        <f>DATE(2011,11,1) + TIME(11,19,45)</f>
        <v>40848.472048611111</v>
      </c>
      <c r="C960">
        <v>80</v>
      </c>
      <c r="D960">
        <v>79.847198485999996</v>
      </c>
      <c r="E960">
        <v>50</v>
      </c>
      <c r="F960">
        <v>48.898849487</v>
      </c>
      <c r="G960">
        <v>1328.2910156</v>
      </c>
      <c r="H960">
        <v>1326.4729004000001</v>
      </c>
      <c r="I960">
        <v>1345.3623047000001</v>
      </c>
      <c r="J960">
        <v>1340.6285399999999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549.53362300000003</v>
      </c>
      <c r="B961" s="1">
        <f>DATE(2011,11,1) + TIME(12,48,25)</f>
        <v>40848.533622685187</v>
      </c>
      <c r="C961">
        <v>80</v>
      </c>
      <c r="D961">
        <v>79.837280273000005</v>
      </c>
      <c r="E961">
        <v>50</v>
      </c>
      <c r="F961">
        <v>48.989860534999998</v>
      </c>
      <c r="G961">
        <v>1328.1600341999999</v>
      </c>
      <c r="H961">
        <v>1326.3345947</v>
      </c>
      <c r="I961">
        <v>1345.4951172000001</v>
      </c>
      <c r="J961">
        <v>1340.7689209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549.59858799999995</v>
      </c>
      <c r="B962" s="1">
        <f>DATE(2011,11,1) + TIME(14,21,58)</f>
        <v>40848.598587962966</v>
      </c>
      <c r="C962">
        <v>80</v>
      </c>
      <c r="D962">
        <v>79.826995850000003</v>
      </c>
      <c r="E962">
        <v>50</v>
      </c>
      <c r="F962">
        <v>49.077232361</v>
      </c>
      <c r="G962">
        <v>1328.0483397999999</v>
      </c>
      <c r="H962">
        <v>1326.2170410000001</v>
      </c>
      <c r="I962">
        <v>1345.5992432</v>
      </c>
      <c r="J962">
        <v>1340.8807373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549.667326</v>
      </c>
      <c r="B963" s="1">
        <f>DATE(2011,11,1) + TIME(16,0,56)</f>
        <v>40848.667314814818</v>
      </c>
      <c r="C963">
        <v>80</v>
      </c>
      <c r="D963">
        <v>79.816307068</v>
      </c>
      <c r="E963">
        <v>50</v>
      </c>
      <c r="F963">
        <v>49.160907745000003</v>
      </c>
      <c r="G963">
        <v>1327.9530029</v>
      </c>
      <c r="H963">
        <v>1326.1168213000001</v>
      </c>
      <c r="I963">
        <v>1345.6798096</v>
      </c>
      <c r="J963">
        <v>1340.9689940999999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549.74027799999999</v>
      </c>
      <c r="B964" s="1">
        <f>DATE(2011,11,1) + TIME(17,46,0)</f>
        <v>40848.740277777775</v>
      </c>
      <c r="C964">
        <v>80</v>
      </c>
      <c r="D964">
        <v>79.805145264000004</v>
      </c>
      <c r="E964">
        <v>50</v>
      </c>
      <c r="F964">
        <v>49.240829468000001</v>
      </c>
      <c r="G964">
        <v>1327.871582</v>
      </c>
      <c r="H964">
        <v>1326.0314940999999</v>
      </c>
      <c r="I964">
        <v>1345.7407227000001</v>
      </c>
      <c r="J964">
        <v>1341.0378418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549.81796699999995</v>
      </c>
      <c r="B965" s="1">
        <f>DATE(2011,11,1) + TIME(19,37,52)</f>
        <v>40848.817962962959</v>
      </c>
      <c r="C965">
        <v>80</v>
      </c>
      <c r="D965">
        <v>79.793441771999994</v>
      </c>
      <c r="E965">
        <v>50</v>
      </c>
      <c r="F965">
        <v>49.316936493</v>
      </c>
      <c r="G965">
        <v>1327.8023682</v>
      </c>
      <c r="H965">
        <v>1325.9589844</v>
      </c>
      <c r="I965">
        <v>1345.7852783000001</v>
      </c>
      <c r="J965">
        <v>1341.090332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549.90101600000003</v>
      </c>
      <c r="B966" s="1">
        <f>DATE(2011,11,1) + TIME(21,37,27)</f>
        <v>40848.901006944441</v>
      </c>
      <c r="C966">
        <v>80</v>
      </c>
      <c r="D966">
        <v>79.781143188000001</v>
      </c>
      <c r="E966">
        <v>50</v>
      </c>
      <c r="F966">
        <v>49.389167786000002</v>
      </c>
      <c r="G966">
        <v>1327.7434082</v>
      </c>
      <c r="H966">
        <v>1325.8974608999999</v>
      </c>
      <c r="I966">
        <v>1345.815918</v>
      </c>
      <c r="J966">
        <v>1341.1289062000001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549.99017500000002</v>
      </c>
      <c r="B967" s="1">
        <f>DATE(2011,11,1) + TIME(23,45,51)</f>
        <v>40848.990173611113</v>
      </c>
      <c r="C967">
        <v>80</v>
      </c>
      <c r="D967">
        <v>79.768142699999999</v>
      </c>
      <c r="E967">
        <v>50</v>
      </c>
      <c r="F967">
        <v>49.457458496000001</v>
      </c>
      <c r="G967">
        <v>1327.6937256000001</v>
      </c>
      <c r="H967">
        <v>1325.8454589999999</v>
      </c>
      <c r="I967">
        <v>1345.8347168</v>
      </c>
      <c r="J967">
        <v>1341.1557617000001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550.08636100000001</v>
      </c>
      <c r="B968" s="1">
        <f>DATE(2011,11,2) + TIME(2,4,21)</f>
        <v>40849.086354166669</v>
      </c>
      <c r="C968">
        <v>80</v>
      </c>
      <c r="D968">
        <v>79.754348754999995</v>
      </c>
      <c r="E968">
        <v>50</v>
      </c>
      <c r="F968">
        <v>49.521739959999998</v>
      </c>
      <c r="G968">
        <v>1327.6517334</v>
      </c>
      <c r="H968">
        <v>1325.8015137</v>
      </c>
      <c r="I968">
        <v>1345.84375</v>
      </c>
      <c r="J968">
        <v>1341.1728516000001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550.19070399999998</v>
      </c>
      <c r="B969" s="1">
        <f>DATE(2011,11,2) + TIME(4,34,36)</f>
        <v>40849.190694444442</v>
      </c>
      <c r="C969">
        <v>80</v>
      </c>
      <c r="D969">
        <v>79.739631653000004</v>
      </c>
      <c r="E969">
        <v>50</v>
      </c>
      <c r="F969">
        <v>49.581943512000002</v>
      </c>
      <c r="G969">
        <v>1327.6164550999999</v>
      </c>
      <c r="H969">
        <v>1325.7647704999999</v>
      </c>
      <c r="I969">
        <v>1345.8443603999999</v>
      </c>
      <c r="J969">
        <v>1341.1816406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550.30462399999999</v>
      </c>
      <c r="B970" s="1">
        <f>DATE(2011,11,2) + TIME(7,18,39)</f>
        <v>40849.304618055554</v>
      </c>
      <c r="C970">
        <v>80</v>
      </c>
      <c r="D970">
        <v>79.723838806000003</v>
      </c>
      <c r="E970">
        <v>50</v>
      </c>
      <c r="F970">
        <v>49.638000488000003</v>
      </c>
      <c r="G970">
        <v>1327.5869141000001</v>
      </c>
      <c r="H970">
        <v>1325.7338867000001</v>
      </c>
      <c r="I970">
        <v>1345.8381348</v>
      </c>
      <c r="J970">
        <v>1341.1834716999999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550.42990599999996</v>
      </c>
      <c r="B971" s="1">
        <f>DATE(2011,11,2) + TIME(10,19,3)</f>
        <v>40849.429895833331</v>
      </c>
      <c r="C971">
        <v>80</v>
      </c>
      <c r="D971">
        <v>79.706771850999999</v>
      </c>
      <c r="E971">
        <v>50</v>
      </c>
      <c r="F971">
        <v>49.689826965000002</v>
      </c>
      <c r="G971">
        <v>1327.5622559000001</v>
      </c>
      <c r="H971">
        <v>1325.7080077999999</v>
      </c>
      <c r="I971">
        <v>1345.8261719</v>
      </c>
      <c r="J971">
        <v>1341.1795654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550.56892000000005</v>
      </c>
      <c r="B972" s="1">
        <f>DATE(2011,11,2) + TIME(13,39,14)</f>
        <v>40849.568912037037</v>
      </c>
      <c r="C972">
        <v>80</v>
      </c>
      <c r="D972">
        <v>79.688186646000005</v>
      </c>
      <c r="E972">
        <v>50</v>
      </c>
      <c r="F972">
        <v>49.737358092999997</v>
      </c>
      <c r="G972">
        <v>1327.541626</v>
      </c>
      <c r="H972">
        <v>1325.6862793</v>
      </c>
      <c r="I972">
        <v>1345.8095702999999</v>
      </c>
      <c r="J972">
        <v>1341.1710204999999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550.72481100000005</v>
      </c>
      <c r="B973" s="1">
        <f>DATE(2011,11,2) + TIME(17,23,43)</f>
        <v>40849.724803240744</v>
      </c>
      <c r="C973">
        <v>80</v>
      </c>
      <c r="D973">
        <v>79.667755127000007</v>
      </c>
      <c r="E973">
        <v>50</v>
      </c>
      <c r="F973">
        <v>49.780525208</v>
      </c>
      <c r="G973">
        <v>1327.5242920000001</v>
      </c>
      <c r="H973">
        <v>1325.6679687999999</v>
      </c>
      <c r="I973">
        <v>1345.7890625</v>
      </c>
      <c r="J973">
        <v>1341.1585693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550.901884</v>
      </c>
      <c r="B974" s="1">
        <f>DATE(2011,11,2) + TIME(21,38,42)</f>
        <v>40849.901875000003</v>
      </c>
      <c r="C974">
        <v>80</v>
      </c>
      <c r="D974">
        <v>79.645057678000001</v>
      </c>
      <c r="E974">
        <v>50</v>
      </c>
      <c r="F974">
        <v>49.819252014</v>
      </c>
      <c r="G974">
        <v>1327.5093993999999</v>
      </c>
      <c r="H974">
        <v>1325.6522216999999</v>
      </c>
      <c r="I974">
        <v>1345.7655029</v>
      </c>
      <c r="J974">
        <v>1341.1429443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551.09705099999996</v>
      </c>
      <c r="B975" s="1">
        <f>DATE(2011,11,3) + TIME(2,19,45)</f>
        <v>40850.097048611111</v>
      </c>
      <c r="C975">
        <v>80</v>
      </c>
      <c r="D975">
        <v>79.62046814</v>
      </c>
      <c r="E975">
        <v>50</v>
      </c>
      <c r="F975">
        <v>49.852283477999997</v>
      </c>
      <c r="G975">
        <v>1327.4969481999999</v>
      </c>
      <c r="H975">
        <v>1325.6389160000001</v>
      </c>
      <c r="I975">
        <v>1345.7407227000001</v>
      </c>
      <c r="J975">
        <v>1341.1257324000001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551.29423999999995</v>
      </c>
      <c r="B976" s="1">
        <f>DATE(2011,11,3) + TIME(7,3,42)</f>
        <v>40850.294236111113</v>
      </c>
      <c r="C976">
        <v>80</v>
      </c>
      <c r="D976">
        <v>79.595672606999997</v>
      </c>
      <c r="E976">
        <v>50</v>
      </c>
      <c r="F976">
        <v>49.878063202</v>
      </c>
      <c r="G976">
        <v>1327.4866943</v>
      </c>
      <c r="H976">
        <v>1325.6276855000001</v>
      </c>
      <c r="I976">
        <v>1345.7174072</v>
      </c>
      <c r="J976">
        <v>1341.1088867000001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551.49498900000003</v>
      </c>
      <c r="B977" s="1">
        <f>DATE(2011,11,3) + TIME(11,52,47)</f>
        <v>40850.494988425926</v>
      </c>
      <c r="C977">
        <v>80</v>
      </c>
      <c r="D977">
        <v>79.570541382000002</v>
      </c>
      <c r="E977">
        <v>50</v>
      </c>
      <c r="F977">
        <v>49.898269653</v>
      </c>
      <c r="G977">
        <v>1327.4780272999999</v>
      </c>
      <c r="H977">
        <v>1325.6181641000001</v>
      </c>
      <c r="I977">
        <v>1345.6947021000001</v>
      </c>
      <c r="J977">
        <v>1341.0921631000001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551.70052899999996</v>
      </c>
      <c r="B978" s="1">
        <f>DATE(2011,11,3) + TIME(16,48,45)</f>
        <v>40850.700520833336</v>
      </c>
      <c r="C978">
        <v>80</v>
      </c>
      <c r="D978">
        <v>79.544944763000004</v>
      </c>
      <c r="E978">
        <v>50</v>
      </c>
      <c r="F978">
        <v>49.914127350000001</v>
      </c>
      <c r="G978">
        <v>1327.4704589999999</v>
      </c>
      <c r="H978">
        <v>1325.6096190999999</v>
      </c>
      <c r="I978">
        <v>1345.6727295000001</v>
      </c>
      <c r="J978">
        <v>1341.0758057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551.912103</v>
      </c>
      <c r="B979" s="1">
        <f>DATE(2011,11,3) + TIME(21,53,25)</f>
        <v>40850.912094907406</v>
      </c>
      <c r="C979">
        <v>80</v>
      </c>
      <c r="D979">
        <v>79.518760681000003</v>
      </c>
      <c r="E979">
        <v>50</v>
      </c>
      <c r="F979">
        <v>49.926559447999999</v>
      </c>
      <c r="G979">
        <v>1327.463501</v>
      </c>
      <c r="H979">
        <v>1325.6018065999999</v>
      </c>
      <c r="I979">
        <v>1345.6516113</v>
      </c>
      <c r="J979">
        <v>1341.0599365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552.13100399999996</v>
      </c>
      <c r="B980" s="1">
        <f>DATE(2011,11,4) + TIME(3,8,38)</f>
        <v>40851.130995370368</v>
      </c>
      <c r="C980">
        <v>80</v>
      </c>
      <c r="D980">
        <v>79.491851807000003</v>
      </c>
      <c r="E980">
        <v>50</v>
      </c>
      <c r="F980">
        <v>49.936290741000001</v>
      </c>
      <c r="G980">
        <v>1327.4570312000001</v>
      </c>
      <c r="H980">
        <v>1325.5944824000001</v>
      </c>
      <c r="I980">
        <v>1345.6311035000001</v>
      </c>
      <c r="J980">
        <v>1341.0444336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552.35863400000005</v>
      </c>
      <c r="B981" s="1">
        <f>DATE(2011,11,4) + TIME(8,36,25)</f>
        <v>40851.358622685184</v>
      </c>
      <c r="C981">
        <v>80</v>
      </c>
      <c r="D981">
        <v>79.464096068999993</v>
      </c>
      <c r="E981">
        <v>50</v>
      </c>
      <c r="F981">
        <v>49.943881988999998</v>
      </c>
      <c r="G981">
        <v>1327.4506836</v>
      </c>
      <c r="H981">
        <v>1325.5872803</v>
      </c>
      <c r="I981">
        <v>1345.6112060999999</v>
      </c>
      <c r="J981">
        <v>1341.0292969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552.59655999999995</v>
      </c>
      <c r="B982" s="1">
        <f>DATE(2011,11,4) + TIME(14,19,2)</f>
        <v>40851.596550925926</v>
      </c>
      <c r="C982">
        <v>80</v>
      </c>
      <c r="D982">
        <v>79.435325622999997</v>
      </c>
      <c r="E982">
        <v>50</v>
      </c>
      <c r="F982">
        <v>49.949779509999999</v>
      </c>
      <c r="G982">
        <v>1327.4445800999999</v>
      </c>
      <c r="H982">
        <v>1325.5800781</v>
      </c>
      <c r="I982">
        <v>1345.5917969</v>
      </c>
      <c r="J982">
        <v>1341.0144043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552.84657400000003</v>
      </c>
      <c r="B983" s="1">
        <f>DATE(2011,11,4) + TIME(20,19,3)</f>
        <v>40851.846562500003</v>
      </c>
      <c r="C983">
        <v>80</v>
      </c>
      <c r="D983">
        <v>79.405380249000004</v>
      </c>
      <c r="E983">
        <v>50</v>
      </c>
      <c r="F983">
        <v>49.954334258999999</v>
      </c>
      <c r="G983">
        <v>1327.4383545000001</v>
      </c>
      <c r="H983">
        <v>1325.5727539</v>
      </c>
      <c r="I983">
        <v>1345.5726318</v>
      </c>
      <c r="J983">
        <v>1340.9996338000001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553.11077299999999</v>
      </c>
      <c r="B984" s="1">
        <f>DATE(2011,11,5) + TIME(2,39,30)</f>
        <v>40852.110763888886</v>
      </c>
      <c r="C984">
        <v>80</v>
      </c>
      <c r="D984">
        <v>79.374053954999994</v>
      </c>
      <c r="E984">
        <v>50</v>
      </c>
      <c r="F984">
        <v>49.957828522</v>
      </c>
      <c r="G984">
        <v>1327.4321289</v>
      </c>
      <c r="H984">
        <v>1325.5653076000001</v>
      </c>
      <c r="I984">
        <v>1345.5537108999999</v>
      </c>
      <c r="J984">
        <v>1340.9851074000001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553.391661</v>
      </c>
      <c r="B985" s="1">
        <f>DATE(2011,11,5) + TIME(9,23,59)</f>
        <v>40852.391655092593</v>
      </c>
      <c r="C985">
        <v>80</v>
      </c>
      <c r="D985">
        <v>79.341110228999995</v>
      </c>
      <c r="E985">
        <v>50</v>
      </c>
      <c r="F985">
        <v>49.960491179999998</v>
      </c>
      <c r="G985">
        <v>1327.4255370999999</v>
      </c>
      <c r="H985">
        <v>1325.5576172000001</v>
      </c>
      <c r="I985">
        <v>1345.5349120999999</v>
      </c>
      <c r="J985">
        <v>1340.9704589999999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553.69228699999996</v>
      </c>
      <c r="B986" s="1">
        <f>DATE(2011,11,5) + TIME(16,36,53)</f>
        <v>40852.692280092589</v>
      </c>
      <c r="C986">
        <v>80</v>
      </c>
      <c r="D986">
        <v>79.306259155000006</v>
      </c>
      <c r="E986">
        <v>50</v>
      </c>
      <c r="F986">
        <v>49.962501525999997</v>
      </c>
      <c r="G986">
        <v>1327.4187012</v>
      </c>
      <c r="H986">
        <v>1325.5494385</v>
      </c>
      <c r="I986">
        <v>1345.5159911999999</v>
      </c>
      <c r="J986">
        <v>1340.9558105000001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554.01371600000004</v>
      </c>
      <c r="B987" s="1">
        <f>DATE(2011,11,6) + TIME(0,19,45)</f>
        <v>40853.013715277775</v>
      </c>
      <c r="C987">
        <v>80</v>
      </c>
      <c r="D987">
        <v>79.269409179999997</v>
      </c>
      <c r="E987">
        <v>50</v>
      </c>
      <c r="F987">
        <v>49.963996887</v>
      </c>
      <c r="G987">
        <v>1327.411499</v>
      </c>
      <c r="H987">
        <v>1325.5406493999999</v>
      </c>
      <c r="I987">
        <v>1345.4969481999999</v>
      </c>
      <c r="J987">
        <v>1340.9410399999999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554.35584100000005</v>
      </c>
      <c r="B988" s="1">
        <f>DATE(2011,11,6) + TIME(8,32,24)</f>
        <v>40853.355833333335</v>
      </c>
      <c r="C988">
        <v>80</v>
      </c>
      <c r="D988">
        <v>79.230552673000005</v>
      </c>
      <c r="E988">
        <v>50</v>
      </c>
      <c r="F988">
        <v>49.965091704999999</v>
      </c>
      <c r="G988">
        <v>1327.4036865</v>
      </c>
      <c r="H988">
        <v>1325.53125</v>
      </c>
      <c r="I988">
        <v>1345.4777832</v>
      </c>
      <c r="J988">
        <v>1340.9260254000001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554.72254399999997</v>
      </c>
      <c r="B989" s="1">
        <f>DATE(2011,11,6) + TIME(17,20,27)</f>
        <v>40853.722534722219</v>
      </c>
      <c r="C989">
        <v>80</v>
      </c>
      <c r="D989">
        <v>79.189353943</v>
      </c>
      <c r="E989">
        <v>50</v>
      </c>
      <c r="F989">
        <v>49.965885161999999</v>
      </c>
      <c r="G989">
        <v>1327.3953856999999</v>
      </c>
      <c r="H989">
        <v>1325.5212402</v>
      </c>
      <c r="I989">
        <v>1345.4584961</v>
      </c>
      <c r="J989">
        <v>1340.9108887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555.11831400000005</v>
      </c>
      <c r="B990" s="1">
        <f>DATE(2011,11,7) + TIME(2,50,22)</f>
        <v>40854.118310185186</v>
      </c>
      <c r="C990">
        <v>80</v>
      </c>
      <c r="D990">
        <v>79.145431518999999</v>
      </c>
      <c r="E990">
        <v>50</v>
      </c>
      <c r="F990">
        <v>49.966461182000003</v>
      </c>
      <c r="G990">
        <v>1327.3864745999999</v>
      </c>
      <c r="H990">
        <v>1325.510376</v>
      </c>
      <c r="I990">
        <v>1345.4389647999999</v>
      </c>
      <c r="J990">
        <v>1340.8956298999999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555.53078400000004</v>
      </c>
      <c r="B991" s="1">
        <f>DATE(2011,11,7) + TIME(12,44,19)</f>
        <v>40854.530775462961</v>
      </c>
      <c r="C991">
        <v>80</v>
      </c>
      <c r="D991">
        <v>79.099731445000003</v>
      </c>
      <c r="E991">
        <v>50</v>
      </c>
      <c r="F991">
        <v>49.966865540000001</v>
      </c>
      <c r="G991">
        <v>1327.3769531</v>
      </c>
      <c r="H991">
        <v>1325.4986572</v>
      </c>
      <c r="I991">
        <v>1345.4191894999999</v>
      </c>
      <c r="J991">
        <v>1340.8800048999999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555.94765400000006</v>
      </c>
      <c r="B992" s="1">
        <f>DATE(2011,11,7) + TIME(22,44,37)</f>
        <v>40854.947650462964</v>
      </c>
      <c r="C992">
        <v>80</v>
      </c>
      <c r="D992">
        <v>79.053298949999999</v>
      </c>
      <c r="E992">
        <v>50</v>
      </c>
      <c r="F992">
        <v>49.967140198000003</v>
      </c>
      <c r="G992">
        <v>1327.3668213000001</v>
      </c>
      <c r="H992">
        <v>1325.4863281</v>
      </c>
      <c r="I992">
        <v>1345.3996582</v>
      </c>
      <c r="J992">
        <v>1340.864624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556.37236600000006</v>
      </c>
      <c r="B993" s="1">
        <f>DATE(2011,11,8) + TIME(8,56,12)</f>
        <v>40855.372361111113</v>
      </c>
      <c r="C993">
        <v>80</v>
      </c>
      <c r="D993">
        <v>79.006011963000006</v>
      </c>
      <c r="E993">
        <v>50</v>
      </c>
      <c r="F993">
        <v>49.967334747000002</v>
      </c>
      <c r="G993">
        <v>1327.3565673999999</v>
      </c>
      <c r="H993">
        <v>1325.4736327999999</v>
      </c>
      <c r="I993">
        <v>1345.3809814000001</v>
      </c>
      <c r="J993">
        <v>1340.8498535000001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556.80820200000005</v>
      </c>
      <c r="B994" s="1">
        <f>DATE(2011,11,8) + TIME(19,23,48)</f>
        <v>40855.808194444442</v>
      </c>
      <c r="C994">
        <v>80</v>
      </c>
      <c r="D994">
        <v>78.957710266000007</v>
      </c>
      <c r="E994">
        <v>50</v>
      </c>
      <c r="F994">
        <v>49.967472076</v>
      </c>
      <c r="G994">
        <v>1327.3458252</v>
      </c>
      <c r="H994">
        <v>1325.4605713000001</v>
      </c>
      <c r="I994">
        <v>1345.3629149999999</v>
      </c>
      <c r="J994">
        <v>1340.8354492000001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557.25851</v>
      </c>
      <c r="B995" s="1">
        <f>DATE(2011,11,9) + TIME(6,12,15)</f>
        <v>40856.258506944447</v>
      </c>
      <c r="C995">
        <v>80</v>
      </c>
      <c r="D995">
        <v>78.908180236999996</v>
      </c>
      <c r="E995">
        <v>50</v>
      </c>
      <c r="F995">
        <v>49.967575072999999</v>
      </c>
      <c r="G995">
        <v>1327.3348389</v>
      </c>
      <c r="H995">
        <v>1325.4468993999999</v>
      </c>
      <c r="I995">
        <v>1345.3453368999999</v>
      </c>
      <c r="J995">
        <v>1340.8215332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557.72690299999999</v>
      </c>
      <c r="B996" s="1">
        <f>DATE(2011,11,9) + TIME(17,26,44)</f>
        <v>40856.726898148147</v>
      </c>
      <c r="C996">
        <v>80</v>
      </c>
      <c r="D996">
        <v>78.857162475999999</v>
      </c>
      <c r="E996">
        <v>50</v>
      </c>
      <c r="F996">
        <v>49.967651367000002</v>
      </c>
      <c r="G996">
        <v>1327.3232422000001</v>
      </c>
      <c r="H996">
        <v>1325.4326172000001</v>
      </c>
      <c r="I996">
        <v>1345.3280029</v>
      </c>
      <c r="J996">
        <v>1340.8077393000001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558.21135600000002</v>
      </c>
      <c r="B997" s="1">
        <f>DATE(2011,11,10) + TIME(5,4,21)</f>
        <v>40857.211354166669</v>
      </c>
      <c r="C997">
        <v>80</v>
      </c>
      <c r="D997">
        <v>78.804794311999999</v>
      </c>
      <c r="E997">
        <v>50</v>
      </c>
      <c r="F997">
        <v>49.967704773000001</v>
      </c>
      <c r="G997">
        <v>1327.3111572</v>
      </c>
      <c r="H997">
        <v>1325.4176024999999</v>
      </c>
      <c r="I997">
        <v>1345.3109131000001</v>
      </c>
      <c r="J997">
        <v>1340.7940673999999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558.70506899999998</v>
      </c>
      <c r="B998" s="1">
        <f>DATE(2011,11,10) + TIME(16,55,17)</f>
        <v>40857.705057870371</v>
      </c>
      <c r="C998">
        <v>80</v>
      </c>
      <c r="D998">
        <v>78.751579285000005</v>
      </c>
      <c r="E998">
        <v>50</v>
      </c>
      <c r="F998">
        <v>49.967746734999999</v>
      </c>
      <c r="G998">
        <v>1327.2985839999999</v>
      </c>
      <c r="H998">
        <v>1325.4019774999999</v>
      </c>
      <c r="I998">
        <v>1345.2940673999999</v>
      </c>
      <c r="J998">
        <v>1340.7805175999999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559.20926299999996</v>
      </c>
      <c r="B999" s="1">
        <f>DATE(2011,11,11) + TIME(5,1,20)</f>
        <v>40858.20925925926</v>
      </c>
      <c r="C999">
        <v>80</v>
      </c>
      <c r="D999">
        <v>78.697517395000006</v>
      </c>
      <c r="E999">
        <v>50</v>
      </c>
      <c r="F999">
        <v>49.967781066999997</v>
      </c>
      <c r="G999">
        <v>1327.2856445</v>
      </c>
      <c r="H999">
        <v>1325.3857422000001</v>
      </c>
      <c r="I999">
        <v>1345.2777100000001</v>
      </c>
      <c r="J999">
        <v>1340.7674560999999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559.72372399999995</v>
      </c>
      <c r="B1000" s="1">
        <f>DATE(2011,11,11) + TIME(17,22,9)</f>
        <v>40858.723715277774</v>
      </c>
      <c r="C1000">
        <v>80</v>
      </c>
      <c r="D1000">
        <v>78.642677307</v>
      </c>
      <c r="E1000">
        <v>50</v>
      </c>
      <c r="F1000">
        <v>49.967803955000001</v>
      </c>
      <c r="G1000">
        <v>1327.2723389</v>
      </c>
      <c r="H1000">
        <v>1325.3690185999999</v>
      </c>
      <c r="I1000">
        <v>1345.2617187999999</v>
      </c>
      <c r="J1000">
        <v>1340.7545166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560.24706000000003</v>
      </c>
      <c r="B1001" s="1">
        <f>DATE(2011,11,12) + TIME(5,55,46)</f>
        <v>40859.247060185182</v>
      </c>
      <c r="C1001">
        <v>80</v>
      </c>
      <c r="D1001">
        <v>78.587196349999999</v>
      </c>
      <c r="E1001">
        <v>50</v>
      </c>
      <c r="F1001">
        <v>49.967823029000002</v>
      </c>
      <c r="G1001">
        <v>1327.2585449000001</v>
      </c>
      <c r="H1001">
        <v>1325.3518065999999</v>
      </c>
      <c r="I1001">
        <v>1345.2460937999999</v>
      </c>
      <c r="J1001">
        <v>1340.7419434000001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560.77770399999997</v>
      </c>
      <c r="B1002" s="1">
        <f>DATE(2011,11,12) + TIME(18,39,53)</f>
        <v>40859.777696759258</v>
      </c>
      <c r="C1002">
        <v>80</v>
      </c>
      <c r="D1002">
        <v>78.531227111999996</v>
      </c>
      <c r="E1002">
        <v>50</v>
      </c>
      <c r="F1002">
        <v>49.967838286999999</v>
      </c>
      <c r="G1002">
        <v>1327.2445068</v>
      </c>
      <c r="H1002">
        <v>1325.3341064000001</v>
      </c>
      <c r="I1002">
        <v>1345.230957</v>
      </c>
      <c r="J1002">
        <v>1340.7297363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561.31654000000003</v>
      </c>
      <c r="B1003" s="1">
        <f>DATE(2011,11,13) + TIME(7,35,49)</f>
        <v>40860.31653935185</v>
      </c>
      <c r="C1003">
        <v>80</v>
      </c>
      <c r="D1003">
        <v>78.474769592000001</v>
      </c>
      <c r="E1003">
        <v>50</v>
      </c>
      <c r="F1003">
        <v>49.967853546000001</v>
      </c>
      <c r="G1003">
        <v>1327.2299805</v>
      </c>
      <c r="H1003">
        <v>1325.315918</v>
      </c>
      <c r="I1003">
        <v>1345.2163086</v>
      </c>
      <c r="J1003">
        <v>1340.7177733999999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561.86489200000005</v>
      </c>
      <c r="B1004" s="1">
        <f>DATE(2011,11,13) + TIME(20,45,26)</f>
        <v>40860.864884259259</v>
      </c>
      <c r="C1004">
        <v>80</v>
      </c>
      <c r="D1004">
        <v>78.417755127000007</v>
      </c>
      <c r="E1004">
        <v>50</v>
      </c>
      <c r="F1004">
        <v>49.967864990000002</v>
      </c>
      <c r="G1004">
        <v>1327.2152100000001</v>
      </c>
      <c r="H1004">
        <v>1325.2973632999999</v>
      </c>
      <c r="I1004">
        <v>1345.2019043</v>
      </c>
      <c r="J1004">
        <v>1340.7061768000001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562.423993</v>
      </c>
      <c r="B1005" s="1">
        <f>DATE(2011,11,14) + TIME(10,10,33)</f>
        <v>40861.423993055556</v>
      </c>
      <c r="C1005">
        <v>80</v>
      </c>
      <c r="D1005">
        <v>78.360115050999994</v>
      </c>
      <c r="E1005">
        <v>50</v>
      </c>
      <c r="F1005">
        <v>49.967872620000001</v>
      </c>
      <c r="G1005">
        <v>1327.2000731999999</v>
      </c>
      <c r="H1005">
        <v>1325.2781981999999</v>
      </c>
      <c r="I1005">
        <v>1345.1878661999999</v>
      </c>
      <c r="J1005">
        <v>1340.6947021000001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562.99502500000006</v>
      </c>
      <c r="B1006" s="1">
        <f>DATE(2011,11,14) + TIME(23,52,50)</f>
        <v>40861.995023148149</v>
      </c>
      <c r="C1006">
        <v>80</v>
      </c>
      <c r="D1006">
        <v>78.301765442000004</v>
      </c>
      <c r="E1006">
        <v>50</v>
      </c>
      <c r="F1006">
        <v>49.967884064000003</v>
      </c>
      <c r="G1006">
        <v>1327.1844481999999</v>
      </c>
      <c r="H1006">
        <v>1325.2585449000001</v>
      </c>
      <c r="I1006">
        <v>1345.1741943</v>
      </c>
      <c r="J1006">
        <v>1340.6834716999999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563.57919700000002</v>
      </c>
      <c r="B1007" s="1">
        <f>DATE(2011,11,15) + TIME(13,54,2)</f>
        <v>40862.579189814816</v>
      </c>
      <c r="C1007">
        <v>80</v>
      </c>
      <c r="D1007">
        <v>78.242622374999996</v>
      </c>
      <c r="E1007">
        <v>50</v>
      </c>
      <c r="F1007">
        <v>49.967891692999999</v>
      </c>
      <c r="G1007">
        <v>1327.168457</v>
      </c>
      <c r="H1007">
        <v>1325.2382812000001</v>
      </c>
      <c r="I1007">
        <v>1345.1606445</v>
      </c>
      <c r="J1007">
        <v>1340.6723632999999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564.17777100000001</v>
      </c>
      <c r="B1008" s="1">
        <f>DATE(2011,11,16) + TIME(4,15,59)</f>
        <v>40863.177766203706</v>
      </c>
      <c r="C1008">
        <v>80</v>
      </c>
      <c r="D1008">
        <v>78.182594299000002</v>
      </c>
      <c r="E1008">
        <v>50</v>
      </c>
      <c r="F1008">
        <v>49.967903137</v>
      </c>
      <c r="G1008">
        <v>1327.1519774999999</v>
      </c>
      <c r="H1008">
        <v>1325.2172852000001</v>
      </c>
      <c r="I1008">
        <v>1345.1474608999999</v>
      </c>
      <c r="J1008">
        <v>1340.661499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564.79207099999996</v>
      </c>
      <c r="B1009" s="1">
        <f>DATE(2011,11,16) + TIME(19,0,34)</f>
        <v>40863.792060185187</v>
      </c>
      <c r="C1009">
        <v>80</v>
      </c>
      <c r="D1009">
        <v>78.121574401999993</v>
      </c>
      <c r="E1009">
        <v>50</v>
      </c>
      <c r="F1009">
        <v>49.967910766999999</v>
      </c>
      <c r="G1009">
        <v>1327.1348877</v>
      </c>
      <c r="H1009">
        <v>1325.1956786999999</v>
      </c>
      <c r="I1009">
        <v>1345.1342772999999</v>
      </c>
      <c r="J1009">
        <v>1340.6506348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565.42346799999996</v>
      </c>
      <c r="B1010" s="1">
        <f>DATE(2011,11,17) + TIME(10,9,47)</f>
        <v>40864.423460648148</v>
      </c>
      <c r="C1010">
        <v>80</v>
      </c>
      <c r="D1010">
        <v>78.059471130000006</v>
      </c>
      <c r="E1010">
        <v>50</v>
      </c>
      <c r="F1010">
        <v>49.967922211000001</v>
      </c>
      <c r="G1010">
        <v>1327.1173096</v>
      </c>
      <c r="H1010">
        <v>1325.1733397999999</v>
      </c>
      <c r="I1010">
        <v>1345.1213379000001</v>
      </c>
      <c r="J1010">
        <v>1340.6398925999999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566.07343400000002</v>
      </c>
      <c r="B1011" s="1">
        <f>DATE(2011,11,18) + TIME(1,45,44)</f>
        <v>40865.073425925926</v>
      </c>
      <c r="C1011">
        <v>80</v>
      </c>
      <c r="D1011">
        <v>77.996162415000001</v>
      </c>
      <c r="E1011">
        <v>50</v>
      </c>
      <c r="F1011">
        <v>49.967933655000003</v>
      </c>
      <c r="G1011">
        <v>1327.098999</v>
      </c>
      <c r="H1011">
        <v>1325.1501464999999</v>
      </c>
      <c r="I1011">
        <v>1345.1085204999999</v>
      </c>
      <c r="J1011">
        <v>1340.6292725000001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566.743515</v>
      </c>
      <c r="B1012" s="1">
        <f>DATE(2011,11,18) + TIME(17,50,39)</f>
        <v>40865.743506944447</v>
      </c>
      <c r="C1012">
        <v>80</v>
      </c>
      <c r="D1012">
        <v>77.931549071999996</v>
      </c>
      <c r="E1012">
        <v>50</v>
      </c>
      <c r="F1012">
        <v>49.967941283999998</v>
      </c>
      <c r="G1012">
        <v>1327.0802002</v>
      </c>
      <c r="H1012">
        <v>1325.1260986</v>
      </c>
      <c r="I1012">
        <v>1345.0958252</v>
      </c>
      <c r="J1012">
        <v>1340.6186522999999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567.43519000000003</v>
      </c>
      <c r="B1013" s="1">
        <f>DATE(2011,11,19) + TIME(10,26,40)</f>
        <v>40866.435185185182</v>
      </c>
      <c r="C1013">
        <v>80</v>
      </c>
      <c r="D1013">
        <v>77.865516662999994</v>
      </c>
      <c r="E1013">
        <v>50</v>
      </c>
      <c r="F1013">
        <v>49.967956543</v>
      </c>
      <c r="G1013">
        <v>1327.0605469</v>
      </c>
      <c r="H1013">
        <v>1325.1011963000001</v>
      </c>
      <c r="I1013">
        <v>1345.0831298999999</v>
      </c>
      <c r="J1013">
        <v>1340.6081543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568.15024000000005</v>
      </c>
      <c r="B1014" s="1">
        <f>DATE(2011,11,20) + TIME(3,36,20)</f>
        <v>40867.150231481479</v>
      </c>
      <c r="C1014">
        <v>80</v>
      </c>
      <c r="D1014">
        <v>77.797950744999994</v>
      </c>
      <c r="E1014">
        <v>50</v>
      </c>
      <c r="F1014">
        <v>49.967967987000002</v>
      </c>
      <c r="G1014">
        <v>1327.0401611</v>
      </c>
      <c r="H1014">
        <v>1325.0751952999999</v>
      </c>
      <c r="I1014">
        <v>1345.0704346</v>
      </c>
      <c r="J1014">
        <v>1340.5975341999999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568.89073499999995</v>
      </c>
      <c r="B1015" s="1">
        <f>DATE(2011,11,20) + TIME(21,22,39)</f>
        <v>40867.890729166669</v>
      </c>
      <c r="C1015">
        <v>80</v>
      </c>
      <c r="D1015">
        <v>77.728721618999998</v>
      </c>
      <c r="E1015">
        <v>50</v>
      </c>
      <c r="F1015">
        <v>49.967983246000003</v>
      </c>
      <c r="G1015">
        <v>1327.019043</v>
      </c>
      <c r="H1015">
        <v>1325.0480957</v>
      </c>
      <c r="I1015">
        <v>1345.0578613</v>
      </c>
      <c r="J1015">
        <v>1340.5869141000001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569.65880900000002</v>
      </c>
      <c r="B1016" s="1">
        <f>DATE(2011,11,21) + TIME(15,48,41)</f>
        <v>40868.658807870372</v>
      </c>
      <c r="C1016">
        <v>80</v>
      </c>
      <c r="D1016">
        <v>77.657684325999995</v>
      </c>
      <c r="E1016">
        <v>50</v>
      </c>
      <c r="F1016">
        <v>49.967994689999998</v>
      </c>
      <c r="G1016">
        <v>1326.9969481999999</v>
      </c>
      <c r="H1016">
        <v>1325.0198975000001</v>
      </c>
      <c r="I1016">
        <v>1345.0452881000001</v>
      </c>
      <c r="J1016">
        <v>1340.5764160000001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570.45680300000004</v>
      </c>
      <c r="B1017" s="1">
        <f>DATE(2011,11,22) + TIME(10,57,47)</f>
        <v>40869.456793981481</v>
      </c>
      <c r="C1017">
        <v>80</v>
      </c>
      <c r="D1017">
        <v>77.584693908999995</v>
      </c>
      <c r="E1017">
        <v>50</v>
      </c>
      <c r="F1017">
        <v>49.968013763000002</v>
      </c>
      <c r="G1017">
        <v>1326.9738769999999</v>
      </c>
      <c r="H1017">
        <v>1324.9903564000001</v>
      </c>
      <c r="I1017">
        <v>1345.0327147999999</v>
      </c>
      <c r="J1017">
        <v>1340.5656738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571.28729199999998</v>
      </c>
      <c r="B1018" s="1">
        <f>DATE(2011,11,23) + TIME(6,53,42)</f>
        <v>40870.287291666667</v>
      </c>
      <c r="C1018">
        <v>80</v>
      </c>
      <c r="D1018">
        <v>77.509590149000005</v>
      </c>
      <c r="E1018">
        <v>50</v>
      </c>
      <c r="F1018">
        <v>49.968029022000003</v>
      </c>
      <c r="G1018">
        <v>1326.9498291</v>
      </c>
      <c r="H1018">
        <v>1324.9594727000001</v>
      </c>
      <c r="I1018">
        <v>1345.0200195</v>
      </c>
      <c r="J1018">
        <v>1340.5550536999999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572.15311599999995</v>
      </c>
      <c r="B1019" s="1">
        <f>DATE(2011,11,24) + TIME(3,40,29)</f>
        <v>40871.153113425928</v>
      </c>
      <c r="C1019">
        <v>80</v>
      </c>
      <c r="D1019">
        <v>77.432189941000004</v>
      </c>
      <c r="E1019">
        <v>50</v>
      </c>
      <c r="F1019">
        <v>49.968048095999997</v>
      </c>
      <c r="G1019">
        <v>1326.9245605000001</v>
      </c>
      <c r="H1019">
        <v>1324.927124</v>
      </c>
      <c r="I1019">
        <v>1345.0073242000001</v>
      </c>
      <c r="J1019">
        <v>1340.5441894999999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573.04712099999995</v>
      </c>
      <c r="B1020" s="1">
        <f>DATE(2011,11,25) + TIME(1,7,51)</f>
        <v>40872.047118055554</v>
      </c>
      <c r="C1020">
        <v>80</v>
      </c>
      <c r="D1020">
        <v>77.352806091000005</v>
      </c>
      <c r="E1020">
        <v>50</v>
      </c>
      <c r="F1020">
        <v>49.968067169000001</v>
      </c>
      <c r="G1020">
        <v>1326.8980713000001</v>
      </c>
      <c r="H1020">
        <v>1324.8931885</v>
      </c>
      <c r="I1020">
        <v>1344.9946289</v>
      </c>
      <c r="J1020">
        <v>1340.5333252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573.95861000000002</v>
      </c>
      <c r="B1021" s="1">
        <f>DATE(2011,11,25) + TIME(23,0,23)</f>
        <v>40872.958599537036</v>
      </c>
      <c r="C1021">
        <v>80</v>
      </c>
      <c r="D1021">
        <v>77.272071838000002</v>
      </c>
      <c r="E1021">
        <v>50</v>
      </c>
      <c r="F1021">
        <v>49.968090056999998</v>
      </c>
      <c r="G1021">
        <v>1326.8706055</v>
      </c>
      <c r="H1021">
        <v>1324.8577881000001</v>
      </c>
      <c r="I1021">
        <v>1344.9819336</v>
      </c>
      <c r="J1021">
        <v>1340.5224608999999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574.88968799999998</v>
      </c>
      <c r="B1022" s="1">
        <f>DATE(2011,11,26) + TIME(21,21,9)</f>
        <v>40873.889687499999</v>
      </c>
      <c r="C1022">
        <v>80</v>
      </c>
      <c r="D1022">
        <v>77.190185546999999</v>
      </c>
      <c r="E1022">
        <v>50</v>
      </c>
      <c r="F1022">
        <v>49.968112945999998</v>
      </c>
      <c r="G1022">
        <v>1326.8422852000001</v>
      </c>
      <c r="H1022">
        <v>1324.8214111</v>
      </c>
      <c r="I1022">
        <v>1344.9693603999999</v>
      </c>
      <c r="J1022">
        <v>1340.5117187999999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575.83537899999999</v>
      </c>
      <c r="B1023" s="1">
        <f>DATE(2011,11,27) + TIME(20,2,56)</f>
        <v>40874.835370370369</v>
      </c>
      <c r="C1023">
        <v>80</v>
      </c>
      <c r="D1023">
        <v>77.107528686999999</v>
      </c>
      <c r="E1023">
        <v>50</v>
      </c>
      <c r="F1023">
        <v>49.968135834000002</v>
      </c>
      <c r="G1023">
        <v>1326.8131103999999</v>
      </c>
      <c r="H1023">
        <v>1324.7838135</v>
      </c>
      <c r="I1023">
        <v>1344.9570312000001</v>
      </c>
      <c r="J1023">
        <v>1340.5010986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576.79584699999998</v>
      </c>
      <c r="B1024" s="1">
        <f>DATE(2011,11,28) + TIME(19,6,1)</f>
        <v>40875.795844907407</v>
      </c>
      <c r="C1024">
        <v>80</v>
      </c>
      <c r="D1024">
        <v>77.024269103999998</v>
      </c>
      <c r="E1024">
        <v>50</v>
      </c>
      <c r="F1024">
        <v>49.968158721999998</v>
      </c>
      <c r="G1024">
        <v>1326.7833252</v>
      </c>
      <c r="H1024">
        <v>1324.7454834</v>
      </c>
      <c r="I1024">
        <v>1344.9449463000001</v>
      </c>
      <c r="J1024">
        <v>1340.4907227000001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577.77304700000002</v>
      </c>
      <c r="B1025" s="1">
        <f>DATE(2011,11,29) + TIME(18,33,11)</f>
        <v>40876.773043981484</v>
      </c>
      <c r="C1025">
        <v>80</v>
      </c>
      <c r="D1025">
        <v>76.940444946</v>
      </c>
      <c r="E1025">
        <v>50</v>
      </c>
      <c r="F1025">
        <v>49.968181610000002</v>
      </c>
      <c r="G1025">
        <v>1326.7529297000001</v>
      </c>
      <c r="H1025">
        <v>1324.7060547000001</v>
      </c>
      <c r="I1025">
        <v>1344.9331055</v>
      </c>
      <c r="J1025">
        <v>1340.4803466999999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578.76638000000003</v>
      </c>
      <c r="B1026" s="1">
        <f>DATE(2011,11,30) + TIME(18,23,35)</f>
        <v>40877.766377314816</v>
      </c>
      <c r="C1026">
        <v>80</v>
      </c>
      <c r="D1026">
        <v>76.856101989999999</v>
      </c>
      <c r="E1026">
        <v>50</v>
      </c>
      <c r="F1026">
        <v>49.968208312999998</v>
      </c>
      <c r="G1026">
        <v>1326.7216797000001</v>
      </c>
      <c r="H1026">
        <v>1324.6657714999999</v>
      </c>
      <c r="I1026">
        <v>1344.9215088000001</v>
      </c>
      <c r="J1026">
        <v>1340.4702147999999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579</v>
      </c>
      <c r="B1027" s="1">
        <f>DATE(2011,12,1) + TIME(0,0,0)</f>
        <v>40878</v>
      </c>
      <c r="C1027">
        <v>80</v>
      </c>
      <c r="D1027">
        <v>76.823989867999998</v>
      </c>
      <c r="E1027">
        <v>50</v>
      </c>
      <c r="F1027">
        <v>49.968204497999999</v>
      </c>
      <c r="G1027">
        <v>1326.6951904</v>
      </c>
      <c r="H1027">
        <v>1324.6308594</v>
      </c>
      <c r="I1027">
        <v>1344.9105225000001</v>
      </c>
      <c r="J1027">
        <v>1340.4614257999999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580.011032</v>
      </c>
      <c r="B1028" s="1">
        <f>DATE(2011,12,2) + TIME(0,15,53)</f>
        <v>40879.011030092595</v>
      </c>
      <c r="C1028">
        <v>80</v>
      </c>
      <c r="D1028">
        <v>76.745437621999997</v>
      </c>
      <c r="E1028">
        <v>50</v>
      </c>
      <c r="F1028">
        <v>49.968242644999997</v>
      </c>
      <c r="G1028">
        <v>1326.6800536999999</v>
      </c>
      <c r="H1028">
        <v>1324.6119385</v>
      </c>
      <c r="I1028">
        <v>1344.9071045000001</v>
      </c>
      <c r="J1028">
        <v>1340.4575195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581.04702899999995</v>
      </c>
      <c r="B1029" s="1">
        <f>DATE(2011,12,3) + TIME(1,7,43)</f>
        <v>40880.047025462962</v>
      </c>
      <c r="C1029">
        <v>80</v>
      </c>
      <c r="D1029">
        <v>76.663002014</v>
      </c>
      <c r="E1029">
        <v>50</v>
      </c>
      <c r="F1029">
        <v>49.968269348</v>
      </c>
      <c r="G1029">
        <v>1326.6486815999999</v>
      </c>
      <c r="H1029">
        <v>1324.5712891000001</v>
      </c>
      <c r="I1029">
        <v>1344.8961182</v>
      </c>
      <c r="J1029">
        <v>1340.447876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582.10522000000003</v>
      </c>
      <c r="B1030" s="1">
        <f>DATE(2011,12,4) + TIME(2,31,30)</f>
        <v>40881.105208333334</v>
      </c>
      <c r="C1030">
        <v>80</v>
      </c>
      <c r="D1030">
        <v>76.578163146999998</v>
      </c>
      <c r="E1030">
        <v>50</v>
      </c>
      <c r="F1030">
        <v>49.968299866000002</v>
      </c>
      <c r="G1030">
        <v>1326.6156006000001</v>
      </c>
      <c r="H1030">
        <v>1324.5283202999999</v>
      </c>
      <c r="I1030">
        <v>1344.8850098</v>
      </c>
      <c r="J1030">
        <v>1340.4381103999999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583.18794000000003</v>
      </c>
      <c r="B1031" s="1">
        <f>DATE(2011,12,5) + TIME(4,30,38)</f>
        <v>40882.187939814816</v>
      </c>
      <c r="C1031">
        <v>80</v>
      </c>
      <c r="D1031">
        <v>76.491630553999997</v>
      </c>
      <c r="E1031">
        <v>50</v>
      </c>
      <c r="F1031">
        <v>49.968330383000001</v>
      </c>
      <c r="G1031">
        <v>1326.5811768000001</v>
      </c>
      <c r="H1031">
        <v>1324.4837646000001</v>
      </c>
      <c r="I1031">
        <v>1344.8739014</v>
      </c>
      <c r="J1031">
        <v>1340.4283447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584.29761699999995</v>
      </c>
      <c r="B1032" s="1">
        <f>DATE(2011,12,6) + TIME(7,8,34)</f>
        <v>40883.297615740739</v>
      </c>
      <c r="C1032">
        <v>80</v>
      </c>
      <c r="D1032">
        <v>76.403694153000004</v>
      </c>
      <c r="E1032">
        <v>50</v>
      </c>
      <c r="F1032">
        <v>49.968360900999997</v>
      </c>
      <c r="G1032">
        <v>1326.5456543</v>
      </c>
      <c r="H1032">
        <v>1324.4377440999999</v>
      </c>
      <c r="I1032">
        <v>1344.8630370999999</v>
      </c>
      <c r="J1032">
        <v>1340.4187012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585.43657800000005</v>
      </c>
      <c r="B1033" s="1">
        <f>DATE(2011,12,7) + TIME(10,28,40)</f>
        <v>40884.436574074076</v>
      </c>
      <c r="C1033">
        <v>80</v>
      </c>
      <c r="D1033">
        <v>76.314407349000007</v>
      </c>
      <c r="E1033">
        <v>50</v>
      </c>
      <c r="F1033">
        <v>49.968391418000003</v>
      </c>
      <c r="G1033">
        <v>1326.5090332</v>
      </c>
      <c r="H1033">
        <v>1324.3901367000001</v>
      </c>
      <c r="I1033">
        <v>1344.8521728999999</v>
      </c>
      <c r="J1033">
        <v>1340.4090576000001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586.60696099999996</v>
      </c>
      <c r="B1034" s="1">
        <f>DATE(2011,12,8) + TIME(14,34,1)</f>
        <v>40885.606956018521</v>
      </c>
      <c r="C1034">
        <v>80</v>
      </c>
      <c r="D1034">
        <v>76.223777771000002</v>
      </c>
      <c r="E1034">
        <v>50</v>
      </c>
      <c r="F1034">
        <v>49.968425750999998</v>
      </c>
      <c r="G1034">
        <v>1326.4713135</v>
      </c>
      <c r="H1034">
        <v>1324.3410644999999</v>
      </c>
      <c r="I1034">
        <v>1344.8413086</v>
      </c>
      <c r="J1034">
        <v>1340.3994141000001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587.81175900000005</v>
      </c>
      <c r="B1035" s="1">
        <f>DATE(2011,12,9) + TIME(19,28,56)</f>
        <v>40886.811759259261</v>
      </c>
      <c r="C1035">
        <v>80</v>
      </c>
      <c r="D1035">
        <v>76.131690978999998</v>
      </c>
      <c r="E1035">
        <v>50</v>
      </c>
      <c r="F1035">
        <v>49.968463898000003</v>
      </c>
      <c r="G1035">
        <v>1326.432251</v>
      </c>
      <c r="H1035">
        <v>1324.2904053</v>
      </c>
      <c r="I1035">
        <v>1344.8305664</v>
      </c>
      <c r="J1035">
        <v>1340.3897704999999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589.05397000000005</v>
      </c>
      <c r="B1036" s="1">
        <f>DATE(2011,12,11) + TIME(1,17,43)</f>
        <v>40888.053969907407</v>
      </c>
      <c r="C1036">
        <v>80</v>
      </c>
      <c r="D1036">
        <v>76.038040160999998</v>
      </c>
      <c r="E1036">
        <v>50</v>
      </c>
      <c r="F1036">
        <v>49.968498230000002</v>
      </c>
      <c r="G1036">
        <v>1326.3919678</v>
      </c>
      <c r="H1036">
        <v>1324.237793</v>
      </c>
      <c r="I1036">
        <v>1344.8198242000001</v>
      </c>
      <c r="J1036">
        <v>1340.3801269999999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590.33682499999998</v>
      </c>
      <c r="B1037" s="1">
        <f>DATE(2011,12,12) + TIME(8,5,1)</f>
        <v>40889.336817129632</v>
      </c>
      <c r="C1037">
        <v>80</v>
      </c>
      <c r="D1037">
        <v>75.942680358999993</v>
      </c>
      <c r="E1037">
        <v>50</v>
      </c>
      <c r="F1037">
        <v>49.968536377</v>
      </c>
      <c r="G1037">
        <v>1326.3500977000001</v>
      </c>
      <c r="H1037">
        <v>1324.1833495999999</v>
      </c>
      <c r="I1037">
        <v>1344.809082</v>
      </c>
      <c r="J1037">
        <v>1340.3703613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591.644183</v>
      </c>
      <c r="B1038" s="1">
        <f>DATE(2011,12,13) + TIME(15,27,37)</f>
        <v>40890.644178240742</v>
      </c>
      <c r="C1038">
        <v>80</v>
      </c>
      <c r="D1038">
        <v>75.846046447999996</v>
      </c>
      <c r="E1038">
        <v>50</v>
      </c>
      <c r="F1038">
        <v>49.968574523999997</v>
      </c>
      <c r="G1038">
        <v>1326.3068848</v>
      </c>
      <c r="H1038">
        <v>1324.1268310999999</v>
      </c>
      <c r="I1038">
        <v>1344.7983397999999</v>
      </c>
      <c r="J1038">
        <v>1340.3607178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592.97511399999996</v>
      </c>
      <c r="B1039" s="1">
        <f>DATE(2011,12,14) + TIME(23,24,9)</f>
        <v>40891.975104166668</v>
      </c>
      <c r="C1039">
        <v>80</v>
      </c>
      <c r="D1039">
        <v>75.748588561999995</v>
      </c>
      <c r="E1039">
        <v>50</v>
      </c>
      <c r="F1039">
        <v>49.968616486000002</v>
      </c>
      <c r="G1039">
        <v>1326.2623291</v>
      </c>
      <c r="H1039">
        <v>1324.0688477000001</v>
      </c>
      <c r="I1039">
        <v>1344.7877197</v>
      </c>
      <c r="J1039">
        <v>1340.3510742000001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594.33157600000004</v>
      </c>
      <c r="B1040" s="1">
        <f>DATE(2011,12,16) + TIME(7,57,28)</f>
        <v>40893.331574074073</v>
      </c>
      <c r="C1040">
        <v>80</v>
      </c>
      <c r="D1040">
        <v>75.650466918999996</v>
      </c>
      <c r="E1040">
        <v>50</v>
      </c>
      <c r="F1040">
        <v>49.968658447000003</v>
      </c>
      <c r="G1040">
        <v>1326.2167969</v>
      </c>
      <c r="H1040">
        <v>1324.0093993999999</v>
      </c>
      <c r="I1040">
        <v>1344.7772216999999</v>
      </c>
      <c r="J1040">
        <v>1340.3414307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595.70765800000004</v>
      </c>
      <c r="B1041" s="1">
        <f>DATE(2011,12,17) + TIME(16,59,1)</f>
        <v>40894.707650462966</v>
      </c>
      <c r="C1041">
        <v>80</v>
      </c>
      <c r="D1041">
        <v>75.551918029999996</v>
      </c>
      <c r="E1041">
        <v>50</v>
      </c>
      <c r="F1041">
        <v>49.968700409</v>
      </c>
      <c r="G1041">
        <v>1326.1701660000001</v>
      </c>
      <c r="H1041">
        <v>1323.9483643000001</v>
      </c>
      <c r="I1041">
        <v>1344.7667236</v>
      </c>
      <c r="J1041">
        <v>1340.3320312000001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597.10632199999998</v>
      </c>
      <c r="B1042" s="1">
        <f>DATE(2011,12,19) + TIME(2,33,6)</f>
        <v>40896.106319444443</v>
      </c>
      <c r="C1042">
        <v>80</v>
      </c>
      <c r="D1042">
        <v>75.453056334999999</v>
      </c>
      <c r="E1042">
        <v>50</v>
      </c>
      <c r="F1042">
        <v>49.968742370999998</v>
      </c>
      <c r="G1042">
        <v>1326.1226807</v>
      </c>
      <c r="H1042">
        <v>1323.8861084</v>
      </c>
      <c r="I1042">
        <v>1344.7565918</v>
      </c>
      <c r="J1042">
        <v>1340.3226318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598.53045699999996</v>
      </c>
      <c r="B1043" s="1">
        <f>DATE(2011,12,20) + TIME(12,43,51)</f>
        <v>40897.530451388891</v>
      </c>
      <c r="C1043">
        <v>80</v>
      </c>
      <c r="D1043">
        <v>75.353820800999998</v>
      </c>
      <c r="E1043">
        <v>50</v>
      </c>
      <c r="F1043">
        <v>49.968784331999998</v>
      </c>
      <c r="G1043">
        <v>1326.0740966999999</v>
      </c>
      <c r="H1043">
        <v>1323.8225098</v>
      </c>
      <c r="I1043">
        <v>1344.7464600000001</v>
      </c>
      <c r="J1043">
        <v>1340.3133545000001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599.98295800000005</v>
      </c>
      <c r="B1044" s="1">
        <f>DATE(2011,12,21) + TIME(23,35,27)</f>
        <v>40898.982951388891</v>
      </c>
      <c r="C1044">
        <v>80</v>
      </c>
      <c r="D1044">
        <v>75.254096985000004</v>
      </c>
      <c r="E1044">
        <v>50</v>
      </c>
      <c r="F1044">
        <v>49.968830109000002</v>
      </c>
      <c r="G1044">
        <v>1326.0244141000001</v>
      </c>
      <c r="H1044">
        <v>1323.7573242000001</v>
      </c>
      <c r="I1044">
        <v>1344.7364502</v>
      </c>
      <c r="J1044">
        <v>1340.3041992000001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601.46393399999999</v>
      </c>
      <c r="B1045" s="1">
        <f>DATE(2011,12,23) + TIME(11,8,3)</f>
        <v>40900.463923611111</v>
      </c>
      <c r="C1045">
        <v>80</v>
      </c>
      <c r="D1045">
        <v>75.153831482000001</v>
      </c>
      <c r="E1045">
        <v>50</v>
      </c>
      <c r="F1045">
        <v>49.968875885000003</v>
      </c>
      <c r="G1045">
        <v>1325.9735106999999</v>
      </c>
      <c r="H1045">
        <v>1323.6906738</v>
      </c>
      <c r="I1045">
        <v>1344.7265625</v>
      </c>
      <c r="J1045">
        <v>1340.2950439000001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602.97655899999995</v>
      </c>
      <c r="B1046" s="1">
        <f>DATE(2011,12,24) + TIME(23,26,14)</f>
        <v>40901.976550925923</v>
      </c>
      <c r="C1046">
        <v>80</v>
      </c>
      <c r="D1046">
        <v>75.052955627000003</v>
      </c>
      <c r="E1046">
        <v>50</v>
      </c>
      <c r="F1046">
        <v>49.968921661000003</v>
      </c>
      <c r="G1046">
        <v>1325.9213867000001</v>
      </c>
      <c r="H1046">
        <v>1323.6221923999999</v>
      </c>
      <c r="I1046">
        <v>1344.7166748</v>
      </c>
      <c r="J1046">
        <v>1340.2860106999999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604.52410499999996</v>
      </c>
      <c r="B1047" s="1">
        <f>DATE(2011,12,26) + TIME(12,34,42)</f>
        <v>40903.524097222224</v>
      </c>
      <c r="C1047">
        <v>80</v>
      </c>
      <c r="D1047">
        <v>74.951263428000004</v>
      </c>
      <c r="E1047">
        <v>50</v>
      </c>
      <c r="F1047">
        <v>49.968971252000003</v>
      </c>
      <c r="G1047">
        <v>1325.8680420000001</v>
      </c>
      <c r="H1047">
        <v>1323.5520019999999</v>
      </c>
      <c r="I1047">
        <v>1344.7070312000001</v>
      </c>
      <c r="J1047">
        <v>1340.2769774999999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606.11010399999998</v>
      </c>
      <c r="B1048" s="1">
        <f>DATE(2011,12,28) + TIME(2,38,33)</f>
        <v>40905.11010416667</v>
      </c>
      <c r="C1048">
        <v>80</v>
      </c>
      <c r="D1048">
        <v>74.848579407000003</v>
      </c>
      <c r="E1048">
        <v>50</v>
      </c>
      <c r="F1048">
        <v>49.969020843999999</v>
      </c>
      <c r="G1048">
        <v>1325.8132324000001</v>
      </c>
      <c r="H1048">
        <v>1323.4799805</v>
      </c>
      <c r="I1048">
        <v>1344.6972656</v>
      </c>
      <c r="J1048">
        <v>1340.2679443</v>
      </c>
      <c r="K1048">
        <v>0</v>
      </c>
      <c r="L1048">
        <v>2400</v>
      </c>
      <c r="M1048">
        <v>2400</v>
      </c>
      <c r="N1048">
        <v>0</v>
      </c>
    </row>
    <row r="1049" spans="1:14" x14ac:dyDescent="0.25">
      <c r="A1049">
        <v>607.73727599999995</v>
      </c>
      <c r="B1049" s="1">
        <f>DATE(2011,12,29) + TIME(17,41,40)</f>
        <v>40906.737268518518</v>
      </c>
      <c r="C1049">
        <v>80</v>
      </c>
      <c r="D1049">
        <v>74.744789123999993</v>
      </c>
      <c r="E1049">
        <v>50</v>
      </c>
      <c r="F1049">
        <v>49.969070434999999</v>
      </c>
      <c r="G1049">
        <v>1325.7568358999999</v>
      </c>
      <c r="H1049">
        <v>1323.4057617000001</v>
      </c>
      <c r="I1049">
        <v>1344.6876221</v>
      </c>
      <c r="J1049">
        <v>1340.2590332</v>
      </c>
      <c r="K1049">
        <v>0</v>
      </c>
      <c r="L1049">
        <v>2400</v>
      </c>
      <c r="M1049">
        <v>2400</v>
      </c>
      <c r="N1049">
        <v>0</v>
      </c>
    </row>
    <row r="1050" spans="1:14" x14ac:dyDescent="0.25">
      <c r="A1050">
        <v>609.40953500000001</v>
      </c>
      <c r="B1050" s="1">
        <f>DATE(2011,12,31) + TIME(9,49,43)</f>
        <v>40908.409525462965</v>
      </c>
      <c r="C1050">
        <v>80</v>
      </c>
      <c r="D1050">
        <v>74.639770507999998</v>
      </c>
      <c r="E1050">
        <v>50</v>
      </c>
      <c r="F1050">
        <v>49.969123840000002</v>
      </c>
      <c r="G1050">
        <v>1325.6987305</v>
      </c>
      <c r="H1050">
        <v>1323.3292236</v>
      </c>
      <c r="I1050">
        <v>1344.6779785000001</v>
      </c>
      <c r="J1050">
        <v>1340.25</v>
      </c>
      <c r="K1050">
        <v>0</v>
      </c>
      <c r="L1050">
        <v>2400</v>
      </c>
      <c r="M1050">
        <v>2400</v>
      </c>
      <c r="N1050">
        <v>0</v>
      </c>
    </row>
    <row r="1051" spans="1:14" x14ac:dyDescent="0.25">
      <c r="A1051">
        <v>610</v>
      </c>
      <c r="B1051" s="1">
        <f>DATE(2012,1,1) + TIME(0,0,0)</f>
        <v>40909</v>
      </c>
      <c r="C1051">
        <v>80</v>
      </c>
      <c r="D1051">
        <v>74.575218200999998</v>
      </c>
      <c r="E1051">
        <v>50</v>
      </c>
      <c r="F1051">
        <v>49.969131470000001</v>
      </c>
      <c r="G1051">
        <v>1325.6445312000001</v>
      </c>
      <c r="H1051">
        <v>1323.2578125</v>
      </c>
      <c r="I1051">
        <v>1344.668457</v>
      </c>
      <c r="J1051">
        <v>1340.2416992000001</v>
      </c>
      <c r="K1051">
        <v>0</v>
      </c>
      <c r="L1051">
        <v>2400</v>
      </c>
      <c r="M1051">
        <v>2400</v>
      </c>
      <c r="N1051">
        <v>0</v>
      </c>
    </row>
    <row r="1052" spans="1:14" x14ac:dyDescent="0.25">
      <c r="A1052">
        <v>611.71855300000004</v>
      </c>
      <c r="B1052" s="1">
        <f>DATE(2012,1,2) + TIME(17,14,42)</f>
        <v>40910.718541666669</v>
      </c>
      <c r="C1052">
        <v>80</v>
      </c>
      <c r="D1052">
        <v>74.487075806000007</v>
      </c>
      <c r="E1052">
        <v>50</v>
      </c>
      <c r="F1052">
        <v>49.969196320000002</v>
      </c>
      <c r="G1052">
        <v>1325.6113281</v>
      </c>
      <c r="H1052">
        <v>1323.2133789</v>
      </c>
      <c r="I1052">
        <v>1344.6647949000001</v>
      </c>
      <c r="J1052">
        <v>1340.2375488</v>
      </c>
      <c r="K1052">
        <v>0</v>
      </c>
      <c r="L1052">
        <v>2400</v>
      </c>
      <c r="M1052">
        <v>2400</v>
      </c>
      <c r="N1052">
        <v>0</v>
      </c>
    </row>
    <row r="1053" spans="1:14" x14ac:dyDescent="0.25">
      <c r="A1053">
        <v>613.47384199999999</v>
      </c>
      <c r="B1053" s="1">
        <f>DATE(2012,1,4) + TIME(11,22,19)</f>
        <v>40912.47383101852</v>
      </c>
      <c r="C1053">
        <v>80</v>
      </c>
      <c r="D1053">
        <v>74.386062621999997</v>
      </c>
      <c r="E1053">
        <v>50</v>
      </c>
      <c r="F1053">
        <v>49.969249724999997</v>
      </c>
      <c r="G1053">
        <v>1325.5539550999999</v>
      </c>
      <c r="H1053">
        <v>1323.1379394999999</v>
      </c>
      <c r="I1053">
        <v>1344.6553954999999</v>
      </c>
      <c r="J1053">
        <v>1340.2288818</v>
      </c>
      <c r="K1053">
        <v>0</v>
      </c>
      <c r="L1053">
        <v>2400</v>
      </c>
      <c r="M1053">
        <v>2400</v>
      </c>
      <c r="N1053">
        <v>0</v>
      </c>
    </row>
    <row r="1054" spans="1:14" x14ac:dyDescent="0.25">
      <c r="A1054">
        <v>615.26073399999996</v>
      </c>
      <c r="B1054" s="1">
        <f>DATE(2012,1,6) + TIME(6,15,27)</f>
        <v>40914.260729166665</v>
      </c>
      <c r="C1054">
        <v>80</v>
      </c>
      <c r="D1054">
        <v>74.280189514</v>
      </c>
      <c r="E1054">
        <v>50</v>
      </c>
      <c r="F1054">
        <v>49.969303130999997</v>
      </c>
      <c r="G1054">
        <v>1325.4918213000001</v>
      </c>
      <c r="H1054">
        <v>1323.0560303</v>
      </c>
      <c r="I1054">
        <v>1344.645874</v>
      </c>
      <c r="J1054">
        <v>1340.2200928</v>
      </c>
      <c r="K1054">
        <v>0</v>
      </c>
      <c r="L1054">
        <v>2400</v>
      </c>
      <c r="M1054">
        <v>2400</v>
      </c>
      <c r="N1054">
        <v>0</v>
      </c>
    </row>
    <row r="1055" spans="1:14" x14ac:dyDescent="0.25">
      <c r="A1055">
        <v>617.07789600000001</v>
      </c>
      <c r="B1055" s="1">
        <f>DATE(2012,1,8) + TIME(1,52,10)</f>
        <v>40916.077893518515</v>
      </c>
      <c r="C1055">
        <v>80</v>
      </c>
      <c r="D1055">
        <v>74.172378539999997</v>
      </c>
      <c r="E1055">
        <v>50</v>
      </c>
      <c r="F1055">
        <v>49.969360352000002</v>
      </c>
      <c r="G1055">
        <v>1325.4273682</v>
      </c>
      <c r="H1055">
        <v>1322.9709473</v>
      </c>
      <c r="I1055">
        <v>1344.6363524999999</v>
      </c>
      <c r="J1055">
        <v>1340.2113036999999</v>
      </c>
      <c r="K1055">
        <v>0</v>
      </c>
      <c r="L1055">
        <v>2400</v>
      </c>
      <c r="M1055">
        <v>2400</v>
      </c>
      <c r="N1055">
        <v>0</v>
      </c>
    </row>
    <row r="1056" spans="1:14" x14ac:dyDescent="0.25">
      <c r="A1056">
        <v>618.92398900000001</v>
      </c>
      <c r="B1056" s="1">
        <f>DATE(2012,1,9) + TIME(22,10,32)</f>
        <v>40917.923981481479</v>
      </c>
      <c r="C1056">
        <v>80</v>
      </c>
      <c r="D1056">
        <v>74.063682556000003</v>
      </c>
      <c r="E1056">
        <v>50</v>
      </c>
      <c r="F1056">
        <v>49.969413756999998</v>
      </c>
      <c r="G1056">
        <v>1325.3612060999999</v>
      </c>
      <c r="H1056">
        <v>1322.8834228999999</v>
      </c>
      <c r="I1056">
        <v>1344.6270752</v>
      </c>
      <c r="J1056">
        <v>1340.2025146000001</v>
      </c>
      <c r="K1056">
        <v>0</v>
      </c>
      <c r="L1056">
        <v>2400</v>
      </c>
      <c r="M1056">
        <v>2400</v>
      </c>
      <c r="N1056">
        <v>0</v>
      </c>
    </row>
    <row r="1057" spans="1:14" x14ac:dyDescent="0.25">
      <c r="A1057">
        <v>620.80306700000006</v>
      </c>
      <c r="B1057" s="1">
        <f>DATE(2012,1,11) + TIME(19,16,24)</f>
        <v>40919.803055555552</v>
      </c>
      <c r="C1057">
        <v>80</v>
      </c>
      <c r="D1057">
        <v>73.954399108999993</v>
      </c>
      <c r="E1057">
        <v>50</v>
      </c>
      <c r="F1057">
        <v>49.969470977999997</v>
      </c>
      <c r="G1057">
        <v>1325.2938231999999</v>
      </c>
      <c r="H1057">
        <v>1322.7940673999999</v>
      </c>
      <c r="I1057">
        <v>1344.6177978999999</v>
      </c>
      <c r="J1057">
        <v>1340.1938477000001</v>
      </c>
      <c r="K1057">
        <v>0</v>
      </c>
      <c r="L1057">
        <v>2400</v>
      </c>
      <c r="M1057">
        <v>2400</v>
      </c>
      <c r="N1057">
        <v>0</v>
      </c>
    </row>
    <row r="1058" spans="1:14" x14ac:dyDescent="0.25">
      <c r="A1058">
        <v>622.71921199999997</v>
      </c>
      <c r="B1058" s="1">
        <f>DATE(2012,1,13) + TIME(17,15,39)</f>
        <v>40921.719201388885</v>
      </c>
      <c r="C1058">
        <v>80</v>
      </c>
      <c r="D1058">
        <v>73.844444275000001</v>
      </c>
      <c r="E1058">
        <v>50</v>
      </c>
      <c r="F1058">
        <v>49.969532012999998</v>
      </c>
      <c r="G1058">
        <v>1325.2248535000001</v>
      </c>
      <c r="H1058">
        <v>1322.7027588000001</v>
      </c>
      <c r="I1058">
        <v>1344.6085204999999</v>
      </c>
      <c r="J1058">
        <v>1340.1851807</v>
      </c>
      <c r="K1058">
        <v>0</v>
      </c>
      <c r="L1058">
        <v>2400</v>
      </c>
      <c r="M1058">
        <v>2400</v>
      </c>
      <c r="N1058">
        <v>0</v>
      </c>
    </row>
    <row r="1059" spans="1:14" x14ac:dyDescent="0.25">
      <c r="A1059">
        <v>624.67338900000004</v>
      </c>
      <c r="B1059" s="1">
        <f>DATE(2012,1,15) + TIME(16,9,40)</f>
        <v>40923.673379629632</v>
      </c>
      <c r="C1059">
        <v>80</v>
      </c>
      <c r="D1059">
        <v>73.733680724999999</v>
      </c>
      <c r="E1059">
        <v>50</v>
      </c>
      <c r="F1059">
        <v>49.969589233000001</v>
      </c>
      <c r="G1059">
        <v>1325.1544189000001</v>
      </c>
      <c r="H1059">
        <v>1322.6092529</v>
      </c>
      <c r="I1059">
        <v>1344.5993652</v>
      </c>
      <c r="J1059">
        <v>1340.1766356999999</v>
      </c>
      <c r="K1059">
        <v>0</v>
      </c>
      <c r="L1059">
        <v>2400</v>
      </c>
      <c r="M1059">
        <v>2400</v>
      </c>
      <c r="N1059">
        <v>0</v>
      </c>
    </row>
    <row r="1060" spans="1:14" x14ac:dyDescent="0.25">
      <c r="A1060">
        <v>626.67001300000004</v>
      </c>
      <c r="B1060" s="1">
        <f>DATE(2012,1,17) + TIME(16,4,49)</f>
        <v>40925.670011574075</v>
      </c>
      <c r="C1060">
        <v>80</v>
      </c>
      <c r="D1060">
        <v>73.621932982999994</v>
      </c>
      <c r="E1060">
        <v>50</v>
      </c>
      <c r="F1060">
        <v>49.969650268999999</v>
      </c>
      <c r="G1060">
        <v>1325.0823975000001</v>
      </c>
      <c r="H1060">
        <v>1322.5136719</v>
      </c>
      <c r="I1060">
        <v>1344.5902100000001</v>
      </c>
      <c r="J1060">
        <v>1340.1682129000001</v>
      </c>
      <c r="K1060">
        <v>0</v>
      </c>
      <c r="L1060">
        <v>2400</v>
      </c>
      <c r="M1060">
        <v>2400</v>
      </c>
      <c r="N1060">
        <v>0</v>
      </c>
    </row>
    <row r="1061" spans="1:14" x14ac:dyDescent="0.25">
      <c r="A1061">
        <v>628.70189700000003</v>
      </c>
      <c r="B1061" s="1">
        <f>DATE(2012,1,19) + TIME(16,50,43)</f>
        <v>40927.701886574076</v>
      </c>
      <c r="C1061">
        <v>80</v>
      </c>
      <c r="D1061">
        <v>73.509132385000001</v>
      </c>
      <c r="E1061">
        <v>50</v>
      </c>
      <c r="F1061">
        <v>49.969711304</v>
      </c>
      <c r="G1061">
        <v>1325.0087891000001</v>
      </c>
      <c r="H1061">
        <v>1322.4156493999999</v>
      </c>
      <c r="I1061">
        <v>1344.5811768000001</v>
      </c>
      <c r="J1061">
        <v>1340.159668</v>
      </c>
      <c r="K1061">
        <v>0</v>
      </c>
      <c r="L1061">
        <v>2400</v>
      </c>
      <c r="M1061">
        <v>2400</v>
      </c>
      <c r="N1061">
        <v>0</v>
      </c>
    </row>
    <row r="1062" spans="1:14" x14ac:dyDescent="0.25">
      <c r="A1062">
        <v>630.76926200000003</v>
      </c>
      <c r="B1062" s="1">
        <f>DATE(2012,1,21) + TIME(18,27,44)</f>
        <v>40929.769259259258</v>
      </c>
      <c r="C1062">
        <v>80</v>
      </c>
      <c r="D1062">
        <v>73.395385742000002</v>
      </c>
      <c r="E1062">
        <v>50</v>
      </c>
      <c r="F1062">
        <v>49.969772339000002</v>
      </c>
      <c r="G1062">
        <v>1324.9334716999999</v>
      </c>
      <c r="H1062">
        <v>1322.3155518000001</v>
      </c>
      <c r="I1062">
        <v>1344.5721435999999</v>
      </c>
      <c r="J1062">
        <v>1340.1512451000001</v>
      </c>
      <c r="K1062">
        <v>0</v>
      </c>
      <c r="L1062">
        <v>2400</v>
      </c>
      <c r="M1062">
        <v>2400</v>
      </c>
      <c r="N1062">
        <v>0</v>
      </c>
    </row>
    <row r="1063" spans="1:14" x14ac:dyDescent="0.25">
      <c r="A1063">
        <v>632.87670500000002</v>
      </c>
      <c r="B1063" s="1">
        <f>DATE(2012,1,23) + TIME(21,2,27)</f>
        <v>40931.876701388886</v>
      </c>
      <c r="C1063">
        <v>80</v>
      </c>
      <c r="D1063">
        <v>73.280578613000003</v>
      </c>
      <c r="E1063">
        <v>50</v>
      </c>
      <c r="F1063">
        <v>49.969833373999997</v>
      </c>
      <c r="G1063">
        <v>1324.8568115</v>
      </c>
      <c r="H1063">
        <v>1322.2132568</v>
      </c>
      <c r="I1063">
        <v>1344.5631103999999</v>
      </c>
      <c r="J1063">
        <v>1340.1429443</v>
      </c>
      <c r="K1063">
        <v>0</v>
      </c>
      <c r="L1063">
        <v>2400</v>
      </c>
      <c r="M1063">
        <v>2400</v>
      </c>
      <c r="N1063">
        <v>0</v>
      </c>
    </row>
    <row r="1064" spans="1:14" x14ac:dyDescent="0.25">
      <c r="A1064">
        <v>635.02860199999998</v>
      </c>
      <c r="B1064" s="1">
        <f>DATE(2012,1,26) + TIME(0,41,11)</f>
        <v>40934.028599537036</v>
      </c>
      <c r="C1064">
        <v>80</v>
      </c>
      <c r="D1064">
        <v>73.164421082000004</v>
      </c>
      <c r="E1064">
        <v>50</v>
      </c>
      <c r="F1064">
        <v>49.969898223999998</v>
      </c>
      <c r="G1064">
        <v>1324.7784423999999</v>
      </c>
      <c r="H1064">
        <v>1322.1087646000001</v>
      </c>
      <c r="I1064">
        <v>1344.5541992000001</v>
      </c>
      <c r="J1064">
        <v>1340.1346435999999</v>
      </c>
      <c r="K1064">
        <v>0</v>
      </c>
      <c r="L1064">
        <v>2400</v>
      </c>
      <c r="M1064">
        <v>2400</v>
      </c>
      <c r="N1064">
        <v>0</v>
      </c>
    </row>
    <row r="1065" spans="1:14" x14ac:dyDescent="0.25">
      <c r="A1065">
        <v>637.21946000000003</v>
      </c>
      <c r="B1065" s="1">
        <f>DATE(2012,1,28) + TIME(5,16,1)</f>
        <v>40936.219456018516</v>
      </c>
      <c r="C1065">
        <v>80</v>
      </c>
      <c r="D1065">
        <v>73.046730041999993</v>
      </c>
      <c r="E1065">
        <v>50</v>
      </c>
      <c r="F1065">
        <v>49.969959258999999</v>
      </c>
      <c r="G1065">
        <v>1324.6983643000001</v>
      </c>
      <c r="H1065">
        <v>1322.0019531</v>
      </c>
      <c r="I1065">
        <v>1344.5452881000001</v>
      </c>
      <c r="J1065">
        <v>1340.1263428</v>
      </c>
      <c r="K1065">
        <v>0</v>
      </c>
      <c r="L1065">
        <v>2400</v>
      </c>
      <c r="M1065">
        <v>2400</v>
      </c>
      <c r="N1065">
        <v>0</v>
      </c>
    </row>
    <row r="1066" spans="1:14" x14ac:dyDescent="0.25">
      <c r="A1066">
        <v>639.45110099999999</v>
      </c>
      <c r="B1066" s="1">
        <f>DATE(2012,1,30) + TIME(10,49,35)</f>
        <v>40938.451099537036</v>
      </c>
      <c r="C1066">
        <v>80</v>
      </c>
      <c r="D1066">
        <v>72.927444457999997</v>
      </c>
      <c r="E1066">
        <v>50</v>
      </c>
      <c r="F1066">
        <v>49.970024109000001</v>
      </c>
      <c r="G1066">
        <v>1324.6166992000001</v>
      </c>
      <c r="H1066">
        <v>1321.8927002</v>
      </c>
      <c r="I1066">
        <v>1344.5362548999999</v>
      </c>
      <c r="J1066">
        <v>1340.1181641000001</v>
      </c>
      <c r="K1066">
        <v>0</v>
      </c>
      <c r="L1066">
        <v>2400</v>
      </c>
      <c r="M1066">
        <v>2400</v>
      </c>
      <c r="N1066">
        <v>0</v>
      </c>
    </row>
    <row r="1067" spans="1:14" x14ac:dyDescent="0.25">
      <c r="A1067">
        <v>641</v>
      </c>
      <c r="B1067" s="1">
        <f>DATE(2012,2,1) + TIME(0,0,0)</f>
        <v>40940</v>
      </c>
      <c r="C1067">
        <v>80</v>
      </c>
      <c r="D1067">
        <v>72.819366454999994</v>
      </c>
      <c r="E1067">
        <v>50</v>
      </c>
      <c r="F1067">
        <v>49.970066070999998</v>
      </c>
      <c r="G1067">
        <v>1324.5354004000001</v>
      </c>
      <c r="H1067">
        <v>1321.7843018000001</v>
      </c>
      <c r="I1067">
        <v>1344.5274658000001</v>
      </c>
      <c r="J1067">
        <v>1340.1101074000001</v>
      </c>
      <c r="K1067">
        <v>0</v>
      </c>
      <c r="L1067">
        <v>2400</v>
      </c>
      <c r="M1067">
        <v>2400</v>
      </c>
      <c r="N1067">
        <v>0</v>
      </c>
    </row>
    <row r="1068" spans="1:14" x14ac:dyDescent="0.25">
      <c r="A1068">
        <v>643.27257699999996</v>
      </c>
      <c r="B1068" s="1">
        <f>DATE(2012,2,3) + TIME(6,32,30)</f>
        <v>40942.272569444445</v>
      </c>
      <c r="C1068">
        <v>80</v>
      </c>
      <c r="D1068">
        <v>72.716194153000004</v>
      </c>
      <c r="E1068">
        <v>50</v>
      </c>
      <c r="F1068">
        <v>49.970134735000002</v>
      </c>
      <c r="G1068">
        <v>1324.46875</v>
      </c>
      <c r="H1068">
        <v>1321.6938477000001</v>
      </c>
      <c r="I1068">
        <v>1344.5212402</v>
      </c>
      <c r="J1068">
        <v>1340.1042480000001</v>
      </c>
      <c r="K1068">
        <v>0</v>
      </c>
      <c r="L1068">
        <v>2400</v>
      </c>
      <c r="M1068">
        <v>2400</v>
      </c>
      <c r="N1068">
        <v>0</v>
      </c>
    </row>
    <row r="1069" spans="1:14" x14ac:dyDescent="0.25">
      <c r="A1069">
        <v>645.59743900000001</v>
      </c>
      <c r="B1069" s="1">
        <f>DATE(2012,2,5) + TIME(14,20,18)</f>
        <v>40944.597430555557</v>
      </c>
      <c r="C1069">
        <v>80</v>
      </c>
      <c r="D1069">
        <v>72.597595214999998</v>
      </c>
      <c r="E1069">
        <v>50</v>
      </c>
      <c r="F1069">
        <v>49.970199585000003</v>
      </c>
      <c r="G1069">
        <v>1324.3885498</v>
      </c>
      <c r="H1069">
        <v>1321.5870361</v>
      </c>
      <c r="I1069">
        <v>1344.5125731999999</v>
      </c>
      <c r="J1069">
        <v>1340.0964355000001</v>
      </c>
      <c r="K1069">
        <v>0</v>
      </c>
      <c r="L1069">
        <v>2400</v>
      </c>
      <c r="M1069">
        <v>2400</v>
      </c>
      <c r="N1069">
        <v>0</v>
      </c>
    </row>
    <row r="1070" spans="1:14" x14ac:dyDescent="0.25">
      <c r="A1070">
        <v>647.95230000000004</v>
      </c>
      <c r="B1070" s="1">
        <f>DATE(2012,2,7) + TIME(22,51,18)</f>
        <v>40946.952291666668</v>
      </c>
      <c r="C1070">
        <v>80</v>
      </c>
      <c r="D1070">
        <v>72.472961425999998</v>
      </c>
      <c r="E1070">
        <v>50</v>
      </c>
      <c r="F1070">
        <v>49.970268249999997</v>
      </c>
      <c r="G1070">
        <v>1324.3028564000001</v>
      </c>
      <c r="H1070">
        <v>1321.4722899999999</v>
      </c>
      <c r="I1070">
        <v>1344.5037841999999</v>
      </c>
      <c r="J1070">
        <v>1340.088501</v>
      </c>
      <c r="K1070">
        <v>0</v>
      </c>
      <c r="L1070">
        <v>2400</v>
      </c>
      <c r="M1070">
        <v>2400</v>
      </c>
      <c r="N1070">
        <v>0</v>
      </c>
    </row>
    <row r="1071" spans="1:14" x14ac:dyDescent="0.25">
      <c r="A1071">
        <v>650.34260700000004</v>
      </c>
      <c r="B1071" s="1">
        <f>DATE(2012,2,10) + TIME(8,13,21)</f>
        <v>40949.342604166668</v>
      </c>
      <c r="C1071">
        <v>80</v>
      </c>
      <c r="D1071">
        <v>72.345123290999993</v>
      </c>
      <c r="E1071">
        <v>50</v>
      </c>
      <c r="F1071">
        <v>49.970333099000001</v>
      </c>
      <c r="G1071">
        <v>1324.2149658000001</v>
      </c>
      <c r="H1071">
        <v>1321.354126</v>
      </c>
      <c r="I1071">
        <v>1344.4951172000001</v>
      </c>
      <c r="J1071">
        <v>1340.0806885</v>
      </c>
      <c r="K1071">
        <v>0</v>
      </c>
      <c r="L1071">
        <v>2400</v>
      </c>
      <c r="M1071">
        <v>2400</v>
      </c>
      <c r="N1071">
        <v>0</v>
      </c>
    </row>
    <row r="1072" spans="1:14" x14ac:dyDescent="0.25">
      <c r="A1072">
        <v>652.77359000000001</v>
      </c>
      <c r="B1072" s="1">
        <f>DATE(2012,2,12) + TIME(18,33,58)</f>
        <v>40951.773587962962</v>
      </c>
      <c r="C1072">
        <v>80</v>
      </c>
      <c r="D1072">
        <v>72.214355468999997</v>
      </c>
      <c r="E1072">
        <v>50</v>
      </c>
      <c r="F1072">
        <v>49.970401764000002</v>
      </c>
      <c r="G1072">
        <v>1324.1254882999999</v>
      </c>
      <c r="H1072">
        <v>1321.2337646000001</v>
      </c>
      <c r="I1072">
        <v>1344.4864502</v>
      </c>
      <c r="J1072">
        <v>1340.0727539</v>
      </c>
      <c r="K1072">
        <v>0</v>
      </c>
      <c r="L1072">
        <v>2400</v>
      </c>
      <c r="M1072">
        <v>2400</v>
      </c>
      <c r="N1072">
        <v>0</v>
      </c>
    </row>
    <row r="1073" spans="1:14" x14ac:dyDescent="0.25">
      <c r="A1073">
        <v>655.25063399999999</v>
      </c>
      <c r="B1073" s="1">
        <f>DATE(2012,2,15) + TIME(6,0,54)</f>
        <v>40954.250625000001</v>
      </c>
      <c r="C1073">
        <v>80</v>
      </c>
      <c r="D1073">
        <v>72.080253600999995</v>
      </c>
      <c r="E1073">
        <v>50</v>
      </c>
      <c r="F1073">
        <v>49.970466614000003</v>
      </c>
      <c r="G1073">
        <v>1324.0345459</v>
      </c>
      <c r="H1073">
        <v>1321.1113281</v>
      </c>
      <c r="I1073">
        <v>1344.4777832</v>
      </c>
      <c r="J1073">
        <v>1340.0650635</v>
      </c>
      <c r="K1073">
        <v>0</v>
      </c>
      <c r="L1073">
        <v>2400</v>
      </c>
      <c r="M1073">
        <v>2400</v>
      </c>
      <c r="N1073">
        <v>0</v>
      </c>
    </row>
    <row r="1074" spans="1:14" x14ac:dyDescent="0.25">
      <c r="A1074">
        <v>657.77575300000001</v>
      </c>
      <c r="B1074" s="1">
        <f>DATE(2012,2,17) + TIME(18,37,5)</f>
        <v>40956.775752314818</v>
      </c>
      <c r="C1074">
        <v>80</v>
      </c>
      <c r="D1074">
        <v>71.942253113000007</v>
      </c>
      <c r="E1074">
        <v>50</v>
      </c>
      <c r="F1074">
        <v>49.970535278</v>
      </c>
      <c r="G1074">
        <v>1323.9420166</v>
      </c>
      <c r="H1074">
        <v>1320.9864502</v>
      </c>
      <c r="I1074">
        <v>1344.4689940999999</v>
      </c>
      <c r="J1074">
        <v>1340.057251</v>
      </c>
      <c r="K1074">
        <v>0</v>
      </c>
      <c r="L1074">
        <v>2400</v>
      </c>
      <c r="M1074">
        <v>2400</v>
      </c>
      <c r="N1074">
        <v>0</v>
      </c>
    </row>
    <row r="1075" spans="1:14" x14ac:dyDescent="0.25">
      <c r="A1075">
        <v>660.34455300000002</v>
      </c>
      <c r="B1075" s="1">
        <f>DATE(2012,2,20) + TIME(8,16,9)</f>
        <v>40959.344548611109</v>
      </c>
      <c r="C1075">
        <v>80</v>
      </c>
      <c r="D1075">
        <v>71.799896239999995</v>
      </c>
      <c r="E1075">
        <v>50</v>
      </c>
      <c r="F1075">
        <v>49.970603943</v>
      </c>
      <c r="G1075">
        <v>1323.8479004000001</v>
      </c>
      <c r="H1075">
        <v>1320.859375</v>
      </c>
      <c r="I1075">
        <v>1344.4603271000001</v>
      </c>
      <c r="J1075">
        <v>1340.0495605000001</v>
      </c>
      <c r="K1075">
        <v>0</v>
      </c>
      <c r="L1075">
        <v>2400</v>
      </c>
      <c r="M1075">
        <v>2400</v>
      </c>
      <c r="N1075">
        <v>0</v>
      </c>
    </row>
    <row r="1076" spans="1:14" x14ac:dyDescent="0.25">
      <c r="A1076">
        <v>662.96299099999999</v>
      </c>
      <c r="B1076" s="1">
        <f>DATE(2012,2,22) + TIME(23,6,42)</f>
        <v>40961.96298611111</v>
      </c>
      <c r="C1076">
        <v>80</v>
      </c>
      <c r="D1076">
        <v>71.652763367000006</v>
      </c>
      <c r="E1076">
        <v>50</v>
      </c>
      <c r="F1076">
        <v>49.970672606999997</v>
      </c>
      <c r="G1076">
        <v>1323.7521973</v>
      </c>
      <c r="H1076">
        <v>1320.7299805</v>
      </c>
      <c r="I1076">
        <v>1344.4516602000001</v>
      </c>
      <c r="J1076">
        <v>1340.0418701000001</v>
      </c>
      <c r="K1076">
        <v>0</v>
      </c>
      <c r="L1076">
        <v>2400</v>
      </c>
      <c r="M1076">
        <v>2400</v>
      </c>
      <c r="N1076">
        <v>0</v>
      </c>
    </row>
    <row r="1077" spans="1:14" x14ac:dyDescent="0.25">
      <c r="A1077">
        <v>665.63700600000004</v>
      </c>
      <c r="B1077" s="1">
        <f>DATE(2012,2,25) + TIME(15,17,17)</f>
        <v>40964.637002314812</v>
      </c>
      <c r="C1077">
        <v>80</v>
      </c>
      <c r="D1077">
        <v>71.500137328999998</v>
      </c>
      <c r="E1077">
        <v>50</v>
      </c>
      <c r="F1077">
        <v>49.970745086999997</v>
      </c>
      <c r="G1077">
        <v>1323.6549072</v>
      </c>
      <c r="H1077">
        <v>1320.5981445</v>
      </c>
      <c r="I1077">
        <v>1344.4428711</v>
      </c>
      <c r="J1077">
        <v>1340.0343018000001</v>
      </c>
      <c r="K1077">
        <v>0</v>
      </c>
      <c r="L1077">
        <v>2400</v>
      </c>
      <c r="M1077">
        <v>2400</v>
      </c>
      <c r="N1077">
        <v>0</v>
      </c>
    </row>
    <row r="1078" spans="1:14" x14ac:dyDescent="0.25">
      <c r="A1078">
        <v>668.369281</v>
      </c>
      <c r="B1078" s="1">
        <f>DATE(2012,2,28) + TIME(8,51,45)</f>
        <v>40967.369270833333</v>
      </c>
      <c r="C1078">
        <v>80</v>
      </c>
      <c r="D1078">
        <v>71.341178893999995</v>
      </c>
      <c r="E1078">
        <v>50</v>
      </c>
      <c r="F1078">
        <v>49.970813751000001</v>
      </c>
      <c r="G1078">
        <v>1323.5559082</v>
      </c>
      <c r="H1078">
        <v>1320.4638672000001</v>
      </c>
      <c r="I1078">
        <v>1344.434082</v>
      </c>
      <c r="J1078">
        <v>1340.0266113</v>
      </c>
      <c r="K1078">
        <v>0</v>
      </c>
      <c r="L1078">
        <v>2400</v>
      </c>
      <c r="M1078">
        <v>2400</v>
      </c>
      <c r="N1078">
        <v>0</v>
      </c>
    </row>
    <row r="1079" spans="1:14" x14ac:dyDescent="0.25">
      <c r="A1079">
        <v>670</v>
      </c>
      <c r="B1079" s="1">
        <f>DATE(2012,3,1) + TIME(0,0,0)</f>
        <v>40969</v>
      </c>
      <c r="C1079">
        <v>80</v>
      </c>
      <c r="D1079">
        <v>71.196060181000007</v>
      </c>
      <c r="E1079">
        <v>50</v>
      </c>
      <c r="F1079">
        <v>49.970851897999999</v>
      </c>
      <c r="G1079">
        <v>1323.4581298999999</v>
      </c>
      <c r="H1079">
        <v>1320.3317870999999</v>
      </c>
      <c r="I1079">
        <v>1344.425293</v>
      </c>
      <c r="J1079">
        <v>1340.0191649999999</v>
      </c>
      <c r="K1079">
        <v>0</v>
      </c>
      <c r="L1079">
        <v>2400</v>
      </c>
      <c r="M1079">
        <v>2400</v>
      </c>
      <c r="N1079">
        <v>0</v>
      </c>
    </row>
    <row r="1080" spans="1:14" x14ac:dyDescent="0.25">
      <c r="A1080">
        <v>672.766437</v>
      </c>
      <c r="B1080" s="1">
        <f>DATE(2012,3,3) + TIME(18,23,40)</f>
        <v>40971.766435185185</v>
      </c>
      <c r="C1080">
        <v>80</v>
      </c>
      <c r="D1080">
        <v>71.064361571999996</v>
      </c>
      <c r="E1080">
        <v>50</v>
      </c>
      <c r="F1080">
        <v>49.970928192000002</v>
      </c>
      <c r="G1080">
        <v>1323.3842772999999</v>
      </c>
      <c r="H1080">
        <v>1320.2288818</v>
      </c>
      <c r="I1080">
        <v>1344.4197998</v>
      </c>
      <c r="J1080">
        <v>1340.0141602000001</v>
      </c>
      <c r="K1080">
        <v>0</v>
      </c>
      <c r="L1080">
        <v>2400</v>
      </c>
      <c r="M1080">
        <v>2400</v>
      </c>
      <c r="N1080">
        <v>0</v>
      </c>
    </row>
    <row r="1081" spans="1:14" x14ac:dyDescent="0.25">
      <c r="A1081">
        <v>675.60151199999996</v>
      </c>
      <c r="B1081" s="1">
        <f>DATE(2012,3,6) + TIME(14,26,10)</f>
        <v>40974.601504629631</v>
      </c>
      <c r="C1081">
        <v>80</v>
      </c>
      <c r="D1081">
        <v>70.896514893000003</v>
      </c>
      <c r="E1081">
        <v>50</v>
      </c>
      <c r="F1081">
        <v>49.970996857000003</v>
      </c>
      <c r="G1081">
        <v>1323.2907714999999</v>
      </c>
      <c r="H1081">
        <v>1320.1029053</v>
      </c>
      <c r="I1081">
        <v>1344.4111327999999</v>
      </c>
      <c r="J1081">
        <v>1340.0069579999999</v>
      </c>
      <c r="K1081">
        <v>0</v>
      </c>
      <c r="L1081">
        <v>2400</v>
      </c>
      <c r="M1081">
        <v>2400</v>
      </c>
      <c r="N1081">
        <v>0</v>
      </c>
    </row>
    <row r="1082" spans="1:14" x14ac:dyDescent="0.25">
      <c r="A1082">
        <v>678.48951899999997</v>
      </c>
      <c r="B1082" s="1">
        <f>DATE(2012,3,9) + TIME(11,44,54)</f>
        <v>40977.48951388889</v>
      </c>
      <c r="C1082">
        <v>80</v>
      </c>
      <c r="D1082">
        <v>70.713676453000005</v>
      </c>
      <c r="E1082">
        <v>50</v>
      </c>
      <c r="F1082">
        <v>49.971069335999999</v>
      </c>
      <c r="G1082">
        <v>1323.1890868999999</v>
      </c>
      <c r="H1082">
        <v>1319.9643555</v>
      </c>
      <c r="I1082">
        <v>1344.4022216999999</v>
      </c>
      <c r="J1082">
        <v>1339.9995117000001</v>
      </c>
      <c r="K1082">
        <v>0</v>
      </c>
      <c r="L1082">
        <v>2400</v>
      </c>
      <c r="M1082">
        <v>2400</v>
      </c>
      <c r="N1082">
        <v>0</v>
      </c>
    </row>
    <row r="1083" spans="1:14" x14ac:dyDescent="0.25">
      <c r="A1083">
        <v>681.42703500000005</v>
      </c>
      <c r="B1083" s="1">
        <f>DATE(2012,3,12) + TIME(10,14,55)</f>
        <v>40980.427025462966</v>
      </c>
      <c r="C1083">
        <v>80</v>
      </c>
      <c r="D1083">
        <v>70.520584106000001</v>
      </c>
      <c r="E1083">
        <v>50</v>
      </c>
      <c r="F1083">
        <v>49.971141815000003</v>
      </c>
      <c r="G1083">
        <v>1323.0844727000001</v>
      </c>
      <c r="H1083">
        <v>1319.8214111</v>
      </c>
      <c r="I1083">
        <v>1344.3933105000001</v>
      </c>
      <c r="J1083">
        <v>1339.9920654</v>
      </c>
      <c r="K1083">
        <v>0</v>
      </c>
      <c r="L1083">
        <v>2400</v>
      </c>
      <c r="M1083">
        <v>2400</v>
      </c>
      <c r="N1083">
        <v>0</v>
      </c>
    </row>
    <row r="1084" spans="1:14" x14ac:dyDescent="0.25">
      <c r="A1084">
        <v>684.41780300000005</v>
      </c>
      <c r="B1084" s="1">
        <f>DATE(2012,3,15) + TIME(10,1,38)</f>
        <v>40983.417800925927</v>
      </c>
      <c r="C1084">
        <v>80</v>
      </c>
      <c r="D1084">
        <v>70.317794800000001</v>
      </c>
      <c r="E1084">
        <v>50</v>
      </c>
      <c r="F1084">
        <v>49.971214293999999</v>
      </c>
      <c r="G1084">
        <v>1322.9783935999999</v>
      </c>
      <c r="H1084">
        <v>1319.6761475000001</v>
      </c>
      <c r="I1084">
        <v>1344.3842772999999</v>
      </c>
      <c r="J1084">
        <v>1339.9844971</v>
      </c>
      <c r="K1084">
        <v>0</v>
      </c>
      <c r="L1084">
        <v>2400</v>
      </c>
      <c r="M1084">
        <v>2400</v>
      </c>
      <c r="N1084">
        <v>0</v>
      </c>
    </row>
    <row r="1085" spans="1:14" x14ac:dyDescent="0.25">
      <c r="A1085">
        <v>687.46976099999995</v>
      </c>
      <c r="B1085" s="1">
        <f>DATE(2012,3,18) + TIME(11,16,27)</f>
        <v>40986.469756944447</v>
      </c>
      <c r="C1085">
        <v>80</v>
      </c>
      <c r="D1085">
        <v>70.104309082</v>
      </c>
      <c r="E1085">
        <v>50</v>
      </c>
      <c r="F1085">
        <v>49.971286773999999</v>
      </c>
      <c r="G1085">
        <v>1322.8709716999999</v>
      </c>
      <c r="H1085">
        <v>1319.5288086</v>
      </c>
      <c r="I1085">
        <v>1344.3752440999999</v>
      </c>
      <c r="J1085">
        <v>1339.9770507999999</v>
      </c>
      <c r="K1085">
        <v>0</v>
      </c>
      <c r="L1085">
        <v>2400</v>
      </c>
      <c r="M1085">
        <v>2400</v>
      </c>
      <c r="N1085">
        <v>0</v>
      </c>
    </row>
    <row r="1086" spans="1:14" x14ac:dyDescent="0.25">
      <c r="A1086">
        <v>690.591365</v>
      </c>
      <c r="B1086" s="1">
        <f>DATE(2012,3,21) + TIME(14,11,33)</f>
        <v>40989.591354166667</v>
      </c>
      <c r="C1086">
        <v>80</v>
      </c>
      <c r="D1086">
        <v>69.878814696999996</v>
      </c>
      <c r="E1086">
        <v>50</v>
      </c>
      <c r="F1086">
        <v>49.971359253000003</v>
      </c>
      <c r="G1086">
        <v>1322.7623291</v>
      </c>
      <c r="H1086">
        <v>1319.3793945</v>
      </c>
      <c r="I1086">
        <v>1344.3660889</v>
      </c>
      <c r="J1086">
        <v>1339.9694824000001</v>
      </c>
      <c r="K1086">
        <v>0</v>
      </c>
      <c r="L1086">
        <v>2400</v>
      </c>
      <c r="M1086">
        <v>2400</v>
      </c>
      <c r="N1086">
        <v>0</v>
      </c>
    </row>
    <row r="1087" spans="1:14" x14ac:dyDescent="0.25">
      <c r="A1087">
        <v>693.79187100000001</v>
      </c>
      <c r="B1087" s="1">
        <f>DATE(2012,3,24) + TIME(19,0,17)</f>
        <v>40992.791863425926</v>
      </c>
      <c r="C1087">
        <v>80</v>
      </c>
      <c r="D1087">
        <v>69.639778136999993</v>
      </c>
      <c r="E1087">
        <v>50</v>
      </c>
      <c r="F1087">
        <v>49.971435546999999</v>
      </c>
      <c r="G1087">
        <v>1322.6520995999999</v>
      </c>
      <c r="H1087">
        <v>1319.2275391000001</v>
      </c>
      <c r="I1087">
        <v>1344.3568115</v>
      </c>
      <c r="J1087">
        <v>1339.9620361</v>
      </c>
      <c r="K1087">
        <v>0</v>
      </c>
      <c r="L1087">
        <v>2400</v>
      </c>
      <c r="M1087">
        <v>2400</v>
      </c>
      <c r="N1087">
        <v>0</v>
      </c>
    </row>
    <row r="1088" spans="1:14" x14ac:dyDescent="0.25">
      <c r="A1088">
        <v>697.08140300000002</v>
      </c>
      <c r="B1088" s="1">
        <f>DATE(2012,3,28) + TIME(1,57,13)</f>
        <v>40996.081400462965</v>
      </c>
      <c r="C1088">
        <v>80</v>
      </c>
      <c r="D1088">
        <v>69.385726929</v>
      </c>
      <c r="E1088">
        <v>50</v>
      </c>
      <c r="F1088">
        <v>49.971511841000002</v>
      </c>
      <c r="G1088">
        <v>1322.5402832</v>
      </c>
      <c r="H1088">
        <v>1319.0732422000001</v>
      </c>
      <c r="I1088">
        <v>1344.3472899999999</v>
      </c>
      <c r="J1088">
        <v>1339.9543457</v>
      </c>
      <c r="K1088">
        <v>0</v>
      </c>
      <c r="L1088">
        <v>2400</v>
      </c>
      <c r="M1088">
        <v>2400</v>
      </c>
      <c r="N1088">
        <v>0</v>
      </c>
    </row>
    <row r="1089" spans="1:14" x14ac:dyDescent="0.25">
      <c r="A1089">
        <v>700.44682399999999</v>
      </c>
      <c r="B1089" s="1">
        <f>DATE(2012,3,31) + TIME(10,43,25)</f>
        <v>40999.446817129632</v>
      </c>
      <c r="C1089">
        <v>80</v>
      </c>
      <c r="D1089">
        <v>69.115196228000002</v>
      </c>
      <c r="E1089">
        <v>50</v>
      </c>
      <c r="F1089">
        <v>49.971588134999998</v>
      </c>
      <c r="G1089">
        <v>1322.4266356999999</v>
      </c>
      <c r="H1089">
        <v>1318.9160156</v>
      </c>
      <c r="I1089">
        <v>1344.3377685999999</v>
      </c>
      <c r="J1089">
        <v>1339.9466553</v>
      </c>
      <c r="K1089">
        <v>0</v>
      </c>
      <c r="L1089">
        <v>2400</v>
      </c>
      <c r="M1089">
        <v>2400</v>
      </c>
      <c r="N1089">
        <v>0</v>
      </c>
    </row>
    <row r="1090" spans="1:14" x14ac:dyDescent="0.25">
      <c r="A1090">
        <v>701</v>
      </c>
      <c r="B1090" s="1">
        <f>DATE(2012,4,1) + TIME(0,0,0)</f>
        <v>41000</v>
      </c>
      <c r="C1090">
        <v>80</v>
      </c>
      <c r="D1090">
        <v>68.957611084000007</v>
      </c>
      <c r="E1090">
        <v>50</v>
      </c>
      <c r="F1090">
        <v>49.971591949</v>
      </c>
      <c r="G1090">
        <v>1322.3229980000001</v>
      </c>
      <c r="H1090">
        <v>1318.7773437999999</v>
      </c>
      <c r="I1090">
        <v>1344.3294678</v>
      </c>
      <c r="J1090">
        <v>1339.9404297000001</v>
      </c>
      <c r="K1090">
        <v>0</v>
      </c>
      <c r="L1090">
        <v>2400</v>
      </c>
      <c r="M1090">
        <v>2400</v>
      </c>
      <c r="N1090">
        <v>0</v>
      </c>
    </row>
    <row r="1091" spans="1:14" x14ac:dyDescent="0.25">
      <c r="A1091">
        <v>704.41860699999995</v>
      </c>
      <c r="B1091" s="1">
        <f>DATE(2012,4,4) + TIME(10,2,47)</f>
        <v>41003.418599537035</v>
      </c>
      <c r="C1091">
        <v>80</v>
      </c>
      <c r="D1091">
        <v>68.761627196999996</v>
      </c>
      <c r="E1091">
        <v>50</v>
      </c>
      <c r="F1091">
        <v>49.971675873000002</v>
      </c>
      <c r="G1091">
        <v>1322.2774658000001</v>
      </c>
      <c r="H1091">
        <v>1318.7061768000001</v>
      </c>
      <c r="I1091">
        <v>1344.3261719</v>
      </c>
      <c r="J1091">
        <v>1339.9372559000001</v>
      </c>
      <c r="K1091">
        <v>0</v>
      </c>
      <c r="L1091">
        <v>2400</v>
      </c>
      <c r="M1091">
        <v>2400</v>
      </c>
      <c r="N1091">
        <v>0</v>
      </c>
    </row>
    <row r="1092" spans="1:14" x14ac:dyDescent="0.25">
      <c r="A1092">
        <v>707.90524900000003</v>
      </c>
      <c r="B1092" s="1">
        <f>DATE(2012,4,7) + TIME(21,43,33)</f>
        <v>41006.905243055553</v>
      </c>
      <c r="C1092">
        <v>80</v>
      </c>
      <c r="D1092">
        <v>68.471801757999998</v>
      </c>
      <c r="E1092">
        <v>50</v>
      </c>
      <c r="F1092">
        <v>49.971752166999998</v>
      </c>
      <c r="G1092">
        <v>1322.1746826000001</v>
      </c>
      <c r="H1092">
        <v>1318.5654297000001</v>
      </c>
      <c r="I1092">
        <v>1344.3165283000001</v>
      </c>
      <c r="J1092">
        <v>1339.9298096</v>
      </c>
      <c r="K1092">
        <v>0</v>
      </c>
      <c r="L1092">
        <v>2400</v>
      </c>
      <c r="M1092">
        <v>2400</v>
      </c>
      <c r="N1092">
        <v>0</v>
      </c>
    </row>
    <row r="1093" spans="1:14" x14ac:dyDescent="0.25">
      <c r="A1093">
        <v>711.46949400000005</v>
      </c>
      <c r="B1093" s="1">
        <f>DATE(2012,4,11) + TIME(11,16,4)</f>
        <v>41010.469490740739</v>
      </c>
      <c r="C1093">
        <v>80</v>
      </c>
      <c r="D1093">
        <v>68.151596068999993</v>
      </c>
      <c r="E1093">
        <v>50</v>
      </c>
      <c r="F1093">
        <v>49.971832274999997</v>
      </c>
      <c r="G1093">
        <v>1322.0607910000001</v>
      </c>
      <c r="H1093">
        <v>1318.4068603999999</v>
      </c>
      <c r="I1093">
        <v>1344.3065185999999</v>
      </c>
      <c r="J1093">
        <v>1339.9221190999999</v>
      </c>
      <c r="K1093">
        <v>0</v>
      </c>
      <c r="L1093">
        <v>2400</v>
      </c>
      <c r="M1093">
        <v>2400</v>
      </c>
      <c r="N1093">
        <v>0</v>
      </c>
    </row>
    <row r="1094" spans="1:14" x14ac:dyDescent="0.25">
      <c r="A1094">
        <v>715.12181999999996</v>
      </c>
      <c r="B1094" s="1">
        <f>DATE(2012,4,15) + TIME(2,55,25)</f>
        <v>41014.121817129628</v>
      </c>
      <c r="C1094">
        <v>80</v>
      </c>
      <c r="D1094">
        <v>67.810630798000005</v>
      </c>
      <c r="E1094">
        <v>50</v>
      </c>
      <c r="F1094">
        <v>49.971908569</v>
      </c>
      <c r="G1094">
        <v>1321.9444579999999</v>
      </c>
      <c r="H1094">
        <v>1318.2441406</v>
      </c>
      <c r="I1094">
        <v>1344.2963867000001</v>
      </c>
      <c r="J1094">
        <v>1339.9141846</v>
      </c>
      <c r="K1094">
        <v>0</v>
      </c>
      <c r="L1094">
        <v>2400</v>
      </c>
      <c r="M1094">
        <v>2400</v>
      </c>
      <c r="N1094">
        <v>0</v>
      </c>
    </row>
    <row r="1095" spans="1:14" x14ac:dyDescent="0.25">
      <c r="A1095">
        <v>718.872702</v>
      </c>
      <c r="B1095" s="1">
        <f>DATE(2012,4,18) + TIME(20,56,41)</f>
        <v>41017.872696759259</v>
      </c>
      <c r="C1095">
        <v>80</v>
      </c>
      <c r="D1095">
        <v>67.448448181000003</v>
      </c>
      <c r="E1095">
        <v>50</v>
      </c>
      <c r="F1095">
        <v>49.971988678000002</v>
      </c>
      <c r="G1095">
        <v>1321.8270264</v>
      </c>
      <c r="H1095">
        <v>1318.0793457</v>
      </c>
      <c r="I1095">
        <v>1344.2860106999999</v>
      </c>
      <c r="J1095">
        <v>1339.90625</v>
      </c>
      <c r="K1095">
        <v>0</v>
      </c>
      <c r="L1095">
        <v>2400</v>
      </c>
      <c r="M1095">
        <v>2400</v>
      </c>
      <c r="N1095">
        <v>0</v>
      </c>
    </row>
    <row r="1096" spans="1:14" x14ac:dyDescent="0.25">
      <c r="A1096">
        <v>722.73286299999995</v>
      </c>
      <c r="B1096" s="1">
        <f>DATE(2012,4,22) + TIME(17,35,19)</f>
        <v>41021.732858796298</v>
      </c>
      <c r="C1096">
        <v>80</v>
      </c>
      <c r="D1096">
        <v>67.064041137999993</v>
      </c>
      <c r="E1096">
        <v>50</v>
      </c>
      <c r="F1096">
        <v>49.972068786999998</v>
      </c>
      <c r="G1096">
        <v>1321.7086182</v>
      </c>
      <c r="H1096">
        <v>1317.9128418</v>
      </c>
      <c r="I1096">
        <v>1344.2755127</v>
      </c>
      <c r="J1096">
        <v>1339.8981934000001</v>
      </c>
      <c r="K1096">
        <v>0</v>
      </c>
      <c r="L1096">
        <v>2400</v>
      </c>
      <c r="M1096">
        <v>2400</v>
      </c>
      <c r="N1096">
        <v>0</v>
      </c>
    </row>
    <row r="1097" spans="1:14" x14ac:dyDescent="0.25">
      <c r="A1097">
        <v>726.71771000000001</v>
      </c>
      <c r="B1097" s="1">
        <f>DATE(2012,4,26) + TIME(17,13,30)</f>
        <v>41025.71770833333</v>
      </c>
      <c r="C1097">
        <v>80</v>
      </c>
      <c r="D1097">
        <v>66.655174255000006</v>
      </c>
      <c r="E1097">
        <v>50</v>
      </c>
      <c r="F1097">
        <v>49.972152710000003</v>
      </c>
      <c r="G1097">
        <v>1321.5892334</v>
      </c>
      <c r="H1097">
        <v>1317.7443848</v>
      </c>
      <c r="I1097">
        <v>1344.2646483999999</v>
      </c>
      <c r="J1097">
        <v>1339.8898925999999</v>
      </c>
      <c r="K1097">
        <v>0</v>
      </c>
      <c r="L1097">
        <v>2400</v>
      </c>
      <c r="M1097">
        <v>2400</v>
      </c>
      <c r="N1097">
        <v>0</v>
      </c>
    </row>
    <row r="1098" spans="1:14" x14ac:dyDescent="0.25">
      <c r="A1098">
        <v>730.789264</v>
      </c>
      <c r="B1098" s="1">
        <f>DATE(2012,4,30) + TIME(18,56,32)</f>
        <v>41029.789259259262</v>
      </c>
      <c r="C1098">
        <v>80</v>
      </c>
      <c r="D1098">
        <v>66.221000670999999</v>
      </c>
      <c r="E1098">
        <v>50</v>
      </c>
      <c r="F1098">
        <v>49.972232818999998</v>
      </c>
      <c r="G1098">
        <v>1321.4689940999999</v>
      </c>
      <c r="H1098">
        <v>1317.5740966999999</v>
      </c>
      <c r="I1098">
        <v>1344.2535399999999</v>
      </c>
      <c r="J1098">
        <v>1339.8814697</v>
      </c>
      <c r="K1098">
        <v>0</v>
      </c>
      <c r="L1098">
        <v>2400</v>
      </c>
      <c r="M1098">
        <v>2400</v>
      </c>
      <c r="N1098">
        <v>0</v>
      </c>
    </row>
    <row r="1099" spans="1:14" x14ac:dyDescent="0.25">
      <c r="A1099">
        <v>731</v>
      </c>
      <c r="B1099" s="1">
        <f>DATE(2012,5,1) + TIME(0,0,0)</f>
        <v>41030</v>
      </c>
      <c r="C1099">
        <v>80</v>
      </c>
      <c r="D1099">
        <v>66.085639954000001</v>
      </c>
      <c r="E1099">
        <v>50</v>
      </c>
      <c r="F1099">
        <v>49.972229003999999</v>
      </c>
      <c r="G1099">
        <v>1321.364624</v>
      </c>
      <c r="H1099">
        <v>1317.4396973</v>
      </c>
      <c r="I1099">
        <v>1344.246582</v>
      </c>
      <c r="J1099">
        <v>1339.8765868999999</v>
      </c>
      <c r="K1099">
        <v>0</v>
      </c>
      <c r="L1099">
        <v>2400</v>
      </c>
      <c r="M1099">
        <v>2400</v>
      </c>
      <c r="N1099">
        <v>0</v>
      </c>
    </row>
    <row r="1100" spans="1:14" x14ac:dyDescent="0.25">
      <c r="A1100">
        <v>731.000001</v>
      </c>
      <c r="B1100" s="1">
        <f>DATE(2012,5,1) + TIME(0,0,0)</f>
        <v>41030</v>
      </c>
      <c r="C1100">
        <v>80</v>
      </c>
      <c r="D1100">
        <v>66.085700989000003</v>
      </c>
      <c r="E1100">
        <v>50</v>
      </c>
      <c r="F1100">
        <v>49.972213744999998</v>
      </c>
      <c r="G1100">
        <v>1326.1422118999999</v>
      </c>
      <c r="H1100">
        <v>1321.3789062000001</v>
      </c>
      <c r="I1100">
        <v>1339.8666992000001</v>
      </c>
      <c r="J1100">
        <v>1336.5676269999999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731.00000399999999</v>
      </c>
      <c r="B1101" s="1">
        <f>DATE(2012,5,1) + TIME(0,0,0)</f>
        <v>41030</v>
      </c>
      <c r="C1101">
        <v>80</v>
      </c>
      <c r="D1101">
        <v>66.085884093999994</v>
      </c>
      <c r="E1101">
        <v>50</v>
      </c>
      <c r="F1101">
        <v>49.972167968999997</v>
      </c>
      <c r="G1101">
        <v>1326.1745605000001</v>
      </c>
      <c r="H1101">
        <v>1321.4212646000001</v>
      </c>
      <c r="I1101">
        <v>1339.8375243999999</v>
      </c>
      <c r="J1101">
        <v>1336.5384521000001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731.00001299999997</v>
      </c>
      <c r="B1102" s="1">
        <f>DATE(2012,5,1) + TIME(0,0,1)</f>
        <v>41030.000011574077</v>
      </c>
      <c r="C1102">
        <v>80</v>
      </c>
      <c r="D1102">
        <v>66.086425781000003</v>
      </c>
      <c r="E1102">
        <v>50</v>
      </c>
      <c r="F1102">
        <v>49.97203064</v>
      </c>
      <c r="G1102">
        <v>1326.2694091999999</v>
      </c>
      <c r="H1102">
        <v>1321.5445557</v>
      </c>
      <c r="I1102">
        <v>1339.7517089999999</v>
      </c>
      <c r="J1102">
        <v>1336.4525146000001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731.00004000000001</v>
      </c>
      <c r="B1103" s="1">
        <f>DATE(2012,5,1) + TIME(0,0,3)</f>
        <v>41030.000034722223</v>
      </c>
      <c r="C1103">
        <v>80</v>
      </c>
      <c r="D1103">
        <v>66.087974548000005</v>
      </c>
      <c r="E1103">
        <v>50</v>
      </c>
      <c r="F1103">
        <v>49.971645355</v>
      </c>
      <c r="G1103">
        <v>1326.5361327999999</v>
      </c>
      <c r="H1103">
        <v>1321.8846435999999</v>
      </c>
      <c r="I1103">
        <v>1339.5091553</v>
      </c>
      <c r="J1103">
        <v>1336.2099608999999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731.00012100000004</v>
      </c>
      <c r="B1104" s="1">
        <f>DATE(2012,5,1) + TIME(0,0,10)</f>
        <v>41030.000115740739</v>
      </c>
      <c r="C1104">
        <v>80</v>
      </c>
      <c r="D1104">
        <v>66.092086792000003</v>
      </c>
      <c r="E1104">
        <v>50</v>
      </c>
      <c r="F1104">
        <v>49.970657349</v>
      </c>
      <c r="G1104">
        <v>1327.2115478999999</v>
      </c>
      <c r="H1104">
        <v>1322.7056885</v>
      </c>
      <c r="I1104">
        <v>1338.8903809000001</v>
      </c>
      <c r="J1104">
        <v>1335.5909423999999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731.00036399999999</v>
      </c>
      <c r="B1105" s="1">
        <f>DATE(2012,5,1) + TIME(0,0,31)</f>
        <v>41030.000358796293</v>
      </c>
      <c r="C1105">
        <v>80</v>
      </c>
      <c r="D1105">
        <v>66.102027892999999</v>
      </c>
      <c r="E1105">
        <v>50</v>
      </c>
      <c r="F1105">
        <v>49.968624114999997</v>
      </c>
      <c r="G1105">
        <v>1328.5980225000001</v>
      </c>
      <c r="H1105">
        <v>1324.2510986</v>
      </c>
      <c r="I1105">
        <v>1337.6166992000001</v>
      </c>
      <c r="J1105">
        <v>1334.3171387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731.00109299999997</v>
      </c>
      <c r="B1106" s="1">
        <f>DATE(2012,5,1) + TIME(0,1,34)</f>
        <v>41030.001087962963</v>
      </c>
      <c r="C1106">
        <v>80</v>
      </c>
      <c r="D1106">
        <v>66.125610351999995</v>
      </c>
      <c r="E1106">
        <v>50</v>
      </c>
      <c r="F1106">
        <v>49.96554184</v>
      </c>
      <c r="G1106">
        <v>1330.7073975000001</v>
      </c>
      <c r="H1106">
        <v>1326.3925781</v>
      </c>
      <c r="I1106">
        <v>1335.7094727000001</v>
      </c>
      <c r="J1106">
        <v>1332.4100341999999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731.00328000000002</v>
      </c>
      <c r="B1107" s="1">
        <f>DATE(2012,5,1) + TIME(0,4,43)</f>
        <v>41030.003275462965</v>
      </c>
      <c r="C1107">
        <v>80</v>
      </c>
      <c r="D1107">
        <v>66.187164307000003</v>
      </c>
      <c r="E1107">
        <v>50</v>
      </c>
      <c r="F1107">
        <v>49.961883544999999</v>
      </c>
      <c r="G1107">
        <v>1333.1643065999999</v>
      </c>
      <c r="H1107">
        <v>1328.7854004000001</v>
      </c>
      <c r="I1107">
        <v>1333.5458983999999</v>
      </c>
      <c r="J1107">
        <v>1330.2475586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731.00984100000005</v>
      </c>
      <c r="B1108" s="1">
        <f>DATE(2012,5,1) + TIME(0,14,10)</f>
        <v>41030.009837962964</v>
      </c>
      <c r="C1108">
        <v>80</v>
      </c>
      <c r="D1108">
        <v>66.360748290999993</v>
      </c>
      <c r="E1108">
        <v>50</v>
      </c>
      <c r="F1108">
        <v>49.957664489999999</v>
      </c>
      <c r="G1108">
        <v>1335.6865233999999</v>
      </c>
      <c r="H1108">
        <v>1331.2506103999999</v>
      </c>
      <c r="I1108">
        <v>1331.3527832</v>
      </c>
      <c r="J1108">
        <v>1328.0568848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731.02952400000004</v>
      </c>
      <c r="B1109" s="1">
        <f>DATE(2012,5,1) + TIME(0,42,30)</f>
        <v>41030.029513888891</v>
      </c>
      <c r="C1109">
        <v>80</v>
      </c>
      <c r="D1109">
        <v>66.857284546000002</v>
      </c>
      <c r="E1109">
        <v>50</v>
      </c>
      <c r="F1109">
        <v>49.951934813999998</v>
      </c>
      <c r="G1109">
        <v>1338.2255858999999</v>
      </c>
      <c r="H1109">
        <v>1333.7635498</v>
      </c>
      <c r="I1109">
        <v>1329.1481934000001</v>
      </c>
      <c r="J1109">
        <v>1325.8503418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731.05239900000004</v>
      </c>
      <c r="B1110" s="1">
        <f>DATE(2012,5,1) + TIME(1,15,27)</f>
        <v>41030.052395833336</v>
      </c>
      <c r="C1110">
        <v>80</v>
      </c>
      <c r="D1110">
        <v>67.412094116000006</v>
      </c>
      <c r="E1110">
        <v>50</v>
      </c>
      <c r="F1110">
        <v>49.947269439999999</v>
      </c>
      <c r="G1110">
        <v>1339.7249756000001</v>
      </c>
      <c r="H1110">
        <v>1335.2521973</v>
      </c>
      <c r="I1110">
        <v>1327.8612060999999</v>
      </c>
      <c r="J1110">
        <v>1324.552124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731.07596899999999</v>
      </c>
      <c r="B1111" s="1">
        <f>DATE(2012,5,1) + TIME(1,49,23)</f>
        <v>41030.075960648152</v>
      </c>
      <c r="C1111">
        <v>80</v>
      </c>
      <c r="D1111">
        <v>67.961738585999996</v>
      </c>
      <c r="E1111">
        <v>50</v>
      </c>
      <c r="F1111">
        <v>49.943214417</v>
      </c>
      <c r="G1111">
        <v>1340.7069091999999</v>
      </c>
      <c r="H1111">
        <v>1336.2332764</v>
      </c>
      <c r="I1111">
        <v>1327.0173339999999</v>
      </c>
      <c r="J1111">
        <v>1323.6911620999999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731.10019399999999</v>
      </c>
      <c r="B1112" s="1">
        <f>DATE(2012,5,1) + TIME(2,24,16)</f>
        <v>41030.100185185183</v>
      </c>
      <c r="C1112">
        <v>80</v>
      </c>
      <c r="D1112">
        <v>68.503890991000006</v>
      </c>
      <c r="E1112">
        <v>50</v>
      </c>
      <c r="F1112">
        <v>49.939430237000003</v>
      </c>
      <c r="G1112">
        <v>1341.4228516000001</v>
      </c>
      <c r="H1112">
        <v>1336.9548339999999</v>
      </c>
      <c r="I1112">
        <v>1326.3955077999999</v>
      </c>
      <c r="J1112">
        <v>1323.0495605000001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731.12506599999995</v>
      </c>
      <c r="B1113" s="1">
        <f>DATE(2012,5,1) + TIME(3,0,5)</f>
        <v>41030.125057870369</v>
      </c>
      <c r="C1113">
        <v>80</v>
      </c>
      <c r="D1113">
        <v>69.037055968999994</v>
      </c>
      <c r="E1113">
        <v>50</v>
      </c>
      <c r="F1113">
        <v>49.935787200999997</v>
      </c>
      <c r="G1113">
        <v>1341.9785156</v>
      </c>
      <c r="H1113">
        <v>1337.5198975000001</v>
      </c>
      <c r="I1113">
        <v>1325.9064940999999</v>
      </c>
      <c r="J1113">
        <v>1322.5404053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731.15059099999996</v>
      </c>
      <c r="B1114" s="1">
        <f>DATE(2012,5,1) + TIME(3,36,51)</f>
        <v>41030.150590277779</v>
      </c>
      <c r="C1114">
        <v>80</v>
      </c>
      <c r="D1114">
        <v>69.560180664000001</v>
      </c>
      <c r="E1114">
        <v>50</v>
      </c>
      <c r="F1114">
        <v>49.932216644</v>
      </c>
      <c r="G1114">
        <v>1342.4272461</v>
      </c>
      <c r="H1114">
        <v>1337.9801024999999</v>
      </c>
      <c r="I1114">
        <v>1325.5064697</v>
      </c>
      <c r="J1114">
        <v>1322.1209716999999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731.17672500000003</v>
      </c>
      <c r="B1115" s="1">
        <f>DATE(2012,5,1) + TIME(4,14,28)</f>
        <v>41030.176712962966</v>
      </c>
      <c r="C1115">
        <v>80</v>
      </c>
      <c r="D1115">
        <v>70.071380614999995</v>
      </c>
      <c r="E1115">
        <v>50</v>
      </c>
      <c r="F1115">
        <v>49.928688049000002</v>
      </c>
      <c r="G1115">
        <v>1342.7990723</v>
      </c>
      <c r="H1115">
        <v>1338.3648682</v>
      </c>
      <c r="I1115">
        <v>1325.1711425999999</v>
      </c>
      <c r="J1115">
        <v>1321.7673339999999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731.20346700000005</v>
      </c>
      <c r="B1116" s="1">
        <f>DATE(2012,5,1) + TIME(4,52,59)</f>
        <v>41030.203460648147</v>
      </c>
      <c r="C1116">
        <v>80</v>
      </c>
      <c r="D1116">
        <v>70.569587708</v>
      </c>
      <c r="E1116">
        <v>50</v>
      </c>
      <c r="F1116">
        <v>49.925178528000004</v>
      </c>
      <c r="G1116">
        <v>1343.1136475000001</v>
      </c>
      <c r="H1116">
        <v>1338.692749</v>
      </c>
      <c r="I1116">
        <v>1324.8848877</v>
      </c>
      <c r="J1116">
        <v>1321.4642334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731.23083799999995</v>
      </c>
      <c r="B1117" s="1">
        <f>DATE(2012,5,1) + TIME(5,32,24)</f>
        <v>41030.230833333335</v>
      </c>
      <c r="C1117">
        <v>80</v>
      </c>
      <c r="D1117">
        <v>71.054756165000001</v>
      </c>
      <c r="E1117">
        <v>50</v>
      </c>
      <c r="F1117">
        <v>49.921672821000001</v>
      </c>
      <c r="G1117">
        <v>1343.3839111</v>
      </c>
      <c r="H1117">
        <v>1338.9768065999999</v>
      </c>
      <c r="I1117">
        <v>1324.6369629000001</v>
      </c>
      <c r="J1117">
        <v>1321.2011719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731.25886200000002</v>
      </c>
      <c r="B1118" s="1">
        <f>DATE(2012,5,1) + TIME(6,12,45)</f>
        <v>41030.25885416667</v>
      </c>
      <c r="C1118">
        <v>80</v>
      </c>
      <c r="D1118">
        <v>71.526641846000004</v>
      </c>
      <c r="E1118">
        <v>50</v>
      </c>
      <c r="F1118">
        <v>49.918155669999997</v>
      </c>
      <c r="G1118">
        <v>1343.6193848</v>
      </c>
      <c r="H1118">
        <v>1339.2258300999999</v>
      </c>
      <c r="I1118">
        <v>1324.4201660000001</v>
      </c>
      <c r="J1118">
        <v>1320.9704589999999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731.28756599999997</v>
      </c>
      <c r="B1119" s="1">
        <f>DATE(2012,5,1) + TIME(6,54,5)</f>
        <v>41030.287557870368</v>
      </c>
      <c r="C1119">
        <v>80</v>
      </c>
      <c r="D1119">
        <v>71.985076903999996</v>
      </c>
      <c r="E1119">
        <v>50</v>
      </c>
      <c r="F1119">
        <v>49.914623259999999</v>
      </c>
      <c r="G1119">
        <v>1343.8267822</v>
      </c>
      <c r="H1119">
        <v>1339.4465332</v>
      </c>
      <c r="I1119">
        <v>1324.2287598</v>
      </c>
      <c r="J1119">
        <v>1320.7664795000001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731.31698100000006</v>
      </c>
      <c r="B1120" s="1">
        <f>DATE(2012,5,1) + TIME(7,36,27)</f>
        <v>41030.316979166666</v>
      </c>
      <c r="C1120">
        <v>80</v>
      </c>
      <c r="D1120">
        <v>72.429969787999994</v>
      </c>
      <c r="E1120">
        <v>50</v>
      </c>
      <c r="F1120">
        <v>49.911060333000002</v>
      </c>
      <c r="G1120">
        <v>1344.0112305</v>
      </c>
      <c r="H1120">
        <v>1339.6436768000001</v>
      </c>
      <c r="I1120">
        <v>1324.0589600000001</v>
      </c>
      <c r="J1120">
        <v>1320.5852050999999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731.34713399999998</v>
      </c>
      <c r="B1121" s="1">
        <f>DATE(2012,5,1) + TIME(8,19,52)</f>
        <v>41030.347129629627</v>
      </c>
      <c r="C1121">
        <v>80</v>
      </c>
      <c r="D1121">
        <v>72.861160278</v>
      </c>
      <c r="E1121">
        <v>50</v>
      </c>
      <c r="F1121">
        <v>49.907463073999999</v>
      </c>
      <c r="G1121">
        <v>1344.1765137</v>
      </c>
      <c r="H1121">
        <v>1339.8211670000001</v>
      </c>
      <c r="I1121">
        <v>1323.9074707</v>
      </c>
      <c r="J1121">
        <v>1320.4233397999999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731.37806799999998</v>
      </c>
      <c r="B1122" s="1">
        <f>DATE(2012,5,1) + TIME(9,4,25)</f>
        <v>41030.378067129626</v>
      </c>
      <c r="C1122">
        <v>80</v>
      </c>
      <c r="D1122">
        <v>73.278694153000004</v>
      </c>
      <c r="E1122">
        <v>50</v>
      </c>
      <c r="F1122">
        <v>49.903823852999999</v>
      </c>
      <c r="G1122">
        <v>1344.3256836</v>
      </c>
      <c r="H1122">
        <v>1339.9816894999999</v>
      </c>
      <c r="I1122">
        <v>1323.7718506000001</v>
      </c>
      <c r="J1122">
        <v>1320.2781981999999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731.40980100000002</v>
      </c>
      <c r="B1123" s="1">
        <f>DATE(2012,5,1) + TIME(9,50,6)</f>
        <v>41030.409791666665</v>
      </c>
      <c r="C1123">
        <v>80</v>
      </c>
      <c r="D1123">
        <v>73.682273864999999</v>
      </c>
      <c r="E1123">
        <v>50</v>
      </c>
      <c r="F1123">
        <v>49.900142670000001</v>
      </c>
      <c r="G1123">
        <v>1344.4610596</v>
      </c>
      <c r="H1123">
        <v>1340.1276855000001</v>
      </c>
      <c r="I1123">
        <v>1323.6501464999999</v>
      </c>
      <c r="J1123">
        <v>1320.1479492000001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731.44233299999996</v>
      </c>
      <c r="B1124" s="1">
        <f>DATE(2012,5,1) + TIME(10,36,57)</f>
        <v>41030.442326388889</v>
      </c>
      <c r="C1124">
        <v>80</v>
      </c>
      <c r="D1124">
        <v>74.071472168</v>
      </c>
      <c r="E1124">
        <v>50</v>
      </c>
      <c r="F1124">
        <v>49.896419524999999</v>
      </c>
      <c r="G1124">
        <v>1344.5843506000001</v>
      </c>
      <c r="H1124">
        <v>1340.2607422000001</v>
      </c>
      <c r="I1124">
        <v>1323.5410156</v>
      </c>
      <c r="J1124">
        <v>1320.0308838000001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731.47570700000006</v>
      </c>
      <c r="B1125" s="1">
        <f>DATE(2012,5,1) + TIME(11,25,1)</f>
        <v>41030.475706018522</v>
      </c>
      <c r="C1125">
        <v>80</v>
      </c>
      <c r="D1125">
        <v>74.446372986</v>
      </c>
      <c r="E1125">
        <v>50</v>
      </c>
      <c r="F1125">
        <v>49.892642975000001</v>
      </c>
      <c r="G1125">
        <v>1344.6972656</v>
      </c>
      <c r="H1125">
        <v>1340.3825684000001</v>
      </c>
      <c r="I1125">
        <v>1323.4428711</v>
      </c>
      <c r="J1125">
        <v>1319.9255370999999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731.50996399999997</v>
      </c>
      <c r="B1126" s="1">
        <f>DATE(2012,5,1) + TIME(12,14,20)</f>
        <v>41030.509953703702</v>
      </c>
      <c r="C1126">
        <v>80</v>
      </c>
      <c r="D1126">
        <v>74.807037354000002</v>
      </c>
      <c r="E1126">
        <v>50</v>
      </c>
      <c r="F1126">
        <v>49.888813018999997</v>
      </c>
      <c r="G1126">
        <v>1344.8009033000001</v>
      </c>
      <c r="H1126">
        <v>1340.4943848</v>
      </c>
      <c r="I1126">
        <v>1323.3547363</v>
      </c>
      <c r="J1126">
        <v>1319.8308105000001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731.54515600000002</v>
      </c>
      <c r="B1127" s="1">
        <f>DATE(2012,5,1) + TIME(13,5,1)</f>
        <v>41030.54515046296</v>
      </c>
      <c r="C1127">
        <v>80</v>
      </c>
      <c r="D1127">
        <v>75.153488159000005</v>
      </c>
      <c r="E1127">
        <v>50</v>
      </c>
      <c r="F1127">
        <v>49.884922027999998</v>
      </c>
      <c r="G1127">
        <v>1344.8963623</v>
      </c>
      <c r="H1127">
        <v>1340.5972899999999</v>
      </c>
      <c r="I1127">
        <v>1323.2756348</v>
      </c>
      <c r="J1127">
        <v>1319.7456055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731.58133899999996</v>
      </c>
      <c r="B1128" s="1">
        <f>DATE(2012,5,1) + TIME(13,57,7)</f>
        <v>41030.581331018519</v>
      </c>
      <c r="C1128">
        <v>80</v>
      </c>
      <c r="D1128">
        <v>75.485832213999998</v>
      </c>
      <c r="E1128">
        <v>50</v>
      </c>
      <c r="F1128">
        <v>49.880970001000001</v>
      </c>
      <c r="G1128">
        <v>1344.9846190999999</v>
      </c>
      <c r="H1128">
        <v>1340.6921387</v>
      </c>
      <c r="I1128">
        <v>1323.2045897999999</v>
      </c>
      <c r="J1128">
        <v>1319.6689452999999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731.61857099999997</v>
      </c>
      <c r="B1129" s="1">
        <f>DATE(2012,5,1) + TIME(14,50,44)</f>
        <v>41030.618564814817</v>
      </c>
      <c r="C1129">
        <v>80</v>
      </c>
      <c r="D1129">
        <v>75.804313660000005</v>
      </c>
      <c r="E1129">
        <v>50</v>
      </c>
      <c r="F1129">
        <v>49.876941680999998</v>
      </c>
      <c r="G1129">
        <v>1345.0662841999999</v>
      </c>
      <c r="H1129">
        <v>1340.7796631000001</v>
      </c>
      <c r="I1129">
        <v>1323.1409911999999</v>
      </c>
      <c r="J1129">
        <v>1319.6002197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731.65691400000003</v>
      </c>
      <c r="B1130" s="1">
        <f>DATE(2012,5,1) + TIME(15,45,57)</f>
        <v>41030.656909722224</v>
      </c>
      <c r="C1130">
        <v>80</v>
      </c>
      <c r="D1130">
        <v>76.109046935999999</v>
      </c>
      <c r="E1130">
        <v>50</v>
      </c>
      <c r="F1130">
        <v>49.872840881000002</v>
      </c>
      <c r="G1130">
        <v>1345.1420897999999</v>
      </c>
      <c r="H1130">
        <v>1340.8605957</v>
      </c>
      <c r="I1130">
        <v>1323.0841064000001</v>
      </c>
      <c r="J1130">
        <v>1319.5386963000001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731.69643399999995</v>
      </c>
      <c r="B1131" s="1">
        <f>DATE(2012,5,1) + TIME(16,42,51)</f>
        <v>41030.696423611109</v>
      </c>
      <c r="C1131">
        <v>80</v>
      </c>
      <c r="D1131">
        <v>76.400146484000004</v>
      </c>
      <c r="E1131">
        <v>50</v>
      </c>
      <c r="F1131">
        <v>49.868659973</v>
      </c>
      <c r="G1131">
        <v>1345.2124022999999</v>
      </c>
      <c r="H1131">
        <v>1340.9355469</v>
      </c>
      <c r="I1131">
        <v>1323.0334473</v>
      </c>
      <c r="J1131">
        <v>1319.4837646000001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731.73720500000002</v>
      </c>
      <c r="B1132" s="1">
        <f>DATE(2012,5,1) + TIME(17,41,34)</f>
        <v>41030.737199074072</v>
      </c>
      <c r="C1132">
        <v>80</v>
      </c>
      <c r="D1132">
        <v>76.677749633999994</v>
      </c>
      <c r="E1132">
        <v>50</v>
      </c>
      <c r="F1132">
        <v>49.864387512</v>
      </c>
      <c r="G1132">
        <v>1345.277832</v>
      </c>
      <c r="H1132">
        <v>1341.0048827999999</v>
      </c>
      <c r="I1132">
        <v>1322.9884033000001</v>
      </c>
      <c r="J1132">
        <v>1319.4348144999999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731.77930400000002</v>
      </c>
      <c r="B1133" s="1">
        <f>DATE(2012,5,1) + TIME(18,42,11)</f>
        <v>41030.779293981483</v>
      </c>
      <c r="C1133">
        <v>80</v>
      </c>
      <c r="D1133">
        <v>76.941986084000007</v>
      </c>
      <c r="E1133">
        <v>50</v>
      </c>
      <c r="F1133">
        <v>49.860019684000001</v>
      </c>
      <c r="G1133">
        <v>1345.3388672000001</v>
      </c>
      <c r="H1133">
        <v>1341.0690918</v>
      </c>
      <c r="I1133">
        <v>1322.9486084</v>
      </c>
      <c r="J1133">
        <v>1319.3914795000001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731.82281699999999</v>
      </c>
      <c r="B1134" s="1">
        <f>DATE(2012,5,1) + TIME(19,44,51)</f>
        <v>41030.822812500002</v>
      </c>
      <c r="C1134">
        <v>80</v>
      </c>
      <c r="D1134">
        <v>77.193000792999996</v>
      </c>
      <c r="E1134">
        <v>50</v>
      </c>
      <c r="F1134">
        <v>49.855552672999998</v>
      </c>
      <c r="G1134">
        <v>1345.3956298999999</v>
      </c>
      <c r="H1134">
        <v>1341.1286620999999</v>
      </c>
      <c r="I1134">
        <v>1322.9135742000001</v>
      </c>
      <c r="J1134">
        <v>1319.3531493999999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731.86783600000001</v>
      </c>
      <c r="B1135" s="1">
        <f>DATE(2012,5,1) + TIME(20,49,40)</f>
        <v>41030.867824074077</v>
      </c>
      <c r="C1135">
        <v>80</v>
      </c>
      <c r="D1135">
        <v>77.430938721000004</v>
      </c>
      <c r="E1135">
        <v>50</v>
      </c>
      <c r="F1135">
        <v>49.850975036999998</v>
      </c>
      <c r="G1135">
        <v>1345.4484863</v>
      </c>
      <c r="H1135">
        <v>1341.1838379000001</v>
      </c>
      <c r="I1135">
        <v>1322.8829346</v>
      </c>
      <c r="J1135">
        <v>1319.3194579999999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731.91446699999995</v>
      </c>
      <c r="B1136" s="1">
        <f>DATE(2012,5,1) + TIME(21,56,49)</f>
        <v>41030.914456018516</v>
      </c>
      <c r="C1136">
        <v>80</v>
      </c>
      <c r="D1136">
        <v>77.655998229999994</v>
      </c>
      <c r="E1136">
        <v>50</v>
      </c>
      <c r="F1136">
        <v>49.846279144</v>
      </c>
      <c r="G1136">
        <v>1345.4979248</v>
      </c>
      <c r="H1136">
        <v>1341.2349853999999</v>
      </c>
      <c r="I1136">
        <v>1322.8563231999999</v>
      </c>
      <c r="J1136">
        <v>1319.2900391000001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731.96277899999995</v>
      </c>
      <c r="B1137" s="1">
        <f>DATE(2012,5,1) + TIME(23,6,24)</f>
        <v>41030.962777777779</v>
      </c>
      <c r="C1137">
        <v>80</v>
      </c>
      <c r="D1137">
        <v>77.868194579999994</v>
      </c>
      <c r="E1137">
        <v>50</v>
      </c>
      <c r="F1137">
        <v>49.841461182000003</v>
      </c>
      <c r="G1137">
        <v>1345.5439452999999</v>
      </c>
      <c r="H1137">
        <v>1341.2823486</v>
      </c>
      <c r="I1137">
        <v>1322.833374</v>
      </c>
      <c r="J1137">
        <v>1319.2645264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732.01285800000005</v>
      </c>
      <c r="B1138" s="1">
        <f>DATE(2012,5,2) + TIME(0,18,30)</f>
        <v>41031.01284722222</v>
      </c>
      <c r="C1138">
        <v>80</v>
      </c>
      <c r="D1138">
        <v>78.067619324000006</v>
      </c>
      <c r="E1138">
        <v>50</v>
      </c>
      <c r="F1138">
        <v>49.836513519</v>
      </c>
      <c r="G1138">
        <v>1345.5867920000001</v>
      </c>
      <c r="H1138">
        <v>1341.3261719</v>
      </c>
      <c r="I1138">
        <v>1322.8138428</v>
      </c>
      <c r="J1138">
        <v>1319.2425536999999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732.06482300000005</v>
      </c>
      <c r="B1139" s="1">
        <f>DATE(2012,5,2) + TIME(1,33,20)</f>
        <v>41031.064814814818</v>
      </c>
      <c r="C1139">
        <v>80</v>
      </c>
      <c r="D1139">
        <v>78.254524231000005</v>
      </c>
      <c r="E1139">
        <v>50</v>
      </c>
      <c r="F1139">
        <v>49.831428528000004</v>
      </c>
      <c r="G1139">
        <v>1345.6267089999999</v>
      </c>
      <c r="H1139">
        <v>1341.3665771000001</v>
      </c>
      <c r="I1139">
        <v>1322.7972411999999</v>
      </c>
      <c r="J1139">
        <v>1319.2238769999999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732.11880599999995</v>
      </c>
      <c r="B1140" s="1">
        <f>DATE(2012,5,2) + TIME(2,51,4)</f>
        <v>41031.118796296294</v>
      </c>
      <c r="C1140">
        <v>80</v>
      </c>
      <c r="D1140">
        <v>78.429176330999994</v>
      </c>
      <c r="E1140">
        <v>50</v>
      </c>
      <c r="F1140">
        <v>49.826198578000003</v>
      </c>
      <c r="G1140">
        <v>1345.6639404</v>
      </c>
      <c r="H1140">
        <v>1341.4040527</v>
      </c>
      <c r="I1140">
        <v>1322.7834473</v>
      </c>
      <c r="J1140">
        <v>1319.2081298999999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732.17497400000002</v>
      </c>
      <c r="B1141" s="1">
        <f>DATE(2012,5,2) + TIME(4,11,57)</f>
        <v>41031.17496527778</v>
      </c>
      <c r="C1141">
        <v>80</v>
      </c>
      <c r="D1141">
        <v>78.591918945000003</v>
      </c>
      <c r="E1141">
        <v>50</v>
      </c>
      <c r="F1141">
        <v>49.820800781000003</v>
      </c>
      <c r="G1141">
        <v>1345.6984863</v>
      </c>
      <c r="H1141">
        <v>1341.4384766000001</v>
      </c>
      <c r="I1141">
        <v>1322.7720947</v>
      </c>
      <c r="J1141">
        <v>1319.1949463000001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732.23345900000004</v>
      </c>
      <c r="B1142" s="1">
        <f>DATE(2012,5,2) + TIME(5,36,10)</f>
        <v>41031.233449074076</v>
      </c>
      <c r="C1142">
        <v>80</v>
      </c>
      <c r="D1142">
        <v>78.742965698000006</v>
      </c>
      <c r="E1142">
        <v>50</v>
      </c>
      <c r="F1142">
        <v>49.815235137999998</v>
      </c>
      <c r="G1142">
        <v>1345.7305908000001</v>
      </c>
      <c r="H1142">
        <v>1341.4702147999999</v>
      </c>
      <c r="I1142">
        <v>1322.7629394999999</v>
      </c>
      <c r="J1142">
        <v>1319.184082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732.29443400000002</v>
      </c>
      <c r="B1143" s="1">
        <f>DATE(2012,5,2) + TIME(7,3,59)</f>
        <v>41031.294432870367</v>
      </c>
      <c r="C1143">
        <v>80</v>
      </c>
      <c r="D1143">
        <v>78.882644653</v>
      </c>
      <c r="E1143">
        <v>50</v>
      </c>
      <c r="F1143">
        <v>49.809486389</v>
      </c>
      <c r="G1143">
        <v>1345.7604980000001</v>
      </c>
      <c r="H1143">
        <v>1341.4995117000001</v>
      </c>
      <c r="I1143">
        <v>1322.7557373</v>
      </c>
      <c r="J1143">
        <v>1319.175293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732.35808899999995</v>
      </c>
      <c r="B1144" s="1">
        <f>DATE(2012,5,2) + TIME(8,35,38)</f>
        <v>41031.358078703706</v>
      </c>
      <c r="C1144">
        <v>80</v>
      </c>
      <c r="D1144">
        <v>79.011291503999999</v>
      </c>
      <c r="E1144">
        <v>50</v>
      </c>
      <c r="F1144">
        <v>49.803539276000002</v>
      </c>
      <c r="G1144">
        <v>1345.7880858999999</v>
      </c>
      <c r="H1144">
        <v>1341.5262451000001</v>
      </c>
      <c r="I1144">
        <v>1322.7502440999999</v>
      </c>
      <c r="J1144">
        <v>1319.168457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732.42463499999997</v>
      </c>
      <c r="B1145" s="1">
        <f>DATE(2012,5,2) + TIME(10,11,28)</f>
        <v>41031.424629629626</v>
      </c>
      <c r="C1145">
        <v>80</v>
      </c>
      <c r="D1145">
        <v>79.129287719999994</v>
      </c>
      <c r="E1145">
        <v>50</v>
      </c>
      <c r="F1145">
        <v>49.797378539999997</v>
      </c>
      <c r="G1145">
        <v>1345.8137207</v>
      </c>
      <c r="H1145">
        <v>1341.5507812000001</v>
      </c>
      <c r="I1145">
        <v>1322.7462158000001</v>
      </c>
      <c r="J1145">
        <v>1319.1630858999999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732.49430700000005</v>
      </c>
      <c r="B1146" s="1">
        <f>DATE(2012,5,2) + TIME(11,51,48)</f>
        <v>41031.494305555556</v>
      </c>
      <c r="C1146">
        <v>80</v>
      </c>
      <c r="D1146">
        <v>79.237014771000005</v>
      </c>
      <c r="E1146">
        <v>50</v>
      </c>
      <c r="F1146">
        <v>49.790985106999997</v>
      </c>
      <c r="G1146">
        <v>1345.8372803</v>
      </c>
      <c r="H1146">
        <v>1341.5731201000001</v>
      </c>
      <c r="I1146">
        <v>1322.7435303</v>
      </c>
      <c r="J1146">
        <v>1319.1590576000001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732.56736599999999</v>
      </c>
      <c r="B1147" s="1">
        <f>DATE(2012,5,2) + TIME(13,37,0)</f>
        <v>41031.567361111112</v>
      </c>
      <c r="C1147">
        <v>80</v>
      </c>
      <c r="D1147">
        <v>79.334877014</v>
      </c>
      <c r="E1147">
        <v>50</v>
      </c>
      <c r="F1147">
        <v>49.784343718999999</v>
      </c>
      <c r="G1147">
        <v>1345.8588867000001</v>
      </c>
      <c r="H1147">
        <v>1341.5935059000001</v>
      </c>
      <c r="I1147">
        <v>1322.7419434000001</v>
      </c>
      <c r="J1147">
        <v>1319.15625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732.64410699999996</v>
      </c>
      <c r="B1148" s="1">
        <f>DATE(2012,5,2) + TIME(15,27,30)</f>
        <v>41031.644097222219</v>
      </c>
      <c r="C1148">
        <v>80</v>
      </c>
      <c r="D1148">
        <v>79.423309325999995</v>
      </c>
      <c r="E1148">
        <v>50</v>
      </c>
      <c r="F1148">
        <v>49.777427672999998</v>
      </c>
      <c r="G1148">
        <v>1345.8787841999999</v>
      </c>
      <c r="H1148">
        <v>1341.6119385</v>
      </c>
      <c r="I1148">
        <v>1322.7413329999999</v>
      </c>
      <c r="J1148">
        <v>1319.1545410000001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732.72486200000003</v>
      </c>
      <c r="B1149" s="1">
        <f>DATE(2012,5,2) + TIME(17,23,48)</f>
        <v>41031.724861111114</v>
      </c>
      <c r="C1149">
        <v>80</v>
      </c>
      <c r="D1149">
        <v>79.502769470000004</v>
      </c>
      <c r="E1149">
        <v>50</v>
      </c>
      <c r="F1149">
        <v>49.770217895999998</v>
      </c>
      <c r="G1149">
        <v>1345.8968506000001</v>
      </c>
      <c r="H1149">
        <v>1341.6285399999999</v>
      </c>
      <c r="I1149">
        <v>1322.7413329999999</v>
      </c>
      <c r="J1149">
        <v>1319.1534423999999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732.81000700000004</v>
      </c>
      <c r="B1150" s="1">
        <f>DATE(2012,5,2) + TIME(19,26,24)</f>
        <v>41031.81</v>
      </c>
      <c r="C1150">
        <v>80</v>
      </c>
      <c r="D1150">
        <v>79.573722838999998</v>
      </c>
      <c r="E1150">
        <v>50</v>
      </c>
      <c r="F1150">
        <v>49.762687683000003</v>
      </c>
      <c r="G1150">
        <v>1345.9130858999999</v>
      </c>
      <c r="H1150">
        <v>1341.6433105000001</v>
      </c>
      <c r="I1150">
        <v>1322.7420654</v>
      </c>
      <c r="J1150">
        <v>1319.1531981999999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732.90001099999995</v>
      </c>
      <c r="B1151" s="1">
        <f>DATE(2012,5,2) + TIME(21,36,0)</f>
        <v>41031.9</v>
      </c>
      <c r="C1151">
        <v>80</v>
      </c>
      <c r="D1151">
        <v>79.636672974000007</v>
      </c>
      <c r="E1151">
        <v>50</v>
      </c>
      <c r="F1151">
        <v>49.754798889</v>
      </c>
      <c r="G1151">
        <v>1345.9277344</v>
      </c>
      <c r="H1151">
        <v>1341.6563721</v>
      </c>
      <c r="I1151">
        <v>1322.7431641000001</v>
      </c>
      <c r="J1151">
        <v>1319.1533202999999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732.99536000000001</v>
      </c>
      <c r="B1152" s="1">
        <f>DATE(2012,5,2) + TIME(23,53,19)</f>
        <v>41031.995358796295</v>
      </c>
      <c r="C1152">
        <v>80</v>
      </c>
      <c r="D1152">
        <v>79.692123413000004</v>
      </c>
      <c r="E1152">
        <v>50</v>
      </c>
      <c r="F1152">
        <v>49.746520996000001</v>
      </c>
      <c r="G1152">
        <v>1345.9407959</v>
      </c>
      <c r="H1152">
        <v>1341.6678466999999</v>
      </c>
      <c r="I1152">
        <v>1322.7446289</v>
      </c>
      <c r="J1152">
        <v>1319.1538086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733.09659799999997</v>
      </c>
      <c r="B1153" s="1">
        <f>DATE(2012,5,3) + TIME(2,19,6)</f>
        <v>41032.096597222226</v>
      </c>
      <c r="C1153">
        <v>80</v>
      </c>
      <c r="D1153">
        <v>79.740547179999993</v>
      </c>
      <c r="E1153">
        <v>50</v>
      </c>
      <c r="F1153">
        <v>49.737812042000002</v>
      </c>
      <c r="G1153">
        <v>1345.9521483999999</v>
      </c>
      <c r="H1153">
        <v>1341.6777344</v>
      </c>
      <c r="I1153">
        <v>1322.7464600000001</v>
      </c>
      <c r="J1153">
        <v>1319.1546631000001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733.20146799999998</v>
      </c>
      <c r="B1154" s="1">
        <f>DATE(2012,5,3) + TIME(4,50,6)</f>
        <v>41032.201458333337</v>
      </c>
      <c r="C1154">
        <v>80</v>
      </c>
      <c r="D1154">
        <v>79.781555175999998</v>
      </c>
      <c r="E1154">
        <v>50</v>
      </c>
      <c r="F1154">
        <v>49.728855133000003</v>
      </c>
      <c r="G1154">
        <v>1345.9621582</v>
      </c>
      <c r="H1154">
        <v>1341.6860352000001</v>
      </c>
      <c r="I1154">
        <v>1322.7481689000001</v>
      </c>
      <c r="J1154">
        <v>1319.1555175999999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733.30771800000002</v>
      </c>
      <c r="B1155" s="1">
        <f>DATE(2012,5,3) + TIME(7,23,6)</f>
        <v>41032.307708333334</v>
      </c>
      <c r="C1155">
        <v>80</v>
      </c>
      <c r="D1155">
        <v>79.815444946</v>
      </c>
      <c r="E1155">
        <v>50</v>
      </c>
      <c r="F1155">
        <v>49.719810486</v>
      </c>
      <c r="G1155">
        <v>1345.9705810999999</v>
      </c>
      <c r="H1155">
        <v>1341.6928711</v>
      </c>
      <c r="I1155">
        <v>1322.75</v>
      </c>
      <c r="J1155">
        <v>1319.1564940999999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733.41569900000002</v>
      </c>
      <c r="B1156" s="1">
        <f>DATE(2012,5,3) + TIME(9,58,36)</f>
        <v>41032.415694444448</v>
      </c>
      <c r="C1156">
        <v>80</v>
      </c>
      <c r="D1156">
        <v>79.843444824000002</v>
      </c>
      <c r="E1156">
        <v>50</v>
      </c>
      <c r="F1156">
        <v>49.710662841999998</v>
      </c>
      <c r="G1156">
        <v>1345.9771728999999</v>
      </c>
      <c r="H1156">
        <v>1341.6981201000001</v>
      </c>
      <c r="I1156">
        <v>1322.7515868999999</v>
      </c>
      <c r="J1156">
        <v>1319.1573486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733.52564900000004</v>
      </c>
      <c r="B1157" s="1">
        <f>DATE(2012,5,3) + TIME(12,36,56)</f>
        <v>41032.525648148148</v>
      </c>
      <c r="C1157">
        <v>80</v>
      </c>
      <c r="D1157">
        <v>79.866546631000006</v>
      </c>
      <c r="E1157">
        <v>50</v>
      </c>
      <c r="F1157">
        <v>49.701385498</v>
      </c>
      <c r="G1157">
        <v>1345.9820557</v>
      </c>
      <c r="H1157">
        <v>1341.7019043</v>
      </c>
      <c r="I1157">
        <v>1322.7531738</v>
      </c>
      <c r="J1157">
        <v>1319.1580810999999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733.63784299999998</v>
      </c>
      <c r="B1158" s="1">
        <f>DATE(2012,5,3) + TIME(15,18,29)</f>
        <v>41032.637835648151</v>
      </c>
      <c r="C1158">
        <v>80</v>
      </c>
      <c r="D1158">
        <v>79.885589600000003</v>
      </c>
      <c r="E1158">
        <v>50</v>
      </c>
      <c r="F1158">
        <v>49.691963196000003</v>
      </c>
      <c r="G1158">
        <v>1345.9854736</v>
      </c>
      <c r="H1158">
        <v>1341.7044678</v>
      </c>
      <c r="I1158">
        <v>1322.7545166</v>
      </c>
      <c r="J1158">
        <v>1319.1588135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733.752567</v>
      </c>
      <c r="B1159" s="1">
        <f>DATE(2012,5,3) + TIME(18,3,41)</f>
        <v>41032.752557870372</v>
      </c>
      <c r="C1159">
        <v>80</v>
      </c>
      <c r="D1159">
        <v>79.901245117000002</v>
      </c>
      <c r="E1159">
        <v>50</v>
      </c>
      <c r="F1159">
        <v>49.682373046999999</v>
      </c>
      <c r="G1159">
        <v>1345.9874268000001</v>
      </c>
      <c r="H1159">
        <v>1341.7058105000001</v>
      </c>
      <c r="I1159">
        <v>1322.7557373</v>
      </c>
      <c r="J1159">
        <v>1319.1593018000001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733.86969899999997</v>
      </c>
      <c r="B1160" s="1">
        <f>DATE(2012,5,3) + TIME(20,52,21)</f>
        <v>41032.869687500002</v>
      </c>
      <c r="C1160">
        <v>80</v>
      </c>
      <c r="D1160">
        <v>79.9140625</v>
      </c>
      <c r="E1160">
        <v>50</v>
      </c>
      <c r="F1160">
        <v>49.672630310000002</v>
      </c>
      <c r="G1160">
        <v>1345.9882812000001</v>
      </c>
      <c r="H1160">
        <v>1341.7061768000001</v>
      </c>
      <c r="I1160">
        <v>1322.7568358999999</v>
      </c>
      <c r="J1160">
        <v>1319.1597899999999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733.988741</v>
      </c>
      <c r="B1161" s="1">
        <f>DATE(2012,5,3) + TIME(23,43,47)</f>
        <v>41032.988738425927</v>
      </c>
      <c r="C1161">
        <v>80</v>
      </c>
      <c r="D1161">
        <v>79.924468993999994</v>
      </c>
      <c r="E1161">
        <v>50</v>
      </c>
      <c r="F1161">
        <v>49.662761688000003</v>
      </c>
      <c r="G1161">
        <v>1345.9879149999999</v>
      </c>
      <c r="H1161">
        <v>1341.7055664</v>
      </c>
      <c r="I1161">
        <v>1322.7576904</v>
      </c>
      <c r="J1161">
        <v>1319.1600341999999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734.10994800000003</v>
      </c>
      <c r="B1162" s="1">
        <f>DATE(2012,5,4) + TIME(2,38,19)</f>
        <v>41033.109942129631</v>
      </c>
      <c r="C1162">
        <v>80</v>
      </c>
      <c r="D1162">
        <v>79.932914733999993</v>
      </c>
      <c r="E1162">
        <v>50</v>
      </c>
      <c r="F1162">
        <v>49.652759551999999</v>
      </c>
      <c r="G1162">
        <v>1345.9865723</v>
      </c>
      <c r="H1162">
        <v>1341.7042236</v>
      </c>
      <c r="I1162">
        <v>1322.7584228999999</v>
      </c>
      <c r="J1162">
        <v>1319.1601562000001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734.23359000000005</v>
      </c>
      <c r="B1163" s="1">
        <f>DATE(2012,5,4) + TIME(5,36,22)</f>
        <v>41033.233587962961</v>
      </c>
      <c r="C1163">
        <v>80</v>
      </c>
      <c r="D1163">
        <v>79.939758300999998</v>
      </c>
      <c r="E1163">
        <v>50</v>
      </c>
      <c r="F1163">
        <v>49.642597197999997</v>
      </c>
      <c r="G1163">
        <v>1345.984375</v>
      </c>
      <c r="H1163">
        <v>1341.7020264</v>
      </c>
      <c r="I1163">
        <v>1322.7589111</v>
      </c>
      <c r="J1163">
        <v>1319.1600341999999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734.359916</v>
      </c>
      <c r="B1164" s="1">
        <f>DATE(2012,5,4) + TIME(8,38,16)</f>
        <v>41033.359907407408</v>
      </c>
      <c r="C1164">
        <v>80</v>
      </c>
      <c r="D1164">
        <v>79.945297241000006</v>
      </c>
      <c r="E1164">
        <v>50</v>
      </c>
      <c r="F1164">
        <v>49.632259369000003</v>
      </c>
      <c r="G1164">
        <v>1345.9812012</v>
      </c>
      <c r="H1164">
        <v>1341.6990966999999</v>
      </c>
      <c r="I1164">
        <v>1322.7593993999999</v>
      </c>
      <c r="J1164">
        <v>1319.1599120999999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734.48915399999998</v>
      </c>
      <c r="B1165" s="1">
        <f>DATE(2012,5,4) + TIME(11,44,22)</f>
        <v>41033.48914351852</v>
      </c>
      <c r="C1165">
        <v>80</v>
      </c>
      <c r="D1165">
        <v>79.949760436999995</v>
      </c>
      <c r="E1165">
        <v>50</v>
      </c>
      <c r="F1165">
        <v>49.621734619000001</v>
      </c>
      <c r="G1165">
        <v>1345.9771728999999</v>
      </c>
      <c r="H1165">
        <v>1341.6956786999999</v>
      </c>
      <c r="I1165">
        <v>1322.7596435999999</v>
      </c>
      <c r="J1165">
        <v>1319.159668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734.62159599999995</v>
      </c>
      <c r="B1166" s="1">
        <f>DATE(2012,5,4) + TIME(14,55,5)</f>
        <v>41033.62158564815</v>
      </c>
      <c r="C1166">
        <v>80</v>
      </c>
      <c r="D1166">
        <v>79.953361510999997</v>
      </c>
      <c r="E1166">
        <v>50</v>
      </c>
      <c r="F1166">
        <v>49.610996245999999</v>
      </c>
      <c r="G1166">
        <v>1345.9725341999999</v>
      </c>
      <c r="H1166">
        <v>1341.6916504000001</v>
      </c>
      <c r="I1166">
        <v>1322.7597656</v>
      </c>
      <c r="J1166">
        <v>1319.1593018000001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734.75755600000002</v>
      </c>
      <c r="B1167" s="1">
        <f>DATE(2012,5,4) + TIME(18,10,52)</f>
        <v>41033.7575462963</v>
      </c>
      <c r="C1167">
        <v>80</v>
      </c>
      <c r="D1167">
        <v>79.956253051999994</v>
      </c>
      <c r="E1167">
        <v>50</v>
      </c>
      <c r="F1167">
        <v>49.600028991999999</v>
      </c>
      <c r="G1167">
        <v>1345.9671631000001</v>
      </c>
      <c r="H1167">
        <v>1341.6870117000001</v>
      </c>
      <c r="I1167">
        <v>1322.7598877</v>
      </c>
      <c r="J1167">
        <v>1319.1588135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734.89737700000001</v>
      </c>
      <c r="B1168" s="1">
        <f>DATE(2012,5,4) + TIME(21,32,13)</f>
        <v>41033.897372685184</v>
      </c>
      <c r="C1168">
        <v>80</v>
      </c>
      <c r="D1168">
        <v>79.958572387999993</v>
      </c>
      <c r="E1168">
        <v>50</v>
      </c>
      <c r="F1168">
        <v>49.588806151999997</v>
      </c>
      <c r="G1168">
        <v>1345.9611815999999</v>
      </c>
      <c r="H1168">
        <v>1341.6820068</v>
      </c>
      <c r="I1168">
        <v>1322.7597656</v>
      </c>
      <c r="J1168">
        <v>1319.1583252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735.04143699999997</v>
      </c>
      <c r="B1169" s="1">
        <f>DATE(2012,5,5) + TIME(0,59,40)</f>
        <v>41034.041435185187</v>
      </c>
      <c r="C1169">
        <v>80</v>
      </c>
      <c r="D1169">
        <v>79.960433960000003</v>
      </c>
      <c r="E1169">
        <v>50</v>
      </c>
      <c r="F1169">
        <v>49.577304839999996</v>
      </c>
      <c r="G1169">
        <v>1345.9544678</v>
      </c>
      <c r="H1169">
        <v>1341.6765137</v>
      </c>
      <c r="I1169">
        <v>1322.7596435999999</v>
      </c>
      <c r="J1169">
        <v>1319.1575928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735.18978800000002</v>
      </c>
      <c r="B1170" s="1">
        <f>DATE(2012,5,5) + TIME(4,33,17)</f>
        <v>41034.189780092594</v>
      </c>
      <c r="C1170">
        <v>80</v>
      </c>
      <c r="D1170">
        <v>79.961914062000005</v>
      </c>
      <c r="E1170">
        <v>50</v>
      </c>
      <c r="F1170">
        <v>49.565517426</v>
      </c>
      <c r="G1170">
        <v>1345.9472656</v>
      </c>
      <c r="H1170">
        <v>1341.6705322</v>
      </c>
      <c r="I1170">
        <v>1322.7593993999999</v>
      </c>
      <c r="J1170">
        <v>1319.1568603999999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735.34168199999999</v>
      </c>
      <c r="B1171" s="1">
        <f>DATE(2012,5,5) + TIME(8,12,1)</f>
        <v>41034.341678240744</v>
      </c>
      <c r="C1171">
        <v>80</v>
      </c>
      <c r="D1171">
        <v>79.963081360000004</v>
      </c>
      <c r="E1171">
        <v>50</v>
      </c>
      <c r="F1171">
        <v>49.553497313999998</v>
      </c>
      <c r="G1171">
        <v>1345.9395752</v>
      </c>
      <c r="H1171">
        <v>1341.6641846</v>
      </c>
      <c r="I1171">
        <v>1322.7590332</v>
      </c>
      <c r="J1171">
        <v>1319.1560059000001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735.49741600000004</v>
      </c>
      <c r="B1172" s="1">
        <f>DATE(2012,5,5) + TIME(11,56,16)</f>
        <v>41034.497407407405</v>
      </c>
      <c r="C1172">
        <v>80</v>
      </c>
      <c r="D1172">
        <v>79.964012146000002</v>
      </c>
      <c r="E1172">
        <v>50</v>
      </c>
      <c r="F1172">
        <v>49.541225433000001</v>
      </c>
      <c r="G1172">
        <v>1345.9313964999999</v>
      </c>
      <c r="H1172">
        <v>1341.6575928</v>
      </c>
      <c r="I1172">
        <v>1322.7586670000001</v>
      </c>
      <c r="J1172">
        <v>1319.1551514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735.65731200000005</v>
      </c>
      <c r="B1173" s="1">
        <f>DATE(2012,5,5) + TIME(15,46,31)</f>
        <v>41034.65730324074</v>
      </c>
      <c r="C1173">
        <v>80</v>
      </c>
      <c r="D1173">
        <v>79.964736938000001</v>
      </c>
      <c r="E1173">
        <v>50</v>
      </c>
      <c r="F1173">
        <v>49.528682709000002</v>
      </c>
      <c r="G1173">
        <v>1345.9228516000001</v>
      </c>
      <c r="H1173">
        <v>1341.6506348</v>
      </c>
      <c r="I1173">
        <v>1322.7581786999999</v>
      </c>
      <c r="J1173">
        <v>1319.1541748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735.82173499999999</v>
      </c>
      <c r="B1174" s="1">
        <f>DATE(2012,5,5) + TIME(19,43,17)</f>
        <v>41034.82172453704</v>
      </c>
      <c r="C1174">
        <v>80</v>
      </c>
      <c r="D1174">
        <v>79.965316771999994</v>
      </c>
      <c r="E1174">
        <v>50</v>
      </c>
      <c r="F1174">
        <v>49.515842438</v>
      </c>
      <c r="G1174">
        <v>1345.9138184000001</v>
      </c>
      <c r="H1174">
        <v>1341.6433105000001</v>
      </c>
      <c r="I1174">
        <v>1322.7575684000001</v>
      </c>
      <c r="J1174">
        <v>1319.1531981999999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735.99108100000001</v>
      </c>
      <c r="B1175" s="1">
        <f>DATE(2012,5,5) + TIME(23,47,9)</f>
        <v>41034.991076388891</v>
      </c>
      <c r="C1175">
        <v>80</v>
      </c>
      <c r="D1175">
        <v>79.965774535999998</v>
      </c>
      <c r="E1175">
        <v>50</v>
      </c>
      <c r="F1175">
        <v>49.502685546999999</v>
      </c>
      <c r="G1175">
        <v>1345.9044189000001</v>
      </c>
      <c r="H1175">
        <v>1341.6358643000001</v>
      </c>
      <c r="I1175">
        <v>1322.7569579999999</v>
      </c>
      <c r="J1175">
        <v>1319.1520995999999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736.16575</v>
      </c>
      <c r="B1176" s="1">
        <f>DATE(2012,5,6) + TIME(3,58,40)</f>
        <v>41035.16574074074</v>
      </c>
      <c r="C1176">
        <v>80</v>
      </c>
      <c r="D1176">
        <v>79.966140746999997</v>
      </c>
      <c r="E1176">
        <v>50</v>
      </c>
      <c r="F1176">
        <v>49.489181518999999</v>
      </c>
      <c r="G1176">
        <v>1345.8946533000001</v>
      </c>
      <c r="H1176">
        <v>1341.6280518000001</v>
      </c>
      <c r="I1176">
        <v>1322.7563477000001</v>
      </c>
      <c r="J1176">
        <v>1319.151001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736.34621600000003</v>
      </c>
      <c r="B1177" s="1">
        <f>DATE(2012,5,6) + TIME(8,18,33)</f>
        <v>41035.346215277779</v>
      </c>
      <c r="C1177">
        <v>80</v>
      </c>
      <c r="D1177">
        <v>79.966430664000001</v>
      </c>
      <c r="E1177">
        <v>50</v>
      </c>
      <c r="F1177">
        <v>49.475299835000001</v>
      </c>
      <c r="G1177">
        <v>1345.8843993999999</v>
      </c>
      <c r="H1177">
        <v>1341.6199951000001</v>
      </c>
      <c r="I1177">
        <v>1322.7556152</v>
      </c>
      <c r="J1177">
        <v>1319.1497803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736.53301599999998</v>
      </c>
      <c r="B1178" s="1">
        <f>DATE(2012,5,6) + TIME(12,47,32)</f>
        <v>41035.533009259256</v>
      </c>
      <c r="C1178">
        <v>80</v>
      </c>
      <c r="D1178">
        <v>79.966659546000002</v>
      </c>
      <c r="E1178">
        <v>50</v>
      </c>
      <c r="F1178">
        <v>49.461009979000004</v>
      </c>
      <c r="G1178">
        <v>1345.8739014</v>
      </c>
      <c r="H1178">
        <v>1341.6116943</v>
      </c>
      <c r="I1178">
        <v>1322.7548827999999</v>
      </c>
      <c r="J1178">
        <v>1319.1485596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736.72675000000004</v>
      </c>
      <c r="B1179" s="1">
        <f>DATE(2012,5,6) + TIME(17,26,31)</f>
        <v>41035.726747685185</v>
      </c>
      <c r="C1179">
        <v>80</v>
      </c>
      <c r="D1179">
        <v>79.966835021999998</v>
      </c>
      <c r="E1179">
        <v>50</v>
      </c>
      <c r="F1179">
        <v>49.446273804</v>
      </c>
      <c r="G1179">
        <v>1345.8630370999999</v>
      </c>
      <c r="H1179">
        <v>1341.6031493999999</v>
      </c>
      <c r="I1179">
        <v>1322.7540283000001</v>
      </c>
      <c r="J1179">
        <v>1319.1472168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736.92809499999998</v>
      </c>
      <c r="B1180" s="1">
        <f>DATE(2012,5,6) + TIME(22,16,27)</f>
        <v>41035.928090277775</v>
      </c>
      <c r="C1180">
        <v>80</v>
      </c>
      <c r="D1180">
        <v>79.966979980000005</v>
      </c>
      <c r="E1180">
        <v>50</v>
      </c>
      <c r="F1180">
        <v>49.431049346999998</v>
      </c>
      <c r="G1180">
        <v>1345.8518065999999</v>
      </c>
      <c r="H1180">
        <v>1341.5943603999999</v>
      </c>
      <c r="I1180">
        <v>1322.7531738</v>
      </c>
      <c r="J1180">
        <v>1319.145874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737.13790400000005</v>
      </c>
      <c r="B1181" s="1">
        <f>DATE(2012,5,7) + TIME(3,18,34)</f>
        <v>41036.13789351852</v>
      </c>
      <c r="C1181">
        <v>80</v>
      </c>
      <c r="D1181">
        <v>79.967094420999999</v>
      </c>
      <c r="E1181">
        <v>50</v>
      </c>
      <c r="F1181">
        <v>49.415283203000001</v>
      </c>
      <c r="G1181">
        <v>1345.8402100000001</v>
      </c>
      <c r="H1181">
        <v>1341.5853271000001</v>
      </c>
      <c r="I1181">
        <v>1322.7523193</v>
      </c>
      <c r="J1181">
        <v>1319.1444091999999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737.35426600000005</v>
      </c>
      <c r="B1182" s="1">
        <f>DATE(2012,5,7) + TIME(8,30,8)</f>
        <v>41036.354259259257</v>
      </c>
      <c r="C1182">
        <v>80</v>
      </c>
      <c r="D1182">
        <v>79.967185974000003</v>
      </c>
      <c r="E1182">
        <v>50</v>
      </c>
      <c r="F1182">
        <v>49.399085999</v>
      </c>
      <c r="G1182">
        <v>1345.8282471</v>
      </c>
      <c r="H1182">
        <v>1341.5760498</v>
      </c>
      <c r="I1182">
        <v>1322.7513428</v>
      </c>
      <c r="J1182">
        <v>1319.1429443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737.57561999999996</v>
      </c>
      <c r="B1183" s="1">
        <f>DATE(2012,5,7) + TIME(13,48,53)</f>
        <v>41036.575613425928</v>
      </c>
      <c r="C1183">
        <v>80</v>
      </c>
      <c r="D1183">
        <v>79.967254639000004</v>
      </c>
      <c r="E1183">
        <v>50</v>
      </c>
      <c r="F1183">
        <v>49.382556915000002</v>
      </c>
      <c r="G1183">
        <v>1345.8160399999999</v>
      </c>
      <c r="H1183">
        <v>1341.5666504000001</v>
      </c>
      <c r="I1183">
        <v>1322.7502440999999</v>
      </c>
      <c r="J1183">
        <v>1319.1413574000001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737.80094399999996</v>
      </c>
      <c r="B1184" s="1">
        <f>DATE(2012,5,7) + TIME(19,13,21)</f>
        <v>41036.800937499997</v>
      </c>
      <c r="C1184">
        <v>80</v>
      </c>
      <c r="D1184">
        <v>79.967308044000006</v>
      </c>
      <c r="E1184">
        <v>50</v>
      </c>
      <c r="F1184">
        <v>49.365756988999998</v>
      </c>
      <c r="G1184">
        <v>1345.8037108999999</v>
      </c>
      <c r="H1184">
        <v>1341.5571289</v>
      </c>
      <c r="I1184">
        <v>1322.7491454999999</v>
      </c>
      <c r="J1184">
        <v>1319.1397704999999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738.02821100000006</v>
      </c>
      <c r="B1185" s="1">
        <f>DATE(2012,5,8) + TIME(0,40,37)</f>
        <v>41037.02820601852</v>
      </c>
      <c r="C1185">
        <v>80</v>
      </c>
      <c r="D1185">
        <v>79.967353821000003</v>
      </c>
      <c r="E1185">
        <v>50</v>
      </c>
      <c r="F1185">
        <v>49.348819732999999</v>
      </c>
      <c r="G1185">
        <v>1345.7912598</v>
      </c>
      <c r="H1185">
        <v>1341.5477295000001</v>
      </c>
      <c r="I1185">
        <v>1322.7480469</v>
      </c>
      <c r="J1185">
        <v>1319.1381836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738.25791000000004</v>
      </c>
      <c r="B1186" s="1">
        <f>DATE(2012,5,8) + TIME(6,11,23)</f>
        <v>41037.257905092592</v>
      </c>
      <c r="C1186">
        <v>80</v>
      </c>
      <c r="D1186">
        <v>79.967384338000002</v>
      </c>
      <c r="E1186">
        <v>50</v>
      </c>
      <c r="F1186">
        <v>49.331726074000002</v>
      </c>
      <c r="G1186">
        <v>1345.7790527</v>
      </c>
      <c r="H1186">
        <v>1341.5383300999999</v>
      </c>
      <c r="I1186">
        <v>1322.7469481999999</v>
      </c>
      <c r="J1186">
        <v>1319.1365966999999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738.490545</v>
      </c>
      <c r="B1187" s="1">
        <f>DATE(2012,5,8) + TIME(11,46,23)</f>
        <v>41037.490543981483</v>
      </c>
      <c r="C1187">
        <v>80</v>
      </c>
      <c r="D1187">
        <v>79.967399596999996</v>
      </c>
      <c r="E1187">
        <v>50</v>
      </c>
      <c r="F1187">
        <v>49.314460754000002</v>
      </c>
      <c r="G1187">
        <v>1345.7667236</v>
      </c>
      <c r="H1187">
        <v>1341.5289307</v>
      </c>
      <c r="I1187">
        <v>1322.7458495999999</v>
      </c>
      <c r="J1187">
        <v>1319.1348877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738.72658000000001</v>
      </c>
      <c r="B1188" s="1">
        <f>DATE(2012,5,8) + TIME(17,26,16)</f>
        <v>41037.726574074077</v>
      </c>
      <c r="C1188">
        <v>80</v>
      </c>
      <c r="D1188">
        <v>79.967422485</v>
      </c>
      <c r="E1188">
        <v>50</v>
      </c>
      <c r="F1188">
        <v>49.297000885000003</v>
      </c>
      <c r="G1188">
        <v>1345.7545166</v>
      </c>
      <c r="H1188">
        <v>1341.5196533000001</v>
      </c>
      <c r="I1188">
        <v>1322.744751</v>
      </c>
      <c r="J1188">
        <v>1319.1331786999999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738.96654799999999</v>
      </c>
      <c r="B1189" s="1">
        <f>DATE(2012,5,8) + TIME(23,11,49)</f>
        <v>41037.966539351852</v>
      </c>
      <c r="C1189">
        <v>80</v>
      </c>
      <c r="D1189">
        <v>79.967430114999999</v>
      </c>
      <c r="E1189">
        <v>50</v>
      </c>
      <c r="F1189">
        <v>49.279319762999997</v>
      </c>
      <c r="G1189">
        <v>1345.7423096</v>
      </c>
      <c r="H1189">
        <v>1341.5104980000001</v>
      </c>
      <c r="I1189">
        <v>1322.7435303</v>
      </c>
      <c r="J1189">
        <v>1319.1314697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739.211006</v>
      </c>
      <c r="B1190" s="1">
        <f>DATE(2012,5,9) + TIME(5,3,50)</f>
        <v>41038.210995370369</v>
      </c>
      <c r="C1190">
        <v>80</v>
      </c>
      <c r="D1190">
        <v>79.967437743999994</v>
      </c>
      <c r="E1190">
        <v>50</v>
      </c>
      <c r="F1190">
        <v>49.261386870999999</v>
      </c>
      <c r="G1190">
        <v>1345.7302245999999</v>
      </c>
      <c r="H1190">
        <v>1341.5013428</v>
      </c>
      <c r="I1190">
        <v>1322.7423096</v>
      </c>
      <c r="J1190">
        <v>1319.1297606999999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739.46054000000004</v>
      </c>
      <c r="B1191" s="1">
        <f>DATE(2012,5,9) + TIME(11,3,10)</f>
        <v>41038.460532407407</v>
      </c>
      <c r="C1191">
        <v>80</v>
      </c>
      <c r="D1191">
        <v>79.967437743999994</v>
      </c>
      <c r="E1191">
        <v>50</v>
      </c>
      <c r="F1191">
        <v>49.243171691999997</v>
      </c>
      <c r="G1191">
        <v>1345.7180175999999</v>
      </c>
      <c r="H1191">
        <v>1341.4921875</v>
      </c>
      <c r="I1191">
        <v>1322.7410889</v>
      </c>
      <c r="J1191">
        <v>1319.1279297000001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739.715779</v>
      </c>
      <c r="B1192" s="1">
        <f>DATE(2012,5,9) + TIME(17,10,43)</f>
        <v>41038.715775462966</v>
      </c>
      <c r="C1192">
        <v>80</v>
      </c>
      <c r="D1192">
        <v>79.967437743999994</v>
      </c>
      <c r="E1192">
        <v>50</v>
      </c>
      <c r="F1192">
        <v>49.224639893000003</v>
      </c>
      <c r="G1192">
        <v>1345.7058105000001</v>
      </c>
      <c r="H1192">
        <v>1341.4830322</v>
      </c>
      <c r="I1192">
        <v>1322.7398682</v>
      </c>
      <c r="J1192">
        <v>1319.1260986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739.97740399999998</v>
      </c>
      <c r="B1193" s="1">
        <f>DATE(2012,5,9) + TIME(23,27,27)</f>
        <v>41038.977395833332</v>
      </c>
      <c r="C1193">
        <v>80</v>
      </c>
      <c r="D1193">
        <v>79.967437743999994</v>
      </c>
      <c r="E1193">
        <v>50</v>
      </c>
      <c r="F1193">
        <v>49.205749511999997</v>
      </c>
      <c r="G1193">
        <v>1345.6934814000001</v>
      </c>
      <c r="H1193">
        <v>1341.4738769999999</v>
      </c>
      <c r="I1193">
        <v>1322.7385254000001</v>
      </c>
      <c r="J1193">
        <v>1319.1241454999999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740.24498900000003</v>
      </c>
      <c r="B1194" s="1">
        <f>DATE(2012,5,10) + TIME(5,52,47)</f>
        <v>41039.244988425926</v>
      </c>
      <c r="C1194">
        <v>80</v>
      </c>
      <c r="D1194">
        <v>79.967430114999999</v>
      </c>
      <c r="E1194">
        <v>50</v>
      </c>
      <c r="F1194">
        <v>49.186519623000002</v>
      </c>
      <c r="G1194">
        <v>1345.6811522999999</v>
      </c>
      <c r="H1194">
        <v>1341.4645995999999</v>
      </c>
      <c r="I1194">
        <v>1322.7371826000001</v>
      </c>
      <c r="J1194">
        <v>1319.1223144999999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740.51628800000003</v>
      </c>
      <c r="B1195" s="1">
        <f>DATE(2012,5,10) + TIME(12,23,27)</f>
        <v>41039.516284722224</v>
      </c>
      <c r="C1195">
        <v>80</v>
      </c>
      <c r="D1195">
        <v>79.967422485</v>
      </c>
      <c r="E1195">
        <v>50</v>
      </c>
      <c r="F1195">
        <v>49.167076111</v>
      </c>
      <c r="G1195">
        <v>1345.6688231999999</v>
      </c>
      <c r="H1195">
        <v>1341.4554443</v>
      </c>
      <c r="I1195">
        <v>1322.7358397999999</v>
      </c>
      <c r="J1195">
        <v>1319.1202393000001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740.79198099999996</v>
      </c>
      <c r="B1196" s="1">
        <f>DATE(2012,5,10) + TIME(19,0,27)</f>
        <v>41039.791979166665</v>
      </c>
      <c r="C1196">
        <v>80</v>
      </c>
      <c r="D1196">
        <v>79.967414856000005</v>
      </c>
      <c r="E1196">
        <v>50</v>
      </c>
      <c r="F1196">
        <v>49.147388458000002</v>
      </c>
      <c r="G1196">
        <v>1345.6566161999999</v>
      </c>
      <c r="H1196">
        <v>1341.4464111</v>
      </c>
      <c r="I1196">
        <v>1322.7344971</v>
      </c>
      <c r="J1196">
        <v>1319.1182861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741.07244300000002</v>
      </c>
      <c r="B1197" s="1">
        <f>DATE(2012,5,11) + TIME(1,44,19)</f>
        <v>41040.072442129633</v>
      </c>
      <c r="C1197">
        <v>80</v>
      </c>
      <c r="D1197">
        <v>79.967407226999995</v>
      </c>
      <c r="E1197">
        <v>50</v>
      </c>
      <c r="F1197">
        <v>49.127445221000002</v>
      </c>
      <c r="G1197">
        <v>1345.6442870999999</v>
      </c>
      <c r="H1197">
        <v>1341.4372559000001</v>
      </c>
      <c r="I1197">
        <v>1322.7330322</v>
      </c>
      <c r="J1197">
        <v>1319.1162108999999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741.35813900000005</v>
      </c>
      <c r="B1198" s="1">
        <f>DATE(2012,5,11) + TIME(8,35,43)</f>
        <v>41040.358136574076</v>
      </c>
      <c r="C1198">
        <v>80</v>
      </c>
      <c r="D1198">
        <v>79.967391968000001</v>
      </c>
      <c r="E1198">
        <v>50</v>
      </c>
      <c r="F1198">
        <v>49.107219696000001</v>
      </c>
      <c r="G1198">
        <v>1345.6320800999999</v>
      </c>
      <c r="H1198">
        <v>1341.4283447</v>
      </c>
      <c r="I1198">
        <v>1322.7315673999999</v>
      </c>
      <c r="J1198">
        <v>1319.1141356999999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741.64967200000001</v>
      </c>
      <c r="B1199" s="1">
        <f>DATE(2012,5,11) + TIME(15,35,31)</f>
        <v>41040.649664351855</v>
      </c>
      <c r="C1199">
        <v>80</v>
      </c>
      <c r="D1199">
        <v>79.967384338000002</v>
      </c>
      <c r="E1199">
        <v>50</v>
      </c>
      <c r="F1199">
        <v>49.086681366000001</v>
      </c>
      <c r="G1199">
        <v>1345.6199951000001</v>
      </c>
      <c r="H1199">
        <v>1341.4193115</v>
      </c>
      <c r="I1199">
        <v>1322.7301024999999</v>
      </c>
      <c r="J1199">
        <v>1319.1120605000001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741.94768699999997</v>
      </c>
      <c r="B1200" s="1">
        <f>DATE(2012,5,11) + TIME(22,44,40)</f>
        <v>41040.947685185187</v>
      </c>
      <c r="C1200">
        <v>80</v>
      </c>
      <c r="D1200">
        <v>79.967369079999997</v>
      </c>
      <c r="E1200">
        <v>50</v>
      </c>
      <c r="F1200">
        <v>49.065799712999997</v>
      </c>
      <c r="G1200">
        <v>1345.6077881000001</v>
      </c>
      <c r="H1200">
        <v>1341.4104004000001</v>
      </c>
      <c r="I1200">
        <v>1322.7286377</v>
      </c>
      <c r="J1200">
        <v>1319.1098632999999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742.25288599999999</v>
      </c>
      <c r="B1201" s="1">
        <f>DATE(2012,5,12) + TIME(6,4,9)</f>
        <v>41041.252881944441</v>
      </c>
      <c r="C1201">
        <v>80</v>
      </c>
      <c r="D1201">
        <v>79.967353821000003</v>
      </c>
      <c r="E1201">
        <v>50</v>
      </c>
      <c r="F1201">
        <v>49.044532775999997</v>
      </c>
      <c r="G1201">
        <v>1345.5955810999999</v>
      </c>
      <c r="H1201">
        <v>1341.4014893000001</v>
      </c>
      <c r="I1201">
        <v>1322.7270507999999</v>
      </c>
      <c r="J1201">
        <v>1319.1075439000001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742.56603299999995</v>
      </c>
      <c r="B1202" s="1">
        <f>DATE(2012,5,12) + TIME(13,35,5)</f>
        <v>41041.566030092596</v>
      </c>
      <c r="C1202">
        <v>80</v>
      </c>
      <c r="D1202">
        <v>79.967338561999995</v>
      </c>
      <c r="E1202">
        <v>50</v>
      </c>
      <c r="F1202">
        <v>49.022842406999999</v>
      </c>
      <c r="G1202">
        <v>1345.5832519999999</v>
      </c>
      <c r="H1202">
        <v>1341.3924560999999</v>
      </c>
      <c r="I1202">
        <v>1322.7254639</v>
      </c>
      <c r="J1202">
        <v>1319.1052245999999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742.887969</v>
      </c>
      <c r="B1203" s="1">
        <f>DATE(2012,5,12) + TIME(21,18,40)</f>
        <v>41041.887962962966</v>
      </c>
      <c r="C1203">
        <v>80</v>
      </c>
      <c r="D1203">
        <v>79.967330933</v>
      </c>
      <c r="E1203">
        <v>50</v>
      </c>
      <c r="F1203">
        <v>49.000675201</v>
      </c>
      <c r="G1203">
        <v>1345.5709228999999</v>
      </c>
      <c r="H1203">
        <v>1341.3835449000001</v>
      </c>
      <c r="I1203">
        <v>1322.7238769999999</v>
      </c>
      <c r="J1203">
        <v>1319.1029053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743.21962499999995</v>
      </c>
      <c r="B1204" s="1">
        <f>DATE(2012,5,13) + TIME(5,16,15)</f>
        <v>41042.219618055555</v>
      </c>
      <c r="C1204">
        <v>80</v>
      </c>
      <c r="D1204">
        <v>79.967315674000005</v>
      </c>
      <c r="E1204">
        <v>50</v>
      </c>
      <c r="F1204">
        <v>48.977989196999999</v>
      </c>
      <c r="G1204">
        <v>1345.5585937999999</v>
      </c>
      <c r="H1204">
        <v>1341.3745117000001</v>
      </c>
      <c r="I1204">
        <v>1322.722168</v>
      </c>
      <c r="J1204">
        <v>1319.1004639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743.56203800000003</v>
      </c>
      <c r="B1205" s="1">
        <f>DATE(2012,5,13) + TIME(13,29,20)</f>
        <v>41042.562037037038</v>
      </c>
      <c r="C1205">
        <v>80</v>
      </c>
      <c r="D1205">
        <v>79.967300414999997</v>
      </c>
      <c r="E1205">
        <v>50</v>
      </c>
      <c r="F1205">
        <v>48.954723358000003</v>
      </c>
      <c r="G1205">
        <v>1345.5460204999999</v>
      </c>
      <c r="H1205">
        <v>1341.3653564000001</v>
      </c>
      <c r="I1205">
        <v>1322.7204589999999</v>
      </c>
      <c r="J1205">
        <v>1319.0979004000001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743.91226400000005</v>
      </c>
      <c r="B1206" s="1">
        <f>DATE(2012,5,13) + TIME(21,53,39)</f>
        <v>41042.912256944444</v>
      </c>
      <c r="C1206">
        <v>80</v>
      </c>
      <c r="D1206">
        <v>79.967285156000003</v>
      </c>
      <c r="E1206">
        <v>50</v>
      </c>
      <c r="F1206">
        <v>48.931007385000001</v>
      </c>
      <c r="G1206">
        <v>1345.5333252</v>
      </c>
      <c r="H1206">
        <v>1341.3562012</v>
      </c>
      <c r="I1206">
        <v>1322.7186279</v>
      </c>
      <c r="J1206">
        <v>1319.0953368999999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744.26746200000002</v>
      </c>
      <c r="B1207" s="1">
        <f>DATE(2012,5,14) + TIME(6,25,8)</f>
        <v>41043.267453703702</v>
      </c>
      <c r="C1207">
        <v>80</v>
      </c>
      <c r="D1207">
        <v>79.967262267999999</v>
      </c>
      <c r="E1207">
        <v>50</v>
      </c>
      <c r="F1207">
        <v>48.906990051000001</v>
      </c>
      <c r="G1207">
        <v>1345.5207519999999</v>
      </c>
      <c r="H1207">
        <v>1341.3470459</v>
      </c>
      <c r="I1207">
        <v>1322.7167969</v>
      </c>
      <c r="J1207">
        <v>1319.0926514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744.62582799999996</v>
      </c>
      <c r="B1208" s="1">
        <f>DATE(2012,5,14) + TIME(15,1,11)</f>
        <v>41043.625821759262</v>
      </c>
      <c r="C1208">
        <v>80</v>
      </c>
      <c r="D1208">
        <v>79.967247009000005</v>
      </c>
      <c r="E1208">
        <v>50</v>
      </c>
      <c r="F1208">
        <v>48.882781981999997</v>
      </c>
      <c r="G1208">
        <v>1345.5081786999999</v>
      </c>
      <c r="H1208">
        <v>1341.3380127</v>
      </c>
      <c r="I1208">
        <v>1322.7148437999999</v>
      </c>
      <c r="J1208">
        <v>1319.0899658000001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744.98820899999998</v>
      </c>
      <c r="B1209" s="1">
        <f>DATE(2012,5,14) + TIME(23,43,1)</f>
        <v>41043.988206018519</v>
      </c>
      <c r="C1209">
        <v>80</v>
      </c>
      <c r="D1209">
        <v>79.967231749999996</v>
      </c>
      <c r="E1209">
        <v>50</v>
      </c>
      <c r="F1209">
        <v>48.858367919999999</v>
      </c>
      <c r="G1209">
        <v>1345.4957274999999</v>
      </c>
      <c r="H1209">
        <v>1341.3291016000001</v>
      </c>
      <c r="I1209">
        <v>1322.7130127</v>
      </c>
      <c r="J1209">
        <v>1319.0871582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745.35526700000003</v>
      </c>
      <c r="B1210" s="1">
        <f>DATE(2012,5,15) + TIME(8,31,35)</f>
        <v>41044.355266203704</v>
      </c>
      <c r="C1210">
        <v>80</v>
      </c>
      <c r="D1210">
        <v>79.967216492000006</v>
      </c>
      <c r="E1210">
        <v>50</v>
      </c>
      <c r="F1210">
        <v>48.833732605000002</v>
      </c>
      <c r="G1210">
        <v>1345.4833983999999</v>
      </c>
      <c r="H1210">
        <v>1341.3201904</v>
      </c>
      <c r="I1210">
        <v>1322.7110596</v>
      </c>
      <c r="J1210">
        <v>1319.0843506000001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745.72781999999995</v>
      </c>
      <c r="B1211" s="1">
        <f>DATE(2012,5,15) + TIME(17,28,3)</f>
        <v>41044.727812500001</v>
      </c>
      <c r="C1211">
        <v>80</v>
      </c>
      <c r="D1211">
        <v>79.967201232999997</v>
      </c>
      <c r="E1211">
        <v>50</v>
      </c>
      <c r="F1211">
        <v>48.808849334999998</v>
      </c>
      <c r="G1211">
        <v>1345.4710693</v>
      </c>
      <c r="H1211">
        <v>1341.3115233999999</v>
      </c>
      <c r="I1211">
        <v>1322.7091064000001</v>
      </c>
      <c r="J1211">
        <v>1319.081543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746.10671400000001</v>
      </c>
      <c r="B1212" s="1">
        <f>DATE(2012,5,16) + TIME(2,33,40)</f>
        <v>41045.106712962966</v>
      </c>
      <c r="C1212">
        <v>80</v>
      </c>
      <c r="D1212">
        <v>79.967185974000003</v>
      </c>
      <c r="E1212">
        <v>50</v>
      </c>
      <c r="F1212">
        <v>48.783683777</v>
      </c>
      <c r="G1212">
        <v>1345.4588623</v>
      </c>
      <c r="H1212">
        <v>1341.3027344</v>
      </c>
      <c r="I1212">
        <v>1322.7070312000001</v>
      </c>
      <c r="J1212">
        <v>1319.0786132999999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746.49283800000001</v>
      </c>
      <c r="B1213" s="1">
        <f>DATE(2012,5,16) + TIME(11,49,41)</f>
        <v>41045.492835648147</v>
      </c>
      <c r="C1213">
        <v>80</v>
      </c>
      <c r="D1213">
        <v>79.967170714999995</v>
      </c>
      <c r="E1213">
        <v>50</v>
      </c>
      <c r="F1213">
        <v>48.758186340000002</v>
      </c>
      <c r="G1213">
        <v>1345.4467772999999</v>
      </c>
      <c r="H1213">
        <v>1341.2940673999999</v>
      </c>
      <c r="I1213">
        <v>1322.7049560999999</v>
      </c>
      <c r="J1213">
        <v>1319.0756836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746.88714300000004</v>
      </c>
      <c r="B1214" s="1">
        <f>DATE(2012,5,16) + TIME(21,17,29)</f>
        <v>41045.887141203704</v>
      </c>
      <c r="C1214">
        <v>80</v>
      </c>
      <c r="D1214">
        <v>79.967155457000004</v>
      </c>
      <c r="E1214">
        <v>50</v>
      </c>
      <c r="F1214">
        <v>48.732318878000001</v>
      </c>
      <c r="G1214">
        <v>1345.4345702999999</v>
      </c>
      <c r="H1214">
        <v>1341.2855225000001</v>
      </c>
      <c r="I1214">
        <v>1322.7028809000001</v>
      </c>
      <c r="J1214">
        <v>1319.0726318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747.29039299999999</v>
      </c>
      <c r="B1215" s="1">
        <f>DATE(2012,5,17) + TIME(6,58,9)</f>
        <v>41046.290381944447</v>
      </c>
      <c r="C1215">
        <v>80</v>
      </c>
      <c r="D1215">
        <v>79.967140197999996</v>
      </c>
      <c r="E1215">
        <v>50</v>
      </c>
      <c r="F1215">
        <v>48.706031799000002</v>
      </c>
      <c r="G1215">
        <v>1345.4224853999999</v>
      </c>
      <c r="H1215">
        <v>1341.2768555</v>
      </c>
      <c r="I1215">
        <v>1322.7006836</v>
      </c>
      <c r="J1215">
        <v>1319.0694579999999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747.69790899999998</v>
      </c>
      <c r="B1216" s="1">
        <f>DATE(2012,5,17) + TIME(16,44,59)</f>
        <v>41046.697905092595</v>
      </c>
      <c r="C1216">
        <v>80</v>
      </c>
      <c r="D1216">
        <v>79.967124939000001</v>
      </c>
      <c r="E1216">
        <v>50</v>
      </c>
      <c r="F1216">
        <v>48.679523467999999</v>
      </c>
      <c r="G1216">
        <v>1345.4102783000001</v>
      </c>
      <c r="H1216">
        <v>1341.2681885</v>
      </c>
      <c r="I1216">
        <v>1322.6984863</v>
      </c>
      <c r="J1216">
        <v>1319.0662841999999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748.11055699999997</v>
      </c>
      <c r="B1217" s="1">
        <f>DATE(2012,5,18) + TIME(2,39,12)</f>
        <v>41047.110555555555</v>
      </c>
      <c r="C1217">
        <v>80</v>
      </c>
      <c r="D1217">
        <v>79.967109679999993</v>
      </c>
      <c r="E1217">
        <v>50</v>
      </c>
      <c r="F1217">
        <v>48.652790070000002</v>
      </c>
      <c r="G1217">
        <v>1345.3981934000001</v>
      </c>
      <c r="H1217">
        <v>1341.2597656</v>
      </c>
      <c r="I1217">
        <v>1322.6962891000001</v>
      </c>
      <c r="J1217">
        <v>1319.0629882999999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748.52911200000005</v>
      </c>
      <c r="B1218" s="1">
        <f>DATE(2012,5,18) + TIME(12,41,55)</f>
        <v>41047.529108796298</v>
      </c>
      <c r="C1218">
        <v>80</v>
      </c>
      <c r="D1218">
        <v>79.967086792000003</v>
      </c>
      <c r="E1218">
        <v>50</v>
      </c>
      <c r="F1218">
        <v>48.625797272</v>
      </c>
      <c r="G1218">
        <v>1345.3862305</v>
      </c>
      <c r="H1218">
        <v>1341.2512207</v>
      </c>
      <c r="I1218">
        <v>1322.6939697</v>
      </c>
      <c r="J1218">
        <v>1319.0596923999999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748.95446400000003</v>
      </c>
      <c r="B1219" s="1">
        <f>DATE(2012,5,18) + TIME(22,54,25)</f>
        <v>41047.954456018517</v>
      </c>
      <c r="C1219">
        <v>80</v>
      </c>
      <c r="D1219">
        <v>79.967071532999995</v>
      </c>
      <c r="E1219">
        <v>50</v>
      </c>
      <c r="F1219">
        <v>48.598522185999997</v>
      </c>
      <c r="G1219">
        <v>1345.3742675999999</v>
      </c>
      <c r="H1219">
        <v>1341.2427978999999</v>
      </c>
      <c r="I1219">
        <v>1322.6916504000001</v>
      </c>
      <c r="J1219">
        <v>1319.0562743999999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749.38716899999997</v>
      </c>
      <c r="B1220" s="1">
        <f>DATE(2012,5,19) + TIME(9,17,31)</f>
        <v>41048.387164351851</v>
      </c>
      <c r="C1220">
        <v>80</v>
      </c>
      <c r="D1220">
        <v>79.967056274000001</v>
      </c>
      <c r="E1220">
        <v>50</v>
      </c>
      <c r="F1220">
        <v>48.57093811</v>
      </c>
      <c r="G1220">
        <v>1345.3623047000001</v>
      </c>
      <c r="H1220">
        <v>1341.2344971</v>
      </c>
      <c r="I1220">
        <v>1322.6892089999999</v>
      </c>
      <c r="J1220">
        <v>1319.0527344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749.82672100000002</v>
      </c>
      <c r="B1221" s="1">
        <f>DATE(2012,5,19) + TIME(19,50,28)</f>
        <v>41048.82671296296</v>
      </c>
      <c r="C1221">
        <v>80</v>
      </c>
      <c r="D1221">
        <v>79.967041015999996</v>
      </c>
      <c r="E1221">
        <v>50</v>
      </c>
      <c r="F1221">
        <v>48.543056487999998</v>
      </c>
      <c r="G1221">
        <v>1345.3504639</v>
      </c>
      <c r="H1221">
        <v>1341.2260742000001</v>
      </c>
      <c r="I1221">
        <v>1322.6867675999999</v>
      </c>
      <c r="J1221">
        <v>1319.0491943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750.27403700000002</v>
      </c>
      <c r="B1222" s="1">
        <f>DATE(2012,5,20) + TIME(6,34,36)</f>
        <v>41049.274027777778</v>
      </c>
      <c r="C1222">
        <v>80</v>
      </c>
      <c r="D1222">
        <v>79.967025757000002</v>
      </c>
      <c r="E1222">
        <v>50</v>
      </c>
      <c r="F1222">
        <v>48.514854431000003</v>
      </c>
      <c r="G1222">
        <v>1345.338501</v>
      </c>
      <c r="H1222">
        <v>1341.2177733999999</v>
      </c>
      <c r="I1222">
        <v>1322.6843262</v>
      </c>
      <c r="J1222">
        <v>1319.0455322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750.73007500000006</v>
      </c>
      <c r="B1223" s="1">
        <f>DATE(2012,5,20) + TIME(17,31,18)</f>
        <v>41049.730069444442</v>
      </c>
      <c r="C1223">
        <v>80</v>
      </c>
      <c r="D1223">
        <v>79.967010497999993</v>
      </c>
      <c r="E1223">
        <v>50</v>
      </c>
      <c r="F1223">
        <v>48.486278534</v>
      </c>
      <c r="G1223">
        <v>1345.3266602000001</v>
      </c>
      <c r="H1223">
        <v>1341.2094727000001</v>
      </c>
      <c r="I1223">
        <v>1322.6817627</v>
      </c>
      <c r="J1223">
        <v>1319.0418701000001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751.19588299999998</v>
      </c>
      <c r="B1224" s="1">
        <f>DATE(2012,5,21) + TIME(4,42,4)</f>
        <v>41050.195879629631</v>
      </c>
      <c r="C1224">
        <v>80</v>
      </c>
      <c r="D1224">
        <v>79.966995238999999</v>
      </c>
      <c r="E1224">
        <v>50</v>
      </c>
      <c r="F1224">
        <v>48.457286834999998</v>
      </c>
      <c r="G1224">
        <v>1345.3148193</v>
      </c>
      <c r="H1224">
        <v>1341.2011719</v>
      </c>
      <c r="I1224">
        <v>1322.6790771000001</v>
      </c>
      <c r="J1224">
        <v>1319.0380858999999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751.67012699999998</v>
      </c>
      <c r="B1225" s="1">
        <f>DATE(2012,5,21) + TIME(16,4,59)</f>
        <v>41050.670127314814</v>
      </c>
      <c r="C1225">
        <v>80</v>
      </c>
      <c r="D1225">
        <v>79.966979980000005</v>
      </c>
      <c r="E1225">
        <v>50</v>
      </c>
      <c r="F1225">
        <v>48.427921294999997</v>
      </c>
      <c r="G1225">
        <v>1345.3028564000001</v>
      </c>
      <c r="H1225">
        <v>1341.1929932</v>
      </c>
      <c r="I1225">
        <v>1322.6763916</v>
      </c>
      <c r="J1225">
        <v>1319.0341797000001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752.14881000000003</v>
      </c>
      <c r="B1226" s="1">
        <f>DATE(2012,5,22) + TIME(3,34,17)</f>
        <v>41051.14880787037</v>
      </c>
      <c r="C1226">
        <v>80</v>
      </c>
      <c r="D1226">
        <v>79.966964722</v>
      </c>
      <c r="E1226">
        <v>50</v>
      </c>
      <c r="F1226">
        <v>48.398349762000002</v>
      </c>
      <c r="G1226">
        <v>1345.2910156</v>
      </c>
      <c r="H1226">
        <v>1341.1846923999999</v>
      </c>
      <c r="I1226">
        <v>1322.6737060999999</v>
      </c>
      <c r="J1226">
        <v>1319.0301514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752.63305100000002</v>
      </c>
      <c r="B1227" s="1">
        <f>DATE(2012,5,22) + TIME(15,11,35)</f>
        <v>41051.633043981485</v>
      </c>
      <c r="C1227">
        <v>80</v>
      </c>
      <c r="D1227">
        <v>79.966949463000006</v>
      </c>
      <c r="E1227">
        <v>50</v>
      </c>
      <c r="F1227">
        <v>48.368556976000001</v>
      </c>
      <c r="G1227">
        <v>1345.2791748</v>
      </c>
      <c r="H1227">
        <v>1341.1765137</v>
      </c>
      <c r="I1227">
        <v>1322.6708983999999</v>
      </c>
      <c r="J1227">
        <v>1319.026001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753.12396699999999</v>
      </c>
      <c r="B1228" s="1">
        <f>DATE(2012,5,23) + TIME(2,58,30)</f>
        <v>41052.12395833333</v>
      </c>
      <c r="C1228">
        <v>80</v>
      </c>
      <c r="D1228">
        <v>79.966934203999998</v>
      </c>
      <c r="E1228">
        <v>50</v>
      </c>
      <c r="F1228">
        <v>48.338516235</v>
      </c>
      <c r="G1228">
        <v>1345.2674560999999</v>
      </c>
      <c r="H1228">
        <v>1341.1683350000001</v>
      </c>
      <c r="I1228">
        <v>1322.6679687999999</v>
      </c>
      <c r="J1228">
        <v>1319.0218506000001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753.62271799999996</v>
      </c>
      <c r="B1229" s="1">
        <f>DATE(2012,5,23) + TIME(14,56,42)</f>
        <v>41052.622708333336</v>
      </c>
      <c r="C1229">
        <v>80</v>
      </c>
      <c r="D1229">
        <v>79.966926575000002</v>
      </c>
      <c r="E1229">
        <v>50</v>
      </c>
      <c r="F1229">
        <v>48.308189392000003</v>
      </c>
      <c r="G1229">
        <v>1345.2557373</v>
      </c>
      <c r="H1229">
        <v>1341.1602783000001</v>
      </c>
      <c r="I1229">
        <v>1322.6650391000001</v>
      </c>
      <c r="J1229">
        <v>1319.0175781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754.13053600000001</v>
      </c>
      <c r="B1230" s="1">
        <f>DATE(2012,5,24) + TIME(3,7,58)</f>
        <v>41053.130532407406</v>
      </c>
      <c r="C1230">
        <v>80</v>
      </c>
      <c r="D1230">
        <v>79.966911315999994</v>
      </c>
      <c r="E1230">
        <v>50</v>
      </c>
      <c r="F1230">
        <v>48.277523041000002</v>
      </c>
      <c r="G1230">
        <v>1345.2440185999999</v>
      </c>
      <c r="H1230">
        <v>1341.1522216999999</v>
      </c>
      <c r="I1230">
        <v>1322.6621094</v>
      </c>
      <c r="J1230">
        <v>1319.0131836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754.649047</v>
      </c>
      <c r="B1231" s="1">
        <f>DATE(2012,5,24) + TIME(15,34,37)</f>
        <v>41053.649039351854</v>
      </c>
      <c r="C1231">
        <v>80</v>
      </c>
      <c r="D1231">
        <v>79.966896057</v>
      </c>
      <c r="E1231">
        <v>50</v>
      </c>
      <c r="F1231">
        <v>48.246444701999998</v>
      </c>
      <c r="G1231">
        <v>1345.2324219</v>
      </c>
      <c r="H1231">
        <v>1341.1441649999999</v>
      </c>
      <c r="I1231">
        <v>1322.6590576000001</v>
      </c>
      <c r="J1231">
        <v>1319.0086670000001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755.17998</v>
      </c>
      <c r="B1232" s="1">
        <f>DATE(2012,5,25) + TIME(4,19,10)</f>
        <v>41054.179976851854</v>
      </c>
      <c r="C1232">
        <v>80</v>
      </c>
      <c r="D1232">
        <v>79.966880798000005</v>
      </c>
      <c r="E1232">
        <v>50</v>
      </c>
      <c r="F1232">
        <v>48.214874268000003</v>
      </c>
      <c r="G1232">
        <v>1345.2207031</v>
      </c>
      <c r="H1232">
        <v>1341.1361084</v>
      </c>
      <c r="I1232">
        <v>1322.6558838000001</v>
      </c>
      <c r="J1232">
        <v>1319.0040283000001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755.72006299999998</v>
      </c>
      <c r="B1233" s="1">
        <f>DATE(2012,5,25) + TIME(17,16,53)</f>
        <v>41054.720057870371</v>
      </c>
      <c r="C1233">
        <v>80</v>
      </c>
      <c r="D1233">
        <v>79.966865540000001</v>
      </c>
      <c r="E1233">
        <v>50</v>
      </c>
      <c r="F1233">
        <v>48.182907104000002</v>
      </c>
      <c r="G1233">
        <v>1345.2088623</v>
      </c>
      <c r="H1233">
        <v>1341.1279297000001</v>
      </c>
      <c r="I1233">
        <v>1322.6525879000001</v>
      </c>
      <c r="J1233">
        <v>1318.9992675999999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756.26285199999995</v>
      </c>
      <c r="B1234" s="1">
        <f>DATE(2012,5,26) + TIME(6,18,30)</f>
        <v>41055.26284722222</v>
      </c>
      <c r="C1234">
        <v>80</v>
      </c>
      <c r="D1234">
        <v>79.966850281000006</v>
      </c>
      <c r="E1234">
        <v>50</v>
      </c>
      <c r="F1234">
        <v>48.150798797999997</v>
      </c>
      <c r="G1234">
        <v>1345.1971435999999</v>
      </c>
      <c r="H1234">
        <v>1341.1198730000001</v>
      </c>
      <c r="I1234">
        <v>1322.6491699000001</v>
      </c>
      <c r="J1234">
        <v>1318.9943848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756.80944</v>
      </c>
      <c r="B1235" s="1">
        <f>DATE(2012,5,26) + TIME(19,25,35)</f>
        <v>41055.809432870374</v>
      </c>
      <c r="C1235">
        <v>80</v>
      </c>
      <c r="D1235">
        <v>79.966835021999998</v>
      </c>
      <c r="E1235">
        <v>50</v>
      </c>
      <c r="F1235">
        <v>48.118568420000003</v>
      </c>
      <c r="G1235">
        <v>1345.1854248</v>
      </c>
      <c r="H1235">
        <v>1341.1119385</v>
      </c>
      <c r="I1235">
        <v>1322.645874</v>
      </c>
      <c r="J1235">
        <v>1318.9893798999999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757.36090200000001</v>
      </c>
      <c r="B1236" s="1">
        <f>DATE(2012,5,27) + TIME(8,39,41)</f>
        <v>41056.360891203702</v>
      </c>
      <c r="C1236">
        <v>80</v>
      </c>
      <c r="D1236">
        <v>79.966827393000003</v>
      </c>
      <c r="E1236">
        <v>50</v>
      </c>
      <c r="F1236">
        <v>48.086215973000002</v>
      </c>
      <c r="G1236">
        <v>1345.1738281</v>
      </c>
      <c r="H1236">
        <v>1341.1040039</v>
      </c>
      <c r="I1236">
        <v>1322.6423339999999</v>
      </c>
      <c r="J1236">
        <v>1318.984375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757.91859199999999</v>
      </c>
      <c r="B1237" s="1">
        <f>DATE(2012,5,27) + TIME(22,2,46)</f>
        <v>41056.918587962966</v>
      </c>
      <c r="C1237">
        <v>80</v>
      </c>
      <c r="D1237">
        <v>79.966812133999994</v>
      </c>
      <c r="E1237">
        <v>50</v>
      </c>
      <c r="F1237">
        <v>48.053699493000003</v>
      </c>
      <c r="G1237">
        <v>1345.1624756000001</v>
      </c>
      <c r="H1237">
        <v>1341.0961914</v>
      </c>
      <c r="I1237">
        <v>1322.6387939000001</v>
      </c>
      <c r="J1237">
        <v>1318.9792480000001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758.48339499999997</v>
      </c>
      <c r="B1238" s="1">
        <f>DATE(2012,5,28) + TIME(11,36,5)</f>
        <v>41057.483391203707</v>
      </c>
      <c r="C1238">
        <v>80</v>
      </c>
      <c r="D1238">
        <v>79.966796875</v>
      </c>
      <c r="E1238">
        <v>50</v>
      </c>
      <c r="F1238">
        <v>48.020988463999998</v>
      </c>
      <c r="G1238">
        <v>1345.151001</v>
      </c>
      <c r="H1238">
        <v>1341.0883789</v>
      </c>
      <c r="I1238">
        <v>1322.6352539</v>
      </c>
      <c r="J1238">
        <v>1318.9738769999999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759.05647499999998</v>
      </c>
      <c r="B1239" s="1">
        <f>DATE(2012,5,29) + TIME(1,21,19)</f>
        <v>41058.056469907409</v>
      </c>
      <c r="C1239">
        <v>80</v>
      </c>
      <c r="D1239">
        <v>79.966781616000006</v>
      </c>
      <c r="E1239">
        <v>50</v>
      </c>
      <c r="F1239">
        <v>47.988033295000001</v>
      </c>
      <c r="G1239">
        <v>1345.1396483999999</v>
      </c>
      <c r="H1239">
        <v>1341.0805664</v>
      </c>
      <c r="I1239">
        <v>1322.6315918</v>
      </c>
      <c r="J1239">
        <v>1318.9685059000001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759.63905699999998</v>
      </c>
      <c r="B1240" s="1">
        <f>DATE(2012,5,29) + TIME(15,20,14)</f>
        <v>41058.639050925929</v>
      </c>
      <c r="C1240">
        <v>80</v>
      </c>
      <c r="D1240">
        <v>79.966773986999996</v>
      </c>
      <c r="E1240">
        <v>50</v>
      </c>
      <c r="F1240">
        <v>47.954780579000001</v>
      </c>
      <c r="G1240">
        <v>1345.1282959</v>
      </c>
      <c r="H1240">
        <v>1341.072876</v>
      </c>
      <c r="I1240">
        <v>1322.6278076000001</v>
      </c>
      <c r="J1240">
        <v>1318.9630127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760.23244799999998</v>
      </c>
      <c r="B1241" s="1">
        <f>DATE(2012,5,30) + TIME(5,34,43)</f>
        <v>41059.232442129629</v>
      </c>
      <c r="C1241">
        <v>80</v>
      </c>
      <c r="D1241">
        <v>79.966758728000002</v>
      </c>
      <c r="E1241">
        <v>50</v>
      </c>
      <c r="F1241">
        <v>47.921169280999997</v>
      </c>
      <c r="G1241">
        <v>1345.1169434000001</v>
      </c>
      <c r="H1241">
        <v>1341.0651855000001</v>
      </c>
      <c r="I1241">
        <v>1322.6239014</v>
      </c>
      <c r="J1241">
        <v>1318.9572754000001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760.83805299999995</v>
      </c>
      <c r="B1242" s="1">
        <f>DATE(2012,5,30) + TIME(20,6,47)</f>
        <v>41059.838043981479</v>
      </c>
      <c r="C1242">
        <v>80</v>
      </c>
      <c r="D1242">
        <v>79.966743468999994</v>
      </c>
      <c r="E1242">
        <v>50</v>
      </c>
      <c r="F1242">
        <v>47.887138366999999</v>
      </c>
      <c r="G1242">
        <v>1345.1055908000001</v>
      </c>
      <c r="H1242">
        <v>1341.0573730000001</v>
      </c>
      <c r="I1242">
        <v>1322.6199951000001</v>
      </c>
      <c r="J1242">
        <v>1318.9514160000001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761.457086</v>
      </c>
      <c r="B1243" s="1">
        <f>DATE(2012,5,31) + TIME(10,58,12)</f>
        <v>41060.457083333335</v>
      </c>
      <c r="C1243">
        <v>80</v>
      </c>
      <c r="D1243">
        <v>79.966735839999998</v>
      </c>
      <c r="E1243">
        <v>50</v>
      </c>
      <c r="F1243">
        <v>47.852619171000001</v>
      </c>
      <c r="G1243">
        <v>1345.0941161999999</v>
      </c>
      <c r="H1243">
        <v>1341.0496826000001</v>
      </c>
      <c r="I1243">
        <v>1322.6158447</v>
      </c>
      <c r="J1243">
        <v>1318.9454346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762</v>
      </c>
      <c r="B1244" s="1">
        <f>DATE(2012,6,1) + TIME(0,0,0)</f>
        <v>41061</v>
      </c>
      <c r="C1244">
        <v>80</v>
      </c>
      <c r="D1244">
        <v>79.966720581000004</v>
      </c>
      <c r="E1244">
        <v>50</v>
      </c>
      <c r="F1244">
        <v>47.820644379000001</v>
      </c>
      <c r="G1244">
        <v>1345.0827637</v>
      </c>
      <c r="H1244">
        <v>1341.0419922000001</v>
      </c>
      <c r="I1244">
        <v>1322.6115723</v>
      </c>
      <c r="J1244">
        <v>1318.9393310999999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762.62766399999998</v>
      </c>
      <c r="B1245" s="1">
        <f>DATE(2012,6,1) + TIME(15,3,50)</f>
        <v>41061.627662037034</v>
      </c>
      <c r="C1245">
        <v>80</v>
      </c>
      <c r="D1245">
        <v>79.966712951999995</v>
      </c>
      <c r="E1245">
        <v>50</v>
      </c>
      <c r="F1245">
        <v>47.786506653000004</v>
      </c>
      <c r="G1245">
        <v>1345.0726318</v>
      </c>
      <c r="H1245">
        <v>1341.0350341999999</v>
      </c>
      <c r="I1245">
        <v>1322.6077881000001</v>
      </c>
      <c r="J1245">
        <v>1318.9334716999999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763.27746400000001</v>
      </c>
      <c r="B1246" s="1">
        <f>DATE(2012,6,2) + TIME(6,39,32)</f>
        <v>41062.277453703704</v>
      </c>
      <c r="C1246">
        <v>80</v>
      </c>
      <c r="D1246">
        <v>79.966697693</v>
      </c>
      <c r="E1246">
        <v>50</v>
      </c>
      <c r="F1246">
        <v>47.751411437999998</v>
      </c>
      <c r="G1246">
        <v>1345.0612793</v>
      </c>
      <c r="H1246">
        <v>1341.0274658000001</v>
      </c>
      <c r="I1246">
        <v>1322.6033935999999</v>
      </c>
      <c r="J1246">
        <v>1318.9270019999999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763.93760999999995</v>
      </c>
      <c r="B1247" s="1">
        <f>DATE(2012,6,2) + TIME(22,30,9)</f>
        <v>41062.937604166669</v>
      </c>
      <c r="C1247">
        <v>80</v>
      </c>
      <c r="D1247">
        <v>79.966690063000001</v>
      </c>
      <c r="E1247">
        <v>50</v>
      </c>
      <c r="F1247">
        <v>47.715705872000001</v>
      </c>
      <c r="G1247">
        <v>1345.0498047000001</v>
      </c>
      <c r="H1247">
        <v>1341.0196533000001</v>
      </c>
      <c r="I1247">
        <v>1322.5987548999999</v>
      </c>
      <c r="J1247">
        <v>1318.9202881000001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764.60852699999998</v>
      </c>
      <c r="B1248" s="1">
        <f>DATE(2012,6,3) + TIME(14,36,16)</f>
        <v>41063.608518518522</v>
      </c>
      <c r="C1248">
        <v>80</v>
      </c>
      <c r="D1248">
        <v>79.966674804999997</v>
      </c>
      <c r="E1248">
        <v>50</v>
      </c>
      <c r="F1248">
        <v>47.679492949999997</v>
      </c>
      <c r="G1248">
        <v>1345.0382079999999</v>
      </c>
      <c r="H1248">
        <v>1341.0118408000001</v>
      </c>
      <c r="I1248">
        <v>1322.5941161999999</v>
      </c>
      <c r="J1248">
        <v>1318.9133300999999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765.29218900000001</v>
      </c>
      <c r="B1249" s="1">
        <f>DATE(2012,6,4) + TIME(7,0,45)</f>
        <v>41064.292187500003</v>
      </c>
      <c r="C1249">
        <v>80</v>
      </c>
      <c r="D1249">
        <v>79.966659546000002</v>
      </c>
      <c r="E1249">
        <v>50</v>
      </c>
      <c r="F1249">
        <v>47.642784118999998</v>
      </c>
      <c r="G1249">
        <v>1345.0266113</v>
      </c>
      <c r="H1249">
        <v>1341.0040283000001</v>
      </c>
      <c r="I1249">
        <v>1322.5892334</v>
      </c>
      <c r="J1249">
        <v>1318.9061279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765.97777299999996</v>
      </c>
      <c r="B1250" s="1">
        <f>DATE(2012,6,4) + TIME(23,27,59)</f>
        <v>41064.977766203701</v>
      </c>
      <c r="C1250">
        <v>80</v>
      </c>
      <c r="D1250">
        <v>79.966651916999993</v>
      </c>
      <c r="E1250">
        <v>50</v>
      </c>
      <c r="F1250">
        <v>47.605918883999998</v>
      </c>
      <c r="G1250">
        <v>1345.0151367000001</v>
      </c>
      <c r="H1250">
        <v>1340.9962158000001</v>
      </c>
      <c r="I1250">
        <v>1322.5841064000001</v>
      </c>
      <c r="J1250">
        <v>1318.8986815999999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766.66673700000001</v>
      </c>
      <c r="B1251" s="1">
        <f>DATE(2012,6,5) + TIME(16,0,6)</f>
        <v>41065.66673611111</v>
      </c>
      <c r="C1251">
        <v>80</v>
      </c>
      <c r="D1251">
        <v>79.966636657999999</v>
      </c>
      <c r="E1251">
        <v>50</v>
      </c>
      <c r="F1251">
        <v>47.568984985</v>
      </c>
      <c r="G1251">
        <v>1345.0036620999999</v>
      </c>
      <c r="H1251">
        <v>1340.9885254000001</v>
      </c>
      <c r="I1251">
        <v>1322.5789795000001</v>
      </c>
      <c r="J1251">
        <v>1318.8911132999999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767.36051699999996</v>
      </c>
      <c r="B1252" s="1">
        <f>DATE(2012,6,6) + TIME(8,39,8)</f>
        <v>41066.360509259262</v>
      </c>
      <c r="C1252">
        <v>80</v>
      </c>
      <c r="D1252">
        <v>79.966629028</v>
      </c>
      <c r="E1252">
        <v>50</v>
      </c>
      <c r="F1252">
        <v>47.531997681</v>
      </c>
      <c r="G1252">
        <v>1344.9923096</v>
      </c>
      <c r="H1252">
        <v>1340.9808350000001</v>
      </c>
      <c r="I1252">
        <v>1322.5738524999999</v>
      </c>
      <c r="J1252">
        <v>1318.8833007999999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768.06084299999998</v>
      </c>
      <c r="B1253" s="1">
        <f>DATE(2012,6,7) + TIME(1,27,36)</f>
        <v>41067.060833333337</v>
      </c>
      <c r="C1253">
        <v>80</v>
      </c>
      <c r="D1253">
        <v>79.966621399000005</v>
      </c>
      <c r="E1253">
        <v>50</v>
      </c>
      <c r="F1253">
        <v>47.494915009000003</v>
      </c>
      <c r="G1253">
        <v>1344.980957</v>
      </c>
      <c r="H1253">
        <v>1340.9732666</v>
      </c>
      <c r="I1253">
        <v>1322.5684814000001</v>
      </c>
      <c r="J1253">
        <v>1318.8754882999999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768.76896099999999</v>
      </c>
      <c r="B1254" s="1">
        <f>DATE(2012,6,7) + TIME(18,27,18)</f>
        <v>41067.768958333334</v>
      </c>
      <c r="C1254">
        <v>80</v>
      </c>
      <c r="D1254">
        <v>79.966606139999996</v>
      </c>
      <c r="E1254">
        <v>50</v>
      </c>
      <c r="F1254">
        <v>47.457702636999997</v>
      </c>
      <c r="G1254">
        <v>1344.9698486</v>
      </c>
      <c r="H1254">
        <v>1340.9656981999999</v>
      </c>
      <c r="I1254">
        <v>1322.5629882999999</v>
      </c>
      <c r="J1254">
        <v>1318.8673096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769.48635000000002</v>
      </c>
      <c r="B1255" s="1">
        <f>DATE(2012,6,8) + TIME(11,40,20)</f>
        <v>41068.486342592594</v>
      </c>
      <c r="C1255">
        <v>80</v>
      </c>
      <c r="D1255">
        <v>79.966598511000001</v>
      </c>
      <c r="E1255">
        <v>50</v>
      </c>
      <c r="F1255">
        <v>47.420299530000001</v>
      </c>
      <c r="G1255">
        <v>1344.9586182</v>
      </c>
      <c r="H1255">
        <v>1340.9581298999999</v>
      </c>
      <c r="I1255">
        <v>1322.5573730000001</v>
      </c>
      <c r="J1255">
        <v>1318.8590088000001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770.21460000000002</v>
      </c>
      <c r="B1256" s="1">
        <f>DATE(2012,6,9) + TIME(5,9,1)</f>
        <v>41069.214594907404</v>
      </c>
      <c r="C1256">
        <v>80</v>
      </c>
      <c r="D1256">
        <v>79.966590881000002</v>
      </c>
      <c r="E1256">
        <v>50</v>
      </c>
      <c r="F1256">
        <v>47.382637023999997</v>
      </c>
      <c r="G1256">
        <v>1344.9475098</v>
      </c>
      <c r="H1256">
        <v>1340.9506836</v>
      </c>
      <c r="I1256">
        <v>1322.5516356999999</v>
      </c>
      <c r="J1256">
        <v>1318.8504639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770.95538099999999</v>
      </c>
      <c r="B1257" s="1">
        <f>DATE(2012,6,9) + TIME(22,55,44)</f>
        <v>41069.955370370371</v>
      </c>
      <c r="C1257">
        <v>80</v>
      </c>
      <c r="D1257">
        <v>79.966575622999997</v>
      </c>
      <c r="E1257">
        <v>50</v>
      </c>
      <c r="F1257">
        <v>47.344650268999999</v>
      </c>
      <c r="G1257">
        <v>1344.9362793</v>
      </c>
      <c r="H1257">
        <v>1340.9431152</v>
      </c>
      <c r="I1257">
        <v>1322.5457764</v>
      </c>
      <c r="J1257">
        <v>1318.8416748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771.71078199999999</v>
      </c>
      <c r="B1258" s="1">
        <f>DATE(2012,6,10) + TIME(17,3,31)</f>
        <v>41070.710775462961</v>
      </c>
      <c r="C1258">
        <v>80</v>
      </c>
      <c r="D1258">
        <v>79.966567992999998</v>
      </c>
      <c r="E1258">
        <v>50</v>
      </c>
      <c r="F1258">
        <v>47.306251525999997</v>
      </c>
      <c r="G1258">
        <v>1344.9250488</v>
      </c>
      <c r="H1258">
        <v>1340.9356689000001</v>
      </c>
      <c r="I1258">
        <v>1322.5396728999999</v>
      </c>
      <c r="J1258">
        <v>1318.8326416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772.47810100000004</v>
      </c>
      <c r="B1259" s="1">
        <f>DATE(2012,6,11) + TIME(11,28,27)</f>
        <v>41071.478090277778</v>
      </c>
      <c r="C1259">
        <v>80</v>
      </c>
      <c r="D1259">
        <v>79.966560364000003</v>
      </c>
      <c r="E1259">
        <v>50</v>
      </c>
      <c r="F1259">
        <v>47.267482758</v>
      </c>
      <c r="G1259">
        <v>1344.9138184000001</v>
      </c>
      <c r="H1259">
        <v>1340.9281006000001</v>
      </c>
      <c r="I1259">
        <v>1322.5333252</v>
      </c>
      <c r="J1259">
        <v>1318.8232422000001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773.25454500000001</v>
      </c>
      <c r="B1260" s="1">
        <f>DATE(2012,6,12) + TIME(6,6,32)</f>
        <v>41072.254537037035</v>
      </c>
      <c r="C1260">
        <v>80</v>
      </c>
      <c r="D1260">
        <v>79.966552734000004</v>
      </c>
      <c r="E1260">
        <v>50</v>
      </c>
      <c r="F1260">
        <v>47.228424072000003</v>
      </c>
      <c r="G1260">
        <v>1344.9025879000001</v>
      </c>
      <c r="H1260">
        <v>1340.9205322</v>
      </c>
      <c r="I1260">
        <v>1322.5268555</v>
      </c>
      <c r="J1260">
        <v>1318.8135986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774.042777</v>
      </c>
      <c r="B1261" s="1">
        <f>DATE(2012,6,13) + TIME(1,1,35)</f>
        <v>41073.042766203704</v>
      </c>
      <c r="C1261">
        <v>80</v>
      </c>
      <c r="D1261">
        <v>79.966537475999999</v>
      </c>
      <c r="E1261">
        <v>50</v>
      </c>
      <c r="F1261">
        <v>47.189056395999998</v>
      </c>
      <c r="G1261">
        <v>1344.8913574000001</v>
      </c>
      <c r="H1261">
        <v>1340.9129639</v>
      </c>
      <c r="I1261">
        <v>1322.5202637</v>
      </c>
      <c r="J1261">
        <v>1318.8035889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774.84533299999998</v>
      </c>
      <c r="B1262" s="1">
        <f>DATE(2012,6,13) + TIME(20,17,16)</f>
        <v>41073.845324074071</v>
      </c>
      <c r="C1262">
        <v>80</v>
      </c>
      <c r="D1262">
        <v>79.966529846</v>
      </c>
      <c r="E1262">
        <v>50</v>
      </c>
      <c r="F1262">
        <v>47.149311066000003</v>
      </c>
      <c r="G1262">
        <v>1344.8800048999999</v>
      </c>
      <c r="H1262">
        <v>1340.9053954999999</v>
      </c>
      <c r="I1262">
        <v>1322.5133057</v>
      </c>
      <c r="J1262">
        <v>1318.7933350000001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775.66440899999998</v>
      </c>
      <c r="B1263" s="1">
        <f>DATE(2012,6,14) + TIME(15,56,44)</f>
        <v>41074.664398148147</v>
      </c>
      <c r="C1263">
        <v>80</v>
      </c>
      <c r="D1263">
        <v>79.966522217000005</v>
      </c>
      <c r="E1263">
        <v>50</v>
      </c>
      <c r="F1263">
        <v>47.109100341999998</v>
      </c>
      <c r="G1263">
        <v>1344.8687743999999</v>
      </c>
      <c r="H1263">
        <v>1340.8978271000001</v>
      </c>
      <c r="I1263">
        <v>1322.5062256000001</v>
      </c>
      <c r="J1263">
        <v>1318.7827147999999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776.50236900000004</v>
      </c>
      <c r="B1264" s="1">
        <f>DATE(2012,6,15) + TIME(12,3,24)</f>
        <v>41075.50236111111</v>
      </c>
      <c r="C1264">
        <v>80</v>
      </c>
      <c r="D1264">
        <v>79.966514587000006</v>
      </c>
      <c r="E1264">
        <v>50</v>
      </c>
      <c r="F1264">
        <v>47.068340302000003</v>
      </c>
      <c r="G1264">
        <v>1344.8572998</v>
      </c>
      <c r="H1264">
        <v>1340.8901367000001</v>
      </c>
      <c r="I1264">
        <v>1322.4989014</v>
      </c>
      <c r="J1264">
        <v>1318.7717285000001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777.34815000000003</v>
      </c>
      <c r="B1265" s="1">
        <f>DATE(2012,6,16) + TIME(8,21,20)</f>
        <v>41076.34814814815</v>
      </c>
      <c r="C1265">
        <v>80</v>
      </c>
      <c r="D1265">
        <v>79.966506957999997</v>
      </c>
      <c r="E1265">
        <v>50</v>
      </c>
      <c r="F1265">
        <v>47.027259827000002</v>
      </c>
      <c r="G1265">
        <v>1344.8458252</v>
      </c>
      <c r="H1265">
        <v>1340.8824463000001</v>
      </c>
      <c r="I1265">
        <v>1322.4912108999999</v>
      </c>
      <c r="J1265">
        <v>1318.760376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778.19732599999998</v>
      </c>
      <c r="B1266" s="1">
        <f>DATE(2012,6,17) + TIME(4,44,8)</f>
        <v>41077.197314814817</v>
      </c>
      <c r="C1266">
        <v>80</v>
      </c>
      <c r="D1266">
        <v>79.966499329000001</v>
      </c>
      <c r="E1266">
        <v>50</v>
      </c>
      <c r="F1266">
        <v>46.986080170000001</v>
      </c>
      <c r="G1266">
        <v>1344.8344727000001</v>
      </c>
      <c r="H1266">
        <v>1340.8747559000001</v>
      </c>
      <c r="I1266">
        <v>1322.4833983999999</v>
      </c>
      <c r="J1266">
        <v>1318.7486572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779.05178699999999</v>
      </c>
      <c r="B1267" s="1">
        <f>DATE(2012,6,18) + TIME(1,14,34)</f>
        <v>41078.051782407405</v>
      </c>
      <c r="C1267">
        <v>80</v>
      </c>
      <c r="D1267">
        <v>79.966491699000002</v>
      </c>
      <c r="E1267">
        <v>50</v>
      </c>
      <c r="F1267">
        <v>46.944866179999998</v>
      </c>
      <c r="G1267">
        <v>1344.8231201000001</v>
      </c>
      <c r="H1267">
        <v>1340.8671875</v>
      </c>
      <c r="I1267">
        <v>1322.4753418</v>
      </c>
      <c r="J1267">
        <v>1318.7365723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779.91377499999999</v>
      </c>
      <c r="B1268" s="1">
        <f>DATE(2012,6,18) + TIME(21,55,50)</f>
        <v>41078.913773148146</v>
      </c>
      <c r="C1268">
        <v>80</v>
      </c>
      <c r="D1268">
        <v>79.966484070000007</v>
      </c>
      <c r="E1268">
        <v>50</v>
      </c>
      <c r="F1268">
        <v>46.903598785</v>
      </c>
      <c r="G1268">
        <v>1344.8118896000001</v>
      </c>
      <c r="H1268">
        <v>1340.8596190999999</v>
      </c>
      <c r="I1268">
        <v>1322.4671631000001</v>
      </c>
      <c r="J1268">
        <v>1318.7243652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780.78490099999999</v>
      </c>
      <c r="B1269" s="1">
        <f>DATE(2012,6,19) + TIME(18,50,15)</f>
        <v>41079.784895833334</v>
      </c>
      <c r="C1269">
        <v>80</v>
      </c>
      <c r="D1269">
        <v>79.966476439999994</v>
      </c>
      <c r="E1269">
        <v>50</v>
      </c>
      <c r="F1269">
        <v>46.862236023000001</v>
      </c>
      <c r="G1269">
        <v>1344.8006591999999</v>
      </c>
      <c r="H1269">
        <v>1340.8520507999999</v>
      </c>
      <c r="I1269">
        <v>1322.4588623</v>
      </c>
      <c r="J1269">
        <v>1318.7117920000001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781.66714999999999</v>
      </c>
      <c r="B1270" s="1">
        <f>DATE(2012,6,20) + TIME(16,0,41)</f>
        <v>41080.667141203703</v>
      </c>
      <c r="C1270">
        <v>80</v>
      </c>
      <c r="D1270">
        <v>79.966468810999999</v>
      </c>
      <c r="E1270">
        <v>50</v>
      </c>
      <c r="F1270">
        <v>46.820709229000002</v>
      </c>
      <c r="G1270">
        <v>1344.7894286999999</v>
      </c>
      <c r="H1270">
        <v>1340.8446045000001</v>
      </c>
      <c r="I1270">
        <v>1322.4501952999999</v>
      </c>
      <c r="J1270">
        <v>1318.6988524999999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782.55984799999999</v>
      </c>
      <c r="B1271" s="1">
        <f>DATE(2012,6,21) + TIME(13,26,10)</f>
        <v>41081.559837962966</v>
      </c>
      <c r="C1271">
        <v>80</v>
      </c>
      <c r="D1271">
        <v>79.966461182000003</v>
      </c>
      <c r="E1271">
        <v>50</v>
      </c>
      <c r="F1271">
        <v>46.779006957999997</v>
      </c>
      <c r="G1271">
        <v>1344.7783202999999</v>
      </c>
      <c r="H1271">
        <v>1340.8370361</v>
      </c>
      <c r="I1271">
        <v>1322.4414062000001</v>
      </c>
      <c r="J1271">
        <v>1318.6855469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783.46274100000005</v>
      </c>
      <c r="B1272" s="1">
        <f>DATE(2012,6,22) + TIME(11,6,20)</f>
        <v>41082.462731481479</v>
      </c>
      <c r="C1272">
        <v>80</v>
      </c>
      <c r="D1272">
        <v>79.966461182000003</v>
      </c>
      <c r="E1272">
        <v>50</v>
      </c>
      <c r="F1272">
        <v>46.737129211000003</v>
      </c>
      <c r="G1272">
        <v>1344.7670897999999</v>
      </c>
      <c r="H1272">
        <v>1340.8295897999999</v>
      </c>
      <c r="I1272">
        <v>1322.432251</v>
      </c>
      <c r="J1272">
        <v>1318.671875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784.37759900000003</v>
      </c>
      <c r="B1273" s="1">
        <f>DATE(2012,6,23) + TIME(9,3,44)</f>
        <v>41083.377592592595</v>
      </c>
      <c r="C1273">
        <v>80</v>
      </c>
      <c r="D1273">
        <v>79.966453552000004</v>
      </c>
      <c r="E1273">
        <v>50</v>
      </c>
      <c r="F1273">
        <v>46.695045471</v>
      </c>
      <c r="G1273">
        <v>1344.7559814000001</v>
      </c>
      <c r="H1273">
        <v>1340.8221435999999</v>
      </c>
      <c r="I1273">
        <v>1322.4229736</v>
      </c>
      <c r="J1273">
        <v>1318.6578368999999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785.30649000000005</v>
      </c>
      <c r="B1274" s="1">
        <f>DATE(2012,6,24) + TIME(7,21,20)</f>
        <v>41084.306481481479</v>
      </c>
      <c r="C1274">
        <v>80</v>
      </c>
      <c r="D1274">
        <v>79.966445922999995</v>
      </c>
      <c r="E1274">
        <v>50</v>
      </c>
      <c r="F1274">
        <v>46.652694701999998</v>
      </c>
      <c r="G1274">
        <v>1344.7448730000001</v>
      </c>
      <c r="H1274">
        <v>1340.8145752</v>
      </c>
      <c r="I1274">
        <v>1322.4133300999999</v>
      </c>
      <c r="J1274">
        <v>1318.6433105000001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786.251576</v>
      </c>
      <c r="B1275" s="1">
        <f>DATE(2012,6,25) + TIME(6,2,16)</f>
        <v>41085.251574074071</v>
      </c>
      <c r="C1275">
        <v>80</v>
      </c>
      <c r="D1275">
        <v>79.966438292999996</v>
      </c>
      <c r="E1275">
        <v>50</v>
      </c>
      <c r="F1275">
        <v>46.610004425</v>
      </c>
      <c r="G1275">
        <v>1344.7336425999999</v>
      </c>
      <c r="H1275">
        <v>1340.8071289</v>
      </c>
      <c r="I1275">
        <v>1322.4034423999999</v>
      </c>
      <c r="J1275">
        <v>1318.628418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787.21670600000004</v>
      </c>
      <c r="B1276" s="1">
        <f>DATE(2012,6,26) + TIME(5,12,3)</f>
        <v>41086.21670138889</v>
      </c>
      <c r="C1276">
        <v>80</v>
      </c>
      <c r="D1276">
        <v>79.966438292999996</v>
      </c>
      <c r="E1276">
        <v>50</v>
      </c>
      <c r="F1276">
        <v>46.566860198999997</v>
      </c>
      <c r="G1276">
        <v>1344.7224120999999</v>
      </c>
      <c r="H1276">
        <v>1340.7995605000001</v>
      </c>
      <c r="I1276">
        <v>1322.3933105000001</v>
      </c>
      <c r="J1276">
        <v>1318.6129149999999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788.20508099999995</v>
      </c>
      <c r="B1277" s="1">
        <f>DATE(2012,6,27) + TIME(4,55,18)</f>
        <v>41087.205069444448</v>
      </c>
      <c r="C1277">
        <v>80</v>
      </c>
      <c r="D1277">
        <v>79.966430664000001</v>
      </c>
      <c r="E1277">
        <v>50</v>
      </c>
      <c r="F1277">
        <v>46.523147582999997</v>
      </c>
      <c r="G1277">
        <v>1344.7111815999999</v>
      </c>
      <c r="H1277">
        <v>1340.7918701000001</v>
      </c>
      <c r="I1277">
        <v>1322.3826904</v>
      </c>
      <c r="J1277">
        <v>1318.5969238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789.21000600000002</v>
      </c>
      <c r="B1278" s="1">
        <f>DATE(2012,6,28) + TIME(5,2,24)</f>
        <v>41088.21</v>
      </c>
      <c r="C1278">
        <v>80</v>
      </c>
      <c r="D1278">
        <v>79.966430664000001</v>
      </c>
      <c r="E1278">
        <v>50</v>
      </c>
      <c r="F1278">
        <v>46.478942871000001</v>
      </c>
      <c r="G1278">
        <v>1344.699707</v>
      </c>
      <c r="H1278">
        <v>1340.7841797000001</v>
      </c>
      <c r="I1278">
        <v>1322.3717041</v>
      </c>
      <c r="J1278">
        <v>1318.5802002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790.23336800000004</v>
      </c>
      <c r="B1279" s="1">
        <f>DATE(2012,6,29) + TIME(5,36,3)</f>
        <v>41089.233368055553</v>
      </c>
      <c r="C1279">
        <v>80</v>
      </c>
      <c r="D1279">
        <v>79.966423035000005</v>
      </c>
      <c r="E1279">
        <v>50</v>
      </c>
      <c r="F1279">
        <v>46.434276580999999</v>
      </c>
      <c r="G1279">
        <v>1344.6882324000001</v>
      </c>
      <c r="H1279">
        <v>1340.7764893000001</v>
      </c>
      <c r="I1279">
        <v>1322.3603516000001</v>
      </c>
      <c r="J1279">
        <v>1318.5629882999999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791.26047300000005</v>
      </c>
      <c r="B1280" s="1">
        <f>DATE(2012,6,30) + TIME(6,15,4)</f>
        <v>41090.260462962964</v>
      </c>
      <c r="C1280">
        <v>80</v>
      </c>
      <c r="D1280">
        <v>79.966423035000005</v>
      </c>
      <c r="E1280">
        <v>50</v>
      </c>
      <c r="F1280">
        <v>46.389461517000001</v>
      </c>
      <c r="G1280">
        <v>1344.6766356999999</v>
      </c>
      <c r="H1280">
        <v>1340.7686768000001</v>
      </c>
      <c r="I1280">
        <v>1322.3486327999999</v>
      </c>
      <c r="J1280">
        <v>1318.5452881000001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792</v>
      </c>
      <c r="B1281" s="1">
        <f>DATE(2012,7,1) + TIME(0,0,0)</f>
        <v>41091</v>
      </c>
      <c r="C1281">
        <v>80</v>
      </c>
      <c r="D1281">
        <v>79.966407775999997</v>
      </c>
      <c r="E1281">
        <v>50</v>
      </c>
      <c r="F1281">
        <v>46.351486205999997</v>
      </c>
      <c r="G1281">
        <v>1344.6656493999999</v>
      </c>
      <c r="H1281">
        <v>1340.7613524999999</v>
      </c>
      <c r="I1281">
        <v>1322.3370361</v>
      </c>
      <c r="J1281">
        <v>1318.527832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793.03002700000002</v>
      </c>
      <c r="B1282" s="1">
        <f>DATE(2012,7,2) + TIME(0,43,14)</f>
        <v>41092.030023148145</v>
      </c>
      <c r="C1282">
        <v>80</v>
      </c>
      <c r="D1282">
        <v>79.966415405000006</v>
      </c>
      <c r="E1282">
        <v>50</v>
      </c>
      <c r="F1282">
        <v>46.310085297000001</v>
      </c>
      <c r="G1282">
        <v>1344.6568603999999</v>
      </c>
      <c r="H1282">
        <v>1340.755249</v>
      </c>
      <c r="I1282">
        <v>1322.3275146000001</v>
      </c>
      <c r="J1282">
        <v>1318.5129394999999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794.06729900000005</v>
      </c>
      <c r="B1283" s="1">
        <f>DATE(2012,7,3) + TIME(1,36,54)</f>
        <v>41093.067291666666</v>
      </c>
      <c r="C1283">
        <v>80</v>
      </c>
      <c r="D1283">
        <v>79.966407775999997</v>
      </c>
      <c r="E1283">
        <v>50</v>
      </c>
      <c r="F1283">
        <v>46.267105102999999</v>
      </c>
      <c r="G1283">
        <v>1344.6457519999999</v>
      </c>
      <c r="H1283">
        <v>1340.7478027</v>
      </c>
      <c r="I1283">
        <v>1322.3154297000001</v>
      </c>
      <c r="J1283">
        <v>1318.4946289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795.11163299999998</v>
      </c>
      <c r="B1284" s="1">
        <f>DATE(2012,7,4) + TIME(2,40,45)</f>
        <v>41094.111631944441</v>
      </c>
      <c r="C1284">
        <v>80</v>
      </c>
      <c r="D1284">
        <v>79.966407775999997</v>
      </c>
      <c r="E1284">
        <v>50</v>
      </c>
      <c r="F1284">
        <v>46.223457336000003</v>
      </c>
      <c r="G1284">
        <v>1344.6346435999999</v>
      </c>
      <c r="H1284">
        <v>1340.7402344</v>
      </c>
      <c r="I1284">
        <v>1322.3029785000001</v>
      </c>
      <c r="J1284">
        <v>1318.4755858999999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796.16574000000003</v>
      </c>
      <c r="B1285" s="1">
        <f>DATE(2012,7,5) + TIME(3,58,39)</f>
        <v>41095.165729166663</v>
      </c>
      <c r="C1285">
        <v>80</v>
      </c>
      <c r="D1285">
        <v>79.966407775999997</v>
      </c>
      <c r="E1285">
        <v>50</v>
      </c>
      <c r="F1285">
        <v>46.179515838999997</v>
      </c>
      <c r="G1285">
        <v>1344.6235352000001</v>
      </c>
      <c r="H1285">
        <v>1340.7327881000001</v>
      </c>
      <c r="I1285">
        <v>1322.2901611</v>
      </c>
      <c r="J1285">
        <v>1318.4560547000001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797.23192800000004</v>
      </c>
      <c r="B1286" s="1">
        <f>DATE(2012,7,6) + TIME(5,33,58)</f>
        <v>41096.231921296298</v>
      </c>
      <c r="C1286">
        <v>80</v>
      </c>
      <c r="D1286">
        <v>79.966400145999998</v>
      </c>
      <c r="E1286">
        <v>50</v>
      </c>
      <c r="F1286">
        <v>46.135414124</v>
      </c>
      <c r="G1286">
        <v>1344.6124268000001</v>
      </c>
      <c r="H1286">
        <v>1340.7252197</v>
      </c>
      <c r="I1286">
        <v>1322.2769774999999</v>
      </c>
      <c r="J1286">
        <v>1318.4359131000001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798.31239700000003</v>
      </c>
      <c r="B1287" s="1">
        <f>DATE(2012,7,7) + TIME(7,29,51)</f>
        <v>41097.312395833331</v>
      </c>
      <c r="C1287">
        <v>80</v>
      </c>
      <c r="D1287">
        <v>79.966400145999998</v>
      </c>
      <c r="E1287">
        <v>50</v>
      </c>
      <c r="F1287">
        <v>46.091159820999998</v>
      </c>
      <c r="G1287">
        <v>1344.6013184000001</v>
      </c>
      <c r="H1287">
        <v>1340.7176514</v>
      </c>
      <c r="I1287">
        <v>1322.2635498</v>
      </c>
      <c r="J1287">
        <v>1318.4152832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799.40989999999999</v>
      </c>
      <c r="B1288" s="1">
        <f>DATE(2012,7,8) + TIME(9,50,15)</f>
        <v>41098.409895833334</v>
      </c>
      <c r="C1288">
        <v>80</v>
      </c>
      <c r="D1288">
        <v>79.966400145999998</v>
      </c>
      <c r="E1288">
        <v>50</v>
      </c>
      <c r="F1288">
        <v>46.046722412000001</v>
      </c>
      <c r="G1288">
        <v>1344.5902100000001</v>
      </c>
      <c r="H1288">
        <v>1340.7102050999999</v>
      </c>
      <c r="I1288">
        <v>1322.2497559000001</v>
      </c>
      <c r="J1288">
        <v>1318.394043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800.52967000000001</v>
      </c>
      <c r="B1289" s="1">
        <f>DATE(2012,7,9) + TIME(12,42,43)</f>
        <v>41099.529664351852</v>
      </c>
      <c r="C1289">
        <v>80</v>
      </c>
      <c r="D1289">
        <v>79.966400145999998</v>
      </c>
      <c r="E1289">
        <v>50</v>
      </c>
      <c r="F1289">
        <v>46.001998901</v>
      </c>
      <c r="G1289">
        <v>1344.5791016000001</v>
      </c>
      <c r="H1289">
        <v>1340.7025146000001</v>
      </c>
      <c r="I1289">
        <v>1322.2355957</v>
      </c>
      <c r="J1289">
        <v>1318.3721923999999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801.67092200000002</v>
      </c>
      <c r="B1290" s="1">
        <f>DATE(2012,7,10) + TIME(16,6,7)</f>
        <v>41100.670914351853</v>
      </c>
      <c r="C1290">
        <v>80</v>
      </c>
      <c r="D1290">
        <v>79.966400145999998</v>
      </c>
      <c r="E1290">
        <v>50</v>
      </c>
      <c r="F1290">
        <v>45.956951140999998</v>
      </c>
      <c r="G1290">
        <v>1344.5678711</v>
      </c>
      <c r="H1290">
        <v>1340.6949463000001</v>
      </c>
      <c r="I1290">
        <v>1322.2208252</v>
      </c>
      <c r="J1290">
        <v>1318.3496094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802.83386099999996</v>
      </c>
      <c r="B1291" s="1">
        <f>DATE(2012,7,11) + TIME(20,0,45)</f>
        <v>41101.833854166667</v>
      </c>
      <c r="C1291">
        <v>80</v>
      </c>
      <c r="D1291">
        <v>79.966400145999998</v>
      </c>
      <c r="E1291">
        <v>50</v>
      </c>
      <c r="F1291">
        <v>45.911582946999999</v>
      </c>
      <c r="G1291">
        <v>1344.5565185999999</v>
      </c>
      <c r="H1291">
        <v>1340.6872559000001</v>
      </c>
      <c r="I1291">
        <v>1322.2056885</v>
      </c>
      <c r="J1291">
        <v>1318.3262939000001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804.02189699999997</v>
      </c>
      <c r="B1292" s="1">
        <f>DATE(2012,7,13) + TIME(0,31,31)</f>
        <v>41103.021886574075</v>
      </c>
      <c r="C1292">
        <v>80</v>
      </c>
      <c r="D1292">
        <v>79.966400145999998</v>
      </c>
      <c r="E1292">
        <v>50</v>
      </c>
      <c r="F1292">
        <v>45.865867614999999</v>
      </c>
      <c r="G1292">
        <v>1344.5451660000001</v>
      </c>
      <c r="H1292">
        <v>1340.6794434000001</v>
      </c>
      <c r="I1292">
        <v>1322.1900635</v>
      </c>
      <c r="J1292">
        <v>1318.302124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805.22608700000001</v>
      </c>
      <c r="B1293" s="1">
        <f>DATE(2012,7,14) + TIME(5,25,33)</f>
        <v>41104.226076388892</v>
      </c>
      <c r="C1293">
        <v>80</v>
      </c>
      <c r="D1293">
        <v>79.966400145999998</v>
      </c>
      <c r="E1293">
        <v>50</v>
      </c>
      <c r="F1293">
        <v>45.819950104</v>
      </c>
      <c r="G1293">
        <v>1344.5335693</v>
      </c>
      <c r="H1293">
        <v>1340.6715088000001</v>
      </c>
      <c r="I1293">
        <v>1322.1739502</v>
      </c>
      <c r="J1293">
        <v>1318.2772216999999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806.43369099999995</v>
      </c>
      <c r="B1294" s="1">
        <f>DATE(2012,7,15) + TIME(10,24,30)</f>
        <v>41105.433680555558</v>
      </c>
      <c r="C1294">
        <v>80</v>
      </c>
      <c r="D1294">
        <v>79.966400145999998</v>
      </c>
      <c r="E1294">
        <v>50</v>
      </c>
      <c r="F1294">
        <v>45.774169921999999</v>
      </c>
      <c r="G1294">
        <v>1344.5220947</v>
      </c>
      <c r="H1294">
        <v>1340.6636963000001</v>
      </c>
      <c r="I1294">
        <v>1322.1574707</v>
      </c>
      <c r="J1294">
        <v>1318.2515868999999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807.64509499999997</v>
      </c>
      <c r="B1295" s="1">
        <f>DATE(2012,7,16) + TIME(15,28,56)</f>
        <v>41106.645092592589</v>
      </c>
      <c r="C1295">
        <v>80</v>
      </c>
      <c r="D1295">
        <v>79.966400145999998</v>
      </c>
      <c r="E1295">
        <v>50</v>
      </c>
      <c r="F1295">
        <v>45.728759766000003</v>
      </c>
      <c r="G1295">
        <v>1344.5106201000001</v>
      </c>
      <c r="H1295">
        <v>1340.6558838000001</v>
      </c>
      <c r="I1295">
        <v>1322.140625</v>
      </c>
      <c r="J1295">
        <v>1318.2254639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808.86218799999995</v>
      </c>
      <c r="B1296" s="1">
        <f>DATE(2012,7,17) + TIME(20,41,33)</f>
        <v>41107.862187500003</v>
      </c>
      <c r="C1296">
        <v>80</v>
      </c>
      <c r="D1296">
        <v>79.966400145999998</v>
      </c>
      <c r="E1296">
        <v>50</v>
      </c>
      <c r="F1296">
        <v>45.683815002000003</v>
      </c>
      <c r="G1296">
        <v>1344.4993896000001</v>
      </c>
      <c r="H1296">
        <v>1340.6480713000001</v>
      </c>
      <c r="I1296">
        <v>1322.1235352000001</v>
      </c>
      <c r="J1296">
        <v>1318.1988524999999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810.08775300000002</v>
      </c>
      <c r="B1297" s="1">
        <f>DATE(2012,7,19) + TIME(2,6,21)</f>
        <v>41109.087743055556</v>
      </c>
      <c r="C1297">
        <v>80</v>
      </c>
      <c r="D1297">
        <v>79.966400145999998</v>
      </c>
      <c r="E1297">
        <v>50</v>
      </c>
      <c r="F1297">
        <v>45.639335631999998</v>
      </c>
      <c r="G1297">
        <v>1344.4880370999999</v>
      </c>
      <c r="H1297">
        <v>1340.6403809000001</v>
      </c>
      <c r="I1297">
        <v>1322.1062012</v>
      </c>
      <c r="J1297">
        <v>1318.1717529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811.32489299999997</v>
      </c>
      <c r="B1298" s="1">
        <f>DATE(2012,7,20) + TIME(7,47,50)</f>
        <v>41110.324884259258</v>
      </c>
      <c r="C1298">
        <v>80</v>
      </c>
      <c r="D1298">
        <v>79.966407775999997</v>
      </c>
      <c r="E1298">
        <v>50</v>
      </c>
      <c r="F1298">
        <v>45.595283508000001</v>
      </c>
      <c r="G1298">
        <v>1344.4768065999999</v>
      </c>
      <c r="H1298">
        <v>1340.6325684000001</v>
      </c>
      <c r="I1298">
        <v>1322.088501</v>
      </c>
      <c r="J1298">
        <v>1318.1442870999999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812.57648600000005</v>
      </c>
      <c r="B1299" s="1">
        <f>DATE(2012,7,21) + TIME(13,50,8)</f>
        <v>41111.576481481483</v>
      </c>
      <c r="C1299">
        <v>80</v>
      </c>
      <c r="D1299">
        <v>79.966407775999997</v>
      </c>
      <c r="E1299">
        <v>50</v>
      </c>
      <c r="F1299">
        <v>45.551620483000001</v>
      </c>
      <c r="G1299">
        <v>1344.4656981999999</v>
      </c>
      <c r="H1299">
        <v>1340.6248779</v>
      </c>
      <c r="I1299">
        <v>1322.0705565999999</v>
      </c>
      <c r="J1299">
        <v>1318.1160889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813.84587699999997</v>
      </c>
      <c r="B1300" s="1">
        <f>DATE(2012,7,22) + TIME(20,18,3)</f>
        <v>41112.845868055556</v>
      </c>
      <c r="C1300">
        <v>80</v>
      </c>
      <c r="D1300">
        <v>79.966407775999997</v>
      </c>
      <c r="E1300">
        <v>50</v>
      </c>
      <c r="F1300">
        <v>45.508304596000002</v>
      </c>
      <c r="G1300">
        <v>1344.4544678</v>
      </c>
      <c r="H1300">
        <v>1340.6171875</v>
      </c>
      <c r="I1300">
        <v>1322.052124</v>
      </c>
      <c r="J1300">
        <v>1318.0872803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815.13599699999997</v>
      </c>
      <c r="B1301" s="1">
        <f>DATE(2012,7,24) + TIME(3,15,50)</f>
        <v>41114.135995370372</v>
      </c>
      <c r="C1301">
        <v>80</v>
      </c>
      <c r="D1301">
        <v>79.966415405000006</v>
      </c>
      <c r="E1301">
        <v>50</v>
      </c>
      <c r="F1301">
        <v>45.465305327999999</v>
      </c>
      <c r="G1301">
        <v>1344.4432373</v>
      </c>
      <c r="H1301">
        <v>1340.609375</v>
      </c>
      <c r="I1301">
        <v>1322.0333252</v>
      </c>
      <c r="J1301">
        <v>1318.0578613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816.44976899999995</v>
      </c>
      <c r="B1302" s="1">
        <f>DATE(2012,7,25) + TIME(10,47,40)</f>
        <v>41115.44976851852</v>
      </c>
      <c r="C1302">
        <v>80</v>
      </c>
      <c r="D1302">
        <v>79.966415405000006</v>
      </c>
      <c r="E1302">
        <v>50</v>
      </c>
      <c r="F1302">
        <v>45.422607421999999</v>
      </c>
      <c r="G1302">
        <v>1344.4318848</v>
      </c>
      <c r="H1302">
        <v>1340.6015625</v>
      </c>
      <c r="I1302">
        <v>1322.0141602000001</v>
      </c>
      <c r="J1302">
        <v>1318.0275879000001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817.79103999999995</v>
      </c>
      <c r="B1303" s="1">
        <f>DATE(2012,7,26) + TIME(18,59,5)</f>
        <v>41116.791030092594</v>
      </c>
      <c r="C1303">
        <v>80</v>
      </c>
      <c r="D1303">
        <v>79.966423035000005</v>
      </c>
      <c r="E1303">
        <v>50</v>
      </c>
      <c r="F1303">
        <v>45.380203246999997</v>
      </c>
      <c r="G1303">
        <v>1344.4205322</v>
      </c>
      <c r="H1303">
        <v>1340.5936279</v>
      </c>
      <c r="I1303">
        <v>1321.9943848</v>
      </c>
      <c r="J1303">
        <v>1317.9964600000001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819.15370700000005</v>
      </c>
      <c r="B1304" s="1">
        <f>DATE(2012,7,28) + TIME(3,41,20)</f>
        <v>41118.153703703705</v>
      </c>
      <c r="C1304">
        <v>80</v>
      </c>
      <c r="D1304">
        <v>79.966423035000005</v>
      </c>
      <c r="E1304">
        <v>50</v>
      </c>
      <c r="F1304">
        <v>45.33820343</v>
      </c>
      <c r="G1304">
        <v>1344.4090576000001</v>
      </c>
      <c r="H1304">
        <v>1340.5856934000001</v>
      </c>
      <c r="I1304">
        <v>1321.9741211</v>
      </c>
      <c r="J1304">
        <v>1317.9644774999999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820.53886999999997</v>
      </c>
      <c r="B1305" s="1">
        <f>DATE(2012,7,29) + TIME(12,55,58)</f>
        <v>41119.538865740738</v>
      </c>
      <c r="C1305">
        <v>80</v>
      </c>
      <c r="D1305">
        <v>79.966430664000001</v>
      </c>
      <c r="E1305">
        <v>50</v>
      </c>
      <c r="F1305">
        <v>45.296760558999999</v>
      </c>
      <c r="G1305">
        <v>1344.3974608999999</v>
      </c>
      <c r="H1305">
        <v>1340.5776367000001</v>
      </c>
      <c r="I1305">
        <v>1321.9533690999999</v>
      </c>
      <c r="J1305">
        <v>1317.9315185999999</v>
      </c>
      <c r="K1305">
        <v>2400</v>
      </c>
      <c r="L1305">
        <v>0</v>
      </c>
      <c r="M1305">
        <v>0</v>
      </c>
      <c r="N1305">
        <v>2400</v>
      </c>
    </row>
    <row r="1306" spans="1:14" x14ac:dyDescent="0.25">
      <c r="A1306">
        <v>821.93472999999994</v>
      </c>
      <c r="B1306" s="1">
        <f>DATE(2012,7,30) + TIME(22,26,0)</f>
        <v>41120.93472222222</v>
      </c>
      <c r="C1306">
        <v>80</v>
      </c>
      <c r="D1306">
        <v>79.966438292999996</v>
      </c>
      <c r="E1306">
        <v>50</v>
      </c>
      <c r="F1306">
        <v>45.256145476999997</v>
      </c>
      <c r="G1306">
        <v>1344.3858643000001</v>
      </c>
      <c r="H1306">
        <v>1340.5695800999999</v>
      </c>
      <c r="I1306">
        <v>1321.9321289</v>
      </c>
      <c r="J1306">
        <v>1317.8978271000001</v>
      </c>
      <c r="K1306">
        <v>2400</v>
      </c>
      <c r="L1306">
        <v>0</v>
      </c>
      <c r="M1306">
        <v>0</v>
      </c>
      <c r="N1306">
        <v>2400</v>
      </c>
    </row>
    <row r="1307" spans="1:14" x14ac:dyDescent="0.25">
      <c r="A1307">
        <v>823</v>
      </c>
      <c r="B1307" s="1">
        <f>DATE(2012,8,1) + TIME(0,0,0)</f>
        <v>41122</v>
      </c>
      <c r="C1307">
        <v>80</v>
      </c>
      <c r="D1307">
        <v>79.966430664000001</v>
      </c>
      <c r="E1307">
        <v>50</v>
      </c>
      <c r="F1307">
        <v>45.220806121999999</v>
      </c>
      <c r="G1307">
        <v>1344.3747559000001</v>
      </c>
      <c r="H1307">
        <v>1340.5618896000001</v>
      </c>
      <c r="I1307">
        <v>1321.9111327999999</v>
      </c>
      <c r="J1307">
        <v>1317.864624</v>
      </c>
      <c r="K1307">
        <v>2400</v>
      </c>
      <c r="L1307">
        <v>0</v>
      </c>
      <c r="M1307">
        <v>0</v>
      </c>
      <c r="N1307">
        <v>2400</v>
      </c>
    </row>
    <row r="1308" spans="1:14" x14ac:dyDescent="0.25">
      <c r="A1308">
        <v>824.39704700000004</v>
      </c>
      <c r="B1308" s="1">
        <f>DATE(2012,8,2) + TIME(9,31,44)</f>
        <v>41123.397037037037</v>
      </c>
      <c r="C1308">
        <v>80</v>
      </c>
      <c r="D1308">
        <v>79.966445922999995</v>
      </c>
      <c r="E1308">
        <v>50</v>
      </c>
      <c r="F1308">
        <v>45.185813904</v>
      </c>
      <c r="G1308">
        <v>1344.3653564000001</v>
      </c>
      <c r="H1308">
        <v>1340.5551757999999</v>
      </c>
      <c r="I1308">
        <v>1321.8929443</v>
      </c>
      <c r="J1308">
        <v>1317.8355713000001</v>
      </c>
      <c r="K1308">
        <v>2400</v>
      </c>
      <c r="L1308">
        <v>0</v>
      </c>
      <c r="M1308">
        <v>0</v>
      </c>
      <c r="N1308">
        <v>2400</v>
      </c>
    </row>
    <row r="1309" spans="1:14" x14ac:dyDescent="0.25">
      <c r="A1309">
        <v>825.805431</v>
      </c>
      <c r="B1309" s="1">
        <f>DATE(2012,8,3) + TIME(19,19,49)</f>
        <v>41124.805428240739</v>
      </c>
      <c r="C1309">
        <v>80</v>
      </c>
      <c r="D1309">
        <v>79.966453552000004</v>
      </c>
      <c r="E1309">
        <v>50</v>
      </c>
      <c r="F1309">
        <v>45.150238037000001</v>
      </c>
      <c r="G1309">
        <v>1344.354126</v>
      </c>
      <c r="H1309">
        <v>1340.5473632999999</v>
      </c>
      <c r="I1309">
        <v>1321.8717041</v>
      </c>
      <c r="J1309">
        <v>1317.8016356999999</v>
      </c>
      <c r="K1309">
        <v>2400</v>
      </c>
      <c r="L1309">
        <v>0</v>
      </c>
      <c r="M1309">
        <v>0</v>
      </c>
      <c r="N1309">
        <v>2400</v>
      </c>
    </row>
    <row r="1310" spans="1:14" x14ac:dyDescent="0.25">
      <c r="A1310">
        <v>827.22576900000001</v>
      </c>
      <c r="B1310" s="1">
        <f>DATE(2012,8,5) + TIME(5,25,6)</f>
        <v>41126.225763888891</v>
      </c>
      <c r="C1310">
        <v>80</v>
      </c>
      <c r="D1310">
        <v>79.966461182000003</v>
      </c>
      <c r="E1310">
        <v>50</v>
      </c>
      <c r="F1310">
        <v>45.115428925000003</v>
      </c>
      <c r="G1310">
        <v>1344.3427733999999</v>
      </c>
      <c r="H1310">
        <v>1340.5394286999999</v>
      </c>
      <c r="I1310">
        <v>1321.8498535000001</v>
      </c>
      <c r="J1310">
        <v>1317.7666016000001</v>
      </c>
      <c r="K1310">
        <v>2400</v>
      </c>
      <c r="L1310">
        <v>0</v>
      </c>
      <c r="M1310">
        <v>0</v>
      </c>
      <c r="N1310">
        <v>2400</v>
      </c>
    </row>
    <row r="1311" spans="1:14" x14ac:dyDescent="0.25">
      <c r="A1311">
        <v>828.66453799999999</v>
      </c>
      <c r="B1311" s="1">
        <f>DATE(2012,8,6) + TIME(15,56,56)</f>
        <v>41127.664537037039</v>
      </c>
      <c r="C1311">
        <v>80</v>
      </c>
      <c r="D1311">
        <v>79.966461182000003</v>
      </c>
      <c r="E1311">
        <v>50</v>
      </c>
      <c r="F1311">
        <v>45.081920623999999</v>
      </c>
      <c r="G1311">
        <v>1344.331543</v>
      </c>
      <c r="H1311">
        <v>1340.5314940999999</v>
      </c>
      <c r="I1311">
        <v>1321.8275146000001</v>
      </c>
      <c r="J1311">
        <v>1317.730957</v>
      </c>
      <c r="K1311">
        <v>2400</v>
      </c>
      <c r="L1311">
        <v>0</v>
      </c>
      <c r="M1311">
        <v>0</v>
      </c>
      <c r="N1311">
        <v>2400</v>
      </c>
    </row>
    <row r="1312" spans="1:14" x14ac:dyDescent="0.25">
      <c r="A1312">
        <v>830.12561100000005</v>
      </c>
      <c r="B1312" s="1">
        <f>DATE(2012,8,8) + TIME(3,0,52)</f>
        <v>41129.125601851854</v>
      </c>
      <c r="C1312">
        <v>80</v>
      </c>
      <c r="D1312">
        <v>79.966468810999999</v>
      </c>
      <c r="E1312">
        <v>50</v>
      </c>
      <c r="F1312">
        <v>45.049961089999996</v>
      </c>
      <c r="G1312">
        <v>1344.3201904</v>
      </c>
      <c r="H1312">
        <v>1340.5234375</v>
      </c>
      <c r="I1312">
        <v>1321.8048096</v>
      </c>
      <c r="J1312">
        <v>1317.6944579999999</v>
      </c>
      <c r="K1312">
        <v>2400</v>
      </c>
      <c r="L1312">
        <v>0</v>
      </c>
      <c r="M1312">
        <v>0</v>
      </c>
      <c r="N1312">
        <v>2400</v>
      </c>
    </row>
    <row r="1313" spans="1:14" x14ac:dyDescent="0.25">
      <c r="A1313">
        <v>831.61313099999995</v>
      </c>
      <c r="B1313" s="1">
        <f>DATE(2012,8,9) + TIME(14,42,54)</f>
        <v>41130.613125000003</v>
      </c>
      <c r="C1313">
        <v>80</v>
      </c>
      <c r="D1313">
        <v>79.966484070000007</v>
      </c>
      <c r="E1313">
        <v>50</v>
      </c>
      <c r="F1313">
        <v>45.019760132000002</v>
      </c>
      <c r="G1313">
        <v>1344.3087158000001</v>
      </c>
      <c r="H1313">
        <v>1340.5153809000001</v>
      </c>
      <c r="I1313">
        <v>1321.7817382999999</v>
      </c>
      <c r="J1313">
        <v>1317.6572266000001</v>
      </c>
      <c r="K1313">
        <v>2400</v>
      </c>
      <c r="L1313">
        <v>0</v>
      </c>
      <c r="M1313">
        <v>0</v>
      </c>
      <c r="N1313">
        <v>2400</v>
      </c>
    </row>
    <row r="1314" spans="1:14" x14ac:dyDescent="0.25">
      <c r="A1314">
        <v>833.12917100000004</v>
      </c>
      <c r="B1314" s="1">
        <f>DATE(2012,8,11) + TIME(3,6,0)</f>
        <v>41132.129166666666</v>
      </c>
      <c r="C1314">
        <v>80</v>
      </c>
      <c r="D1314">
        <v>79.966491699000002</v>
      </c>
      <c r="E1314">
        <v>50</v>
      </c>
      <c r="F1314">
        <v>44.991531371999997</v>
      </c>
      <c r="G1314">
        <v>1344.2972411999999</v>
      </c>
      <c r="H1314">
        <v>1340.5072021000001</v>
      </c>
      <c r="I1314">
        <v>1321.7581786999999</v>
      </c>
      <c r="J1314">
        <v>1317.6191406</v>
      </c>
      <c r="K1314">
        <v>2400</v>
      </c>
      <c r="L1314">
        <v>0</v>
      </c>
      <c r="M1314">
        <v>0</v>
      </c>
      <c r="N1314">
        <v>2400</v>
      </c>
    </row>
    <row r="1315" spans="1:14" x14ac:dyDescent="0.25">
      <c r="A1315">
        <v>834.66271700000004</v>
      </c>
      <c r="B1315" s="1">
        <f>DATE(2012,8,12) + TIME(15,54,18)</f>
        <v>41133.662708333337</v>
      </c>
      <c r="C1315">
        <v>80</v>
      </c>
      <c r="D1315">
        <v>79.966499329000001</v>
      </c>
      <c r="E1315">
        <v>50</v>
      </c>
      <c r="F1315">
        <v>44.965610503999997</v>
      </c>
      <c r="G1315">
        <v>1344.2856445</v>
      </c>
      <c r="H1315">
        <v>1340.4990233999999</v>
      </c>
      <c r="I1315">
        <v>1321.7342529</v>
      </c>
      <c r="J1315">
        <v>1317.5803223</v>
      </c>
      <c r="K1315">
        <v>2400</v>
      </c>
      <c r="L1315">
        <v>0</v>
      </c>
      <c r="M1315">
        <v>0</v>
      </c>
      <c r="N1315">
        <v>2400</v>
      </c>
    </row>
    <row r="1316" spans="1:14" x14ac:dyDescent="0.25">
      <c r="A1316">
        <v>836.21791499999995</v>
      </c>
      <c r="B1316" s="1">
        <f>DATE(2012,8,14) + TIME(5,13,47)</f>
        <v>41135.217905092592</v>
      </c>
      <c r="C1316">
        <v>80</v>
      </c>
      <c r="D1316">
        <v>79.966506957999997</v>
      </c>
      <c r="E1316">
        <v>50</v>
      </c>
      <c r="F1316">
        <v>44.942329407000003</v>
      </c>
      <c r="G1316">
        <v>1344.2739257999999</v>
      </c>
      <c r="H1316">
        <v>1340.4907227000001</v>
      </c>
      <c r="I1316">
        <v>1321.7098389</v>
      </c>
      <c r="J1316">
        <v>1317.5408935999999</v>
      </c>
      <c r="K1316">
        <v>2400</v>
      </c>
      <c r="L1316">
        <v>0</v>
      </c>
      <c r="M1316">
        <v>0</v>
      </c>
      <c r="N1316">
        <v>2400</v>
      </c>
    </row>
    <row r="1317" spans="1:14" x14ac:dyDescent="0.25">
      <c r="A1317">
        <v>837.80076499999996</v>
      </c>
      <c r="B1317" s="1">
        <f>DATE(2012,8,15) + TIME(19,13,6)</f>
        <v>41136.800763888888</v>
      </c>
      <c r="C1317">
        <v>80</v>
      </c>
      <c r="D1317">
        <v>79.966514587000006</v>
      </c>
      <c r="E1317">
        <v>50</v>
      </c>
      <c r="F1317">
        <v>44.921989441000001</v>
      </c>
      <c r="G1317">
        <v>1344.2623291</v>
      </c>
      <c r="H1317">
        <v>1340.4824219</v>
      </c>
      <c r="I1317">
        <v>1321.6853027</v>
      </c>
      <c r="J1317">
        <v>1317.5008545000001</v>
      </c>
      <c r="K1317">
        <v>2400</v>
      </c>
      <c r="L1317">
        <v>0</v>
      </c>
      <c r="M1317">
        <v>0</v>
      </c>
      <c r="N1317">
        <v>2400</v>
      </c>
    </row>
    <row r="1318" spans="1:14" x14ac:dyDescent="0.25">
      <c r="A1318">
        <v>839.38573799999995</v>
      </c>
      <c r="B1318" s="1">
        <f>DATE(2012,8,17) + TIME(9,15,27)</f>
        <v>41138.385729166665</v>
      </c>
      <c r="C1318">
        <v>80</v>
      </c>
      <c r="D1318">
        <v>79.966529846</v>
      </c>
      <c r="E1318">
        <v>50</v>
      </c>
      <c r="F1318">
        <v>44.905021667</v>
      </c>
      <c r="G1318">
        <v>1344.2504882999999</v>
      </c>
      <c r="H1318">
        <v>1340.473999</v>
      </c>
      <c r="I1318">
        <v>1321.6602783000001</v>
      </c>
      <c r="J1318">
        <v>1317.4600829999999</v>
      </c>
      <c r="K1318">
        <v>2400</v>
      </c>
      <c r="L1318">
        <v>0</v>
      </c>
      <c r="M1318">
        <v>0</v>
      </c>
      <c r="N1318">
        <v>2400</v>
      </c>
    </row>
    <row r="1319" spans="1:14" x14ac:dyDescent="0.25">
      <c r="A1319">
        <v>840.97631100000001</v>
      </c>
      <c r="B1319" s="1">
        <f>DATE(2012,8,18) + TIME(23,25,53)</f>
        <v>41139.976307870369</v>
      </c>
      <c r="C1319">
        <v>80</v>
      </c>
      <c r="D1319">
        <v>79.966537475999999</v>
      </c>
      <c r="E1319">
        <v>50</v>
      </c>
      <c r="F1319">
        <v>44.891864777000002</v>
      </c>
      <c r="G1319">
        <v>1344.2388916</v>
      </c>
      <c r="H1319">
        <v>1340.4656981999999</v>
      </c>
      <c r="I1319">
        <v>1321.6352539</v>
      </c>
      <c r="J1319">
        <v>1317.4191894999999</v>
      </c>
      <c r="K1319">
        <v>2400</v>
      </c>
      <c r="L1319">
        <v>0</v>
      </c>
      <c r="M1319">
        <v>0</v>
      </c>
      <c r="N1319">
        <v>2400</v>
      </c>
    </row>
    <row r="1320" spans="1:14" x14ac:dyDescent="0.25">
      <c r="A1320">
        <v>842.57688099999996</v>
      </c>
      <c r="B1320" s="1">
        <f>DATE(2012,8,20) + TIME(13,50,42)</f>
        <v>41141.576874999999</v>
      </c>
      <c r="C1320">
        <v>80</v>
      </c>
      <c r="D1320">
        <v>79.966545104999994</v>
      </c>
      <c r="E1320">
        <v>50</v>
      </c>
      <c r="F1320">
        <v>44.882869720000002</v>
      </c>
      <c r="G1320">
        <v>1344.2272949000001</v>
      </c>
      <c r="H1320">
        <v>1340.4572754000001</v>
      </c>
      <c r="I1320">
        <v>1321.6102295000001</v>
      </c>
      <c r="J1320">
        <v>1317.3781738</v>
      </c>
      <c r="K1320">
        <v>2400</v>
      </c>
      <c r="L1320">
        <v>0</v>
      </c>
      <c r="M1320">
        <v>0</v>
      </c>
      <c r="N1320">
        <v>2400</v>
      </c>
    </row>
    <row r="1321" spans="1:14" x14ac:dyDescent="0.25">
      <c r="A1321">
        <v>844.19588699999997</v>
      </c>
      <c r="B1321" s="1">
        <f>DATE(2012,8,22) + TIME(4,42,4)</f>
        <v>41143.195879629631</v>
      </c>
      <c r="C1321">
        <v>80</v>
      </c>
      <c r="D1321">
        <v>79.966560364000003</v>
      </c>
      <c r="E1321">
        <v>50</v>
      </c>
      <c r="F1321">
        <v>44.878372192</v>
      </c>
      <c r="G1321">
        <v>1344.2156981999999</v>
      </c>
      <c r="H1321">
        <v>1340.4489745999999</v>
      </c>
      <c r="I1321">
        <v>1321.5850829999999</v>
      </c>
      <c r="J1321">
        <v>1317.3369141000001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845.837942</v>
      </c>
      <c r="B1322" s="1">
        <f>DATE(2012,8,23) + TIME(20,6,38)</f>
        <v>41144.837939814817</v>
      </c>
      <c r="C1322">
        <v>80</v>
      </c>
      <c r="D1322">
        <v>79.966567992999998</v>
      </c>
      <c r="E1322">
        <v>50</v>
      </c>
      <c r="F1322">
        <v>44.878791808999999</v>
      </c>
      <c r="G1322">
        <v>1344.2041016000001</v>
      </c>
      <c r="H1322">
        <v>1340.4406738</v>
      </c>
      <c r="I1322">
        <v>1321.5598144999999</v>
      </c>
      <c r="J1322">
        <v>1317.2954102000001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847.50776900000005</v>
      </c>
      <c r="B1323" s="1">
        <f>DATE(2012,8,25) + TIME(12,11,11)</f>
        <v>41146.5077662037</v>
      </c>
      <c r="C1323">
        <v>80</v>
      </c>
      <c r="D1323">
        <v>79.966583252000007</v>
      </c>
      <c r="E1323">
        <v>50</v>
      </c>
      <c r="F1323">
        <v>44.884624481000003</v>
      </c>
      <c r="G1323">
        <v>1344.1923827999999</v>
      </c>
      <c r="H1323">
        <v>1340.432251</v>
      </c>
      <c r="I1323">
        <v>1321.5344238</v>
      </c>
      <c r="J1323">
        <v>1317.2536620999999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849.19786399999998</v>
      </c>
      <c r="B1324" s="1">
        <f>DATE(2012,8,27) + TIME(4,44,55)</f>
        <v>41148.197858796295</v>
      </c>
      <c r="C1324">
        <v>80</v>
      </c>
      <c r="D1324">
        <v>79.966598511000001</v>
      </c>
      <c r="E1324">
        <v>50</v>
      </c>
      <c r="F1324">
        <v>44.896465302000003</v>
      </c>
      <c r="G1324">
        <v>1344.1806641000001</v>
      </c>
      <c r="H1324">
        <v>1340.4237060999999</v>
      </c>
      <c r="I1324">
        <v>1321.5087891000001</v>
      </c>
      <c r="J1324">
        <v>1317.2114257999999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850.90582800000004</v>
      </c>
      <c r="B1325" s="1">
        <f>DATE(2012,8,28) + TIME(21,44,23)</f>
        <v>41149.905821759261</v>
      </c>
      <c r="C1325">
        <v>80</v>
      </c>
      <c r="D1325">
        <v>79.966606139999996</v>
      </c>
      <c r="E1325">
        <v>50</v>
      </c>
      <c r="F1325">
        <v>44.914897918999998</v>
      </c>
      <c r="G1325">
        <v>1344.1689452999999</v>
      </c>
      <c r="H1325">
        <v>1340.4151611</v>
      </c>
      <c r="I1325">
        <v>1321.4831543</v>
      </c>
      <c r="J1325">
        <v>1317.1689452999999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852.63980500000002</v>
      </c>
      <c r="B1326" s="1">
        <f>DATE(2012,8,30) + TIME(15,21,19)</f>
        <v>41151.639803240738</v>
      </c>
      <c r="C1326">
        <v>80</v>
      </c>
      <c r="D1326">
        <v>79.966621399000005</v>
      </c>
      <c r="E1326">
        <v>50</v>
      </c>
      <c r="F1326">
        <v>44.940570831000002</v>
      </c>
      <c r="G1326">
        <v>1344.1571045000001</v>
      </c>
      <c r="H1326">
        <v>1340.4064940999999</v>
      </c>
      <c r="I1326">
        <v>1321.4573975000001</v>
      </c>
      <c r="J1326">
        <v>1317.1264647999999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854</v>
      </c>
      <c r="B1327" s="1">
        <f>DATE(2012,9,1) + TIME(0,0,0)</f>
        <v>41153</v>
      </c>
      <c r="C1327">
        <v>80</v>
      </c>
      <c r="D1327">
        <v>79.966629028</v>
      </c>
      <c r="E1327">
        <v>50</v>
      </c>
      <c r="F1327">
        <v>44.971477509000003</v>
      </c>
      <c r="G1327">
        <v>1344.1456298999999</v>
      </c>
      <c r="H1327">
        <v>1340.3981934000001</v>
      </c>
      <c r="I1327">
        <v>1321.4326172000001</v>
      </c>
      <c r="J1327">
        <v>1317.0850829999999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855.76486899999998</v>
      </c>
      <c r="B1328" s="1">
        <f>DATE(2012,9,2) + TIME(18,21,24)</f>
        <v>41154.764861111114</v>
      </c>
      <c r="C1328">
        <v>80</v>
      </c>
      <c r="D1328">
        <v>79.966644286999994</v>
      </c>
      <c r="E1328">
        <v>50</v>
      </c>
      <c r="F1328">
        <v>45.008415221999996</v>
      </c>
      <c r="G1328">
        <v>1344.1357422000001</v>
      </c>
      <c r="H1328">
        <v>1340.3908690999999</v>
      </c>
      <c r="I1328">
        <v>1321.4102783000001</v>
      </c>
      <c r="J1328">
        <v>1317.0488281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857.56354599999997</v>
      </c>
      <c r="B1329" s="1">
        <f>DATE(2012,9,4) + TIME(13,31,30)</f>
        <v>41156.56354166667</v>
      </c>
      <c r="C1329">
        <v>80</v>
      </c>
      <c r="D1329">
        <v>79.966659546000002</v>
      </c>
      <c r="E1329">
        <v>50</v>
      </c>
      <c r="F1329">
        <v>45.056922913000001</v>
      </c>
      <c r="G1329">
        <v>1344.1240233999999</v>
      </c>
      <c r="H1329">
        <v>1340.3823242000001</v>
      </c>
      <c r="I1329">
        <v>1321.3854980000001</v>
      </c>
      <c r="J1329">
        <v>1317.0078125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859.37058999999999</v>
      </c>
      <c r="B1330" s="1">
        <f>DATE(2012,9,6) + TIME(8,53,38)</f>
        <v>41158.370578703703</v>
      </c>
      <c r="C1330">
        <v>80</v>
      </c>
      <c r="D1330">
        <v>79.966674804999997</v>
      </c>
      <c r="E1330">
        <v>50</v>
      </c>
      <c r="F1330">
        <v>45.116218566999997</v>
      </c>
      <c r="G1330">
        <v>1344.1120605000001</v>
      </c>
      <c r="H1330">
        <v>1340.3735352000001</v>
      </c>
      <c r="I1330">
        <v>1321.3602295000001</v>
      </c>
      <c r="J1330">
        <v>1316.9658202999999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861.19536500000004</v>
      </c>
      <c r="B1331" s="1">
        <f>DATE(2012,9,8) + TIME(4,41,19)</f>
        <v>41160.1953587963</v>
      </c>
      <c r="C1331">
        <v>80</v>
      </c>
      <c r="D1331">
        <v>79.966690063000001</v>
      </c>
      <c r="E1331">
        <v>50</v>
      </c>
      <c r="F1331">
        <v>45.186298370000003</v>
      </c>
      <c r="G1331">
        <v>1344.1000977000001</v>
      </c>
      <c r="H1331">
        <v>1340.364624</v>
      </c>
      <c r="I1331">
        <v>1321.3349608999999</v>
      </c>
      <c r="J1331">
        <v>1316.9240723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863.04489799999999</v>
      </c>
      <c r="B1332" s="1">
        <f>DATE(2012,9,10) + TIME(1,4,39)</f>
        <v>41162.044895833336</v>
      </c>
      <c r="C1332">
        <v>80</v>
      </c>
      <c r="D1332">
        <v>79.966712951999995</v>
      </c>
      <c r="E1332">
        <v>50</v>
      </c>
      <c r="F1332">
        <v>45.267871857000003</v>
      </c>
      <c r="G1332">
        <v>1344.0881348</v>
      </c>
      <c r="H1332">
        <v>1340.3558350000001</v>
      </c>
      <c r="I1332">
        <v>1321.3096923999999</v>
      </c>
      <c r="J1332">
        <v>1316.8826904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864.92296499999998</v>
      </c>
      <c r="B1333" s="1">
        <f>DATE(2012,9,11) + TIME(22,9,4)</f>
        <v>41163.922962962963</v>
      </c>
      <c r="C1333">
        <v>80</v>
      </c>
      <c r="D1333">
        <v>79.966728209999999</v>
      </c>
      <c r="E1333">
        <v>50</v>
      </c>
      <c r="F1333">
        <v>45.361862183</v>
      </c>
      <c r="G1333">
        <v>1344.0760498</v>
      </c>
      <c r="H1333">
        <v>1340.3468018000001</v>
      </c>
      <c r="I1333">
        <v>1321.2847899999999</v>
      </c>
      <c r="J1333">
        <v>1316.8417969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866.81223399999999</v>
      </c>
      <c r="B1334" s="1">
        <f>DATE(2012,9,13) + TIME(19,29,37)</f>
        <v>41165.8122337963</v>
      </c>
      <c r="C1334">
        <v>80</v>
      </c>
      <c r="D1334">
        <v>79.966743468999994</v>
      </c>
      <c r="E1334">
        <v>50</v>
      </c>
      <c r="F1334">
        <v>45.468940734999997</v>
      </c>
      <c r="G1334">
        <v>1344.0639647999999</v>
      </c>
      <c r="H1334">
        <v>1340.3378906</v>
      </c>
      <c r="I1334">
        <v>1321.2600098</v>
      </c>
      <c r="J1334">
        <v>1316.8013916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868.71818499999995</v>
      </c>
      <c r="B1335" s="1">
        <f>DATE(2012,9,15) + TIME(17,14,11)</f>
        <v>41167.718182870369</v>
      </c>
      <c r="C1335">
        <v>80</v>
      </c>
      <c r="D1335">
        <v>79.966758728000002</v>
      </c>
      <c r="E1335">
        <v>50</v>
      </c>
      <c r="F1335">
        <v>45.589340210000003</v>
      </c>
      <c r="G1335">
        <v>1344.0518798999999</v>
      </c>
      <c r="H1335">
        <v>1340.3288574000001</v>
      </c>
      <c r="I1335">
        <v>1321.2355957</v>
      </c>
      <c r="J1335">
        <v>1316.7617187999999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870.652781</v>
      </c>
      <c r="B1336" s="1">
        <f>DATE(2012,9,17) + TIME(15,40,0)</f>
        <v>41169.652777777781</v>
      </c>
      <c r="C1336">
        <v>80</v>
      </c>
      <c r="D1336">
        <v>79.966781616000006</v>
      </c>
      <c r="E1336">
        <v>50</v>
      </c>
      <c r="F1336">
        <v>45.723827362000002</v>
      </c>
      <c r="G1336">
        <v>1344.0397949000001</v>
      </c>
      <c r="H1336">
        <v>1340.3197021000001</v>
      </c>
      <c r="I1336">
        <v>1321.2115478999999</v>
      </c>
      <c r="J1336">
        <v>1316.7231445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872.62095499999998</v>
      </c>
      <c r="B1337" s="1">
        <f>DATE(2012,9,19) + TIME(14,54,10)</f>
        <v>41171.620949074073</v>
      </c>
      <c r="C1337">
        <v>80</v>
      </c>
      <c r="D1337">
        <v>79.966796875</v>
      </c>
      <c r="E1337">
        <v>50</v>
      </c>
      <c r="F1337">
        <v>45.873455047999997</v>
      </c>
      <c r="G1337">
        <v>1344.0275879000001</v>
      </c>
      <c r="H1337">
        <v>1340.3105469</v>
      </c>
      <c r="I1337">
        <v>1321.1878661999999</v>
      </c>
      <c r="J1337">
        <v>1316.6853027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874.62450799999999</v>
      </c>
      <c r="B1338" s="1">
        <f>DATE(2012,9,21) + TIME(14,59,17)</f>
        <v>41173.624502314815</v>
      </c>
      <c r="C1338">
        <v>80</v>
      </c>
      <c r="D1338">
        <v>79.966819763000004</v>
      </c>
      <c r="E1338">
        <v>50</v>
      </c>
      <c r="F1338">
        <v>46.039157867</v>
      </c>
      <c r="G1338">
        <v>1344.0152588000001</v>
      </c>
      <c r="H1338">
        <v>1340.3013916</v>
      </c>
      <c r="I1338">
        <v>1321.1645507999999</v>
      </c>
      <c r="J1338">
        <v>1316.6484375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876.62879699999996</v>
      </c>
      <c r="B1339" s="1">
        <f>DATE(2012,9,23) + TIME(15,5,28)</f>
        <v>41175.628796296296</v>
      </c>
      <c r="C1339">
        <v>80</v>
      </c>
      <c r="D1339">
        <v>79.966835021999998</v>
      </c>
      <c r="E1339">
        <v>50</v>
      </c>
      <c r="F1339">
        <v>46.220645904999998</v>
      </c>
      <c r="G1339">
        <v>1344.0029297000001</v>
      </c>
      <c r="H1339">
        <v>1340.2919922000001</v>
      </c>
      <c r="I1339">
        <v>1321.1416016000001</v>
      </c>
      <c r="J1339">
        <v>1316.6125488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878.64178100000004</v>
      </c>
      <c r="B1340" s="1">
        <f>DATE(2012,9,25) + TIME(15,24,9)</f>
        <v>41177.641770833332</v>
      </c>
      <c r="C1340">
        <v>80</v>
      </c>
      <c r="D1340">
        <v>79.966857910000002</v>
      </c>
      <c r="E1340">
        <v>50</v>
      </c>
      <c r="F1340">
        <v>46.416408539000003</v>
      </c>
      <c r="G1340">
        <v>1343.9906006000001</v>
      </c>
      <c r="H1340">
        <v>1340.2827147999999</v>
      </c>
      <c r="I1340">
        <v>1321.1193848</v>
      </c>
      <c r="J1340">
        <v>1316.578125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880.67664100000002</v>
      </c>
      <c r="B1341" s="1">
        <f>DATE(2012,9,27) + TIME(16,14,21)</f>
        <v>41179.676631944443</v>
      </c>
      <c r="C1341">
        <v>80</v>
      </c>
      <c r="D1341">
        <v>79.966880798000005</v>
      </c>
      <c r="E1341">
        <v>50</v>
      </c>
      <c r="F1341">
        <v>46.626377106</v>
      </c>
      <c r="G1341">
        <v>1343.9783935999999</v>
      </c>
      <c r="H1341">
        <v>1340.2734375</v>
      </c>
      <c r="I1341">
        <v>1321.0977783000001</v>
      </c>
      <c r="J1341">
        <v>1316.5452881000001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882.74072999999999</v>
      </c>
      <c r="B1342" s="1">
        <f>DATE(2012,9,29) + TIME(17,46,39)</f>
        <v>41181.740729166668</v>
      </c>
      <c r="C1342">
        <v>80</v>
      </c>
      <c r="D1342">
        <v>79.966896057</v>
      </c>
      <c r="E1342">
        <v>50</v>
      </c>
      <c r="F1342">
        <v>46.851005553999997</v>
      </c>
      <c r="G1342">
        <v>1343.9661865</v>
      </c>
      <c r="H1342">
        <v>1340.2640381000001</v>
      </c>
      <c r="I1342">
        <v>1321.0767822</v>
      </c>
      <c r="J1342">
        <v>1316.5140381000001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884</v>
      </c>
      <c r="B1343" s="1">
        <f>DATE(2012,10,1) + TIME(0,0,0)</f>
        <v>41183</v>
      </c>
      <c r="C1343">
        <v>80</v>
      </c>
      <c r="D1343">
        <v>79.966903686999999</v>
      </c>
      <c r="E1343">
        <v>50</v>
      </c>
      <c r="F1343">
        <v>47.056228638</v>
      </c>
      <c r="G1343">
        <v>1343.9547118999999</v>
      </c>
      <c r="H1343">
        <v>1340.2554932</v>
      </c>
      <c r="I1343">
        <v>1321.0595702999999</v>
      </c>
      <c r="J1343">
        <v>1316.4862060999999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886.09965299999999</v>
      </c>
      <c r="B1344" s="1">
        <f>DATE(2012,10,3) + TIME(2,23,29)</f>
        <v>41185.099641203706</v>
      </c>
      <c r="C1344">
        <v>80</v>
      </c>
      <c r="D1344">
        <v>79.966934203999998</v>
      </c>
      <c r="E1344">
        <v>50</v>
      </c>
      <c r="F1344">
        <v>47.258102417000003</v>
      </c>
      <c r="G1344">
        <v>1343.9459228999999</v>
      </c>
      <c r="H1344">
        <v>1340.2485352000001</v>
      </c>
      <c r="I1344">
        <v>1321.0426024999999</v>
      </c>
      <c r="J1344">
        <v>1316.465332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888.239642</v>
      </c>
      <c r="B1345" s="1">
        <f>DATE(2012,10,5) + TIME(5,45,5)</f>
        <v>41187.239641203705</v>
      </c>
      <c r="C1345">
        <v>80</v>
      </c>
      <c r="D1345">
        <v>79.966957092000001</v>
      </c>
      <c r="E1345">
        <v>50</v>
      </c>
      <c r="F1345">
        <v>47.507472991999997</v>
      </c>
      <c r="G1345">
        <v>1343.9339600000001</v>
      </c>
      <c r="H1345">
        <v>1340.2395019999999</v>
      </c>
      <c r="I1345">
        <v>1321.0247803</v>
      </c>
      <c r="J1345">
        <v>1316.4392089999999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890.40934600000003</v>
      </c>
      <c r="B1346" s="1">
        <f>DATE(2012,10,7) + TIME(9,49,27)</f>
        <v>41189.40934027778</v>
      </c>
      <c r="C1346">
        <v>80</v>
      </c>
      <c r="D1346">
        <v>79.966979980000005</v>
      </c>
      <c r="E1346">
        <v>50</v>
      </c>
      <c r="F1346">
        <v>47.779090881000002</v>
      </c>
      <c r="G1346">
        <v>1343.9216309000001</v>
      </c>
      <c r="H1346">
        <v>1340.2299805</v>
      </c>
      <c r="I1346">
        <v>1321.0065918</v>
      </c>
      <c r="J1346">
        <v>1316.4138184000001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892.61679200000003</v>
      </c>
      <c r="B1347" s="1">
        <f>DATE(2012,10,9) + TIME(14,48,10)</f>
        <v>41191.616782407407</v>
      </c>
      <c r="C1347">
        <v>80</v>
      </c>
      <c r="D1347">
        <v>79.967002868999998</v>
      </c>
      <c r="E1347">
        <v>50</v>
      </c>
      <c r="F1347">
        <v>48.065113068000002</v>
      </c>
      <c r="G1347">
        <v>1343.9091797000001</v>
      </c>
      <c r="H1347">
        <v>1340.2204589999999</v>
      </c>
      <c r="I1347">
        <v>1320.9888916</v>
      </c>
      <c r="J1347">
        <v>1316.3897704999999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894.85971700000005</v>
      </c>
      <c r="B1348" s="1">
        <f>DATE(2012,10,11) + TIME(20,37,59)</f>
        <v>41193.859710648147</v>
      </c>
      <c r="C1348">
        <v>80</v>
      </c>
      <c r="D1348">
        <v>79.967025757000002</v>
      </c>
      <c r="E1348">
        <v>50</v>
      </c>
      <c r="F1348">
        <v>48.363002776999998</v>
      </c>
      <c r="G1348">
        <v>1343.8966064000001</v>
      </c>
      <c r="H1348">
        <v>1340.2108154</v>
      </c>
      <c r="I1348">
        <v>1320.9719238</v>
      </c>
      <c r="J1348">
        <v>1316.3673096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897.12861399999997</v>
      </c>
      <c r="B1349" s="1">
        <f>DATE(2012,10,14) + TIME(3,5,12)</f>
        <v>41196.128611111111</v>
      </c>
      <c r="C1349">
        <v>80</v>
      </c>
      <c r="D1349">
        <v>79.967056274000001</v>
      </c>
      <c r="E1349">
        <v>50</v>
      </c>
      <c r="F1349">
        <v>48.670661926000001</v>
      </c>
      <c r="G1349">
        <v>1343.8839111</v>
      </c>
      <c r="H1349">
        <v>1340.2010498</v>
      </c>
      <c r="I1349">
        <v>1320.9556885</v>
      </c>
      <c r="J1349">
        <v>1316.3464355000001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899.43542300000001</v>
      </c>
      <c r="B1350" s="1">
        <f>DATE(2012,10,16) + TIME(10,27,0)</f>
        <v>41198.435416666667</v>
      </c>
      <c r="C1350">
        <v>80</v>
      </c>
      <c r="D1350">
        <v>79.967079162999994</v>
      </c>
      <c r="E1350">
        <v>50</v>
      </c>
      <c r="F1350">
        <v>48.985923767000003</v>
      </c>
      <c r="G1350">
        <v>1343.8713379000001</v>
      </c>
      <c r="H1350">
        <v>1340.1912841999999</v>
      </c>
      <c r="I1350">
        <v>1320.9403076000001</v>
      </c>
      <c r="J1350">
        <v>1316.3273925999999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900.59621600000003</v>
      </c>
      <c r="B1351" s="1">
        <f>DATE(2012,10,17) + TIME(14,18,33)</f>
        <v>41199.596215277779</v>
      </c>
      <c r="C1351">
        <v>80</v>
      </c>
      <c r="D1351">
        <v>79.967079162999994</v>
      </c>
      <c r="E1351">
        <v>50</v>
      </c>
      <c r="F1351">
        <v>49.248508452999999</v>
      </c>
      <c r="G1351">
        <v>1343.8598632999999</v>
      </c>
      <c r="H1351">
        <v>1340.1826172000001</v>
      </c>
      <c r="I1351">
        <v>1320.9302978999999</v>
      </c>
      <c r="J1351">
        <v>1316.3122559000001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901.75700900000004</v>
      </c>
      <c r="B1352" s="1">
        <f>DATE(2012,10,18) + TIME(18,10,5)</f>
        <v>41200.757002314815</v>
      </c>
      <c r="C1352">
        <v>80</v>
      </c>
      <c r="D1352">
        <v>79.967094420999999</v>
      </c>
      <c r="E1352">
        <v>50</v>
      </c>
      <c r="F1352">
        <v>49.447666167999998</v>
      </c>
      <c r="G1352">
        <v>1343.8526611</v>
      </c>
      <c r="H1352">
        <v>1340.1770019999999</v>
      </c>
      <c r="I1352">
        <v>1320.9212646000001</v>
      </c>
      <c r="J1352">
        <v>1316.3040771000001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902.91780200000005</v>
      </c>
      <c r="B1353" s="1">
        <f>DATE(2012,10,19) + TIME(22,1,38)</f>
        <v>41201.917800925927</v>
      </c>
      <c r="C1353">
        <v>80</v>
      </c>
      <c r="D1353">
        <v>79.967102050999998</v>
      </c>
      <c r="E1353">
        <v>50</v>
      </c>
      <c r="F1353">
        <v>49.623172760000003</v>
      </c>
      <c r="G1353">
        <v>1343.8460693</v>
      </c>
      <c r="H1353">
        <v>1340.171875</v>
      </c>
      <c r="I1353">
        <v>1320.9136963000001</v>
      </c>
      <c r="J1353">
        <v>1316.2962646000001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904.07859499999995</v>
      </c>
      <c r="B1354" s="1">
        <f>DATE(2012,10,21) + TIME(1,53,10)</f>
        <v>41203.078587962962</v>
      </c>
      <c r="C1354">
        <v>80</v>
      </c>
      <c r="D1354">
        <v>79.967117310000006</v>
      </c>
      <c r="E1354">
        <v>50</v>
      </c>
      <c r="F1354">
        <v>49.789588928000001</v>
      </c>
      <c r="G1354">
        <v>1343.8397216999999</v>
      </c>
      <c r="H1354">
        <v>1340.1669922000001</v>
      </c>
      <c r="I1354">
        <v>1320.9071045000001</v>
      </c>
      <c r="J1354">
        <v>1316.2893065999999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906.40018099999998</v>
      </c>
      <c r="B1355" s="1">
        <f>DATE(2012,10,23) + TIME(9,36,15)</f>
        <v>41205.400173611109</v>
      </c>
      <c r="C1355">
        <v>80</v>
      </c>
      <c r="D1355">
        <v>79.967155457000004</v>
      </c>
      <c r="E1355">
        <v>50</v>
      </c>
      <c r="F1355">
        <v>49.988285064999999</v>
      </c>
      <c r="G1355">
        <v>1343.8328856999999</v>
      </c>
      <c r="H1355">
        <v>1340.161499</v>
      </c>
      <c r="I1355">
        <v>1320.8981934000001</v>
      </c>
      <c r="J1355">
        <v>1316.2814940999999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908.72908800000005</v>
      </c>
      <c r="B1356" s="1">
        <f>DATE(2012,10,25) + TIME(17,29,53)</f>
        <v>41207.729085648149</v>
      </c>
      <c r="C1356">
        <v>80</v>
      </c>
      <c r="D1356">
        <v>79.967178344999994</v>
      </c>
      <c r="E1356">
        <v>50</v>
      </c>
      <c r="F1356">
        <v>50.279972076</v>
      </c>
      <c r="G1356">
        <v>1343.8211670000001</v>
      </c>
      <c r="H1356">
        <v>1340.1525879000001</v>
      </c>
      <c r="I1356">
        <v>1320.8885498</v>
      </c>
      <c r="J1356">
        <v>1316.2694091999999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911.098163</v>
      </c>
      <c r="B1357" s="1">
        <f>DATE(2012,10,28) + TIME(2,21,21)</f>
        <v>41210.09815972222</v>
      </c>
      <c r="C1357">
        <v>80</v>
      </c>
      <c r="D1357">
        <v>79.967208862000007</v>
      </c>
      <c r="E1357">
        <v>50</v>
      </c>
      <c r="F1357">
        <v>50.591220856</v>
      </c>
      <c r="G1357">
        <v>1343.809082</v>
      </c>
      <c r="H1357">
        <v>1340.1433105000001</v>
      </c>
      <c r="I1357">
        <v>1320.8786620999999</v>
      </c>
      <c r="J1357">
        <v>1316.2592772999999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913.51985500000001</v>
      </c>
      <c r="B1358" s="1">
        <f>DATE(2012,10,30) + TIME(12,28,35)</f>
        <v>41212.519849537035</v>
      </c>
      <c r="C1358">
        <v>80</v>
      </c>
      <c r="D1358">
        <v>79.967231749999996</v>
      </c>
      <c r="E1358">
        <v>50</v>
      </c>
      <c r="F1358">
        <v>50.907062531000001</v>
      </c>
      <c r="G1358">
        <v>1343.796875</v>
      </c>
      <c r="H1358">
        <v>1340.1337891000001</v>
      </c>
      <c r="I1358">
        <v>1320.8693848</v>
      </c>
      <c r="J1358">
        <v>1316.2506103999999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915</v>
      </c>
      <c r="B1359" s="1">
        <f>DATE(2012,11,1) + TIME(0,0,0)</f>
        <v>41214</v>
      </c>
      <c r="C1359">
        <v>80</v>
      </c>
      <c r="D1359">
        <v>79.967239379999995</v>
      </c>
      <c r="E1359">
        <v>50</v>
      </c>
      <c r="F1359">
        <v>51.185523987000003</v>
      </c>
      <c r="G1359">
        <v>1343.7852783000001</v>
      </c>
      <c r="H1359">
        <v>1340.1251221</v>
      </c>
      <c r="I1359">
        <v>1320.8636475000001</v>
      </c>
      <c r="J1359">
        <v>1316.2442627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915.000001</v>
      </c>
      <c r="B1360" s="1">
        <f>DATE(2012,11,1) + TIME(0,0,0)</f>
        <v>41214</v>
      </c>
      <c r="C1360">
        <v>80</v>
      </c>
      <c r="D1360">
        <v>79.967208862000007</v>
      </c>
      <c r="E1360">
        <v>50</v>
      </c>
      <c r="F1360">
        <v>51.185543060000001</v>
      </c>
      <c r="G1360">
        <v>1340.1151123</v>
      </c>
      <c r="H1360">
        <v>1338.7113036999999</v>
      </c>
      <c r="I1360">
        <v>1325.6429443</v>
      </c>
      <c r="J1360">
        <v>1320.8758545000001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915.00000399999999</v>
      </c>
      <c r="B1361" s="1">
        <f>DATE(2012,11,1) + TIME(0,0,0)</f>
        <v>41214</v>
      </c>
      <c r="C1361">
        <v>80</v>
      </c>
      <c r="D1361">
        <v>79.967117310000006</v>
      </c>
      <c r="E1361">
        <v>50</v>
      </c>
      <c r="F1361">
        <v>51.185600280999999</v>
      </c>
      <c r="G1361">
        <v>1340.0854492000001</v>
      </c>
      <c r="H1361">
        <v>1338.6816406</v>
      </c>
      <c r="I1361">
        <v>1325.6730957</v>
      </c>
      <c r="J1361">
        <v>1320.9123535000001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915.00001299999997</v>
      </c>
      <c r="B1362" s="1">
        <f>DATE(2012,11,1) + TIME(0,0,1)</f>
        <v>41214.000011574077</v>
      </c>
      <c r="C1362">
        <v>80</v>
      </c>
      <c r="D1362">
        <v>79.966835021999998</v>
      </c>
      <c r="E1362">
        <v>50</v>
      </c>
      <c r="F1362">
        <v>51.185764313</v>
      </c>
      <c r="G1362">
        <v>1339.9993896000001</v>
      </c>
      <c r="H1362">
        <v>1338.5954589999999</v>
      </c>
      <c r="I1362">
        <v>1325.7618408000001</v>
      </c>
      <c r="J1362">
        <v>1321.0194091999999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915.00004000000001</v>
      </c>
      <c r="B1363" s="1">
        <f>DATE(2012,11,1) + TIME(0,0,3)</f>
        <v>41214.000034722223</v>
      </c>
      <c r="C1363">
        <v>80</v>
      </c>
      <c r="D1363">
        <v>79.966079711999996</v>
      </c>
      <c r="E1363">
        <v>50</v>
      </c>
      <c r="F1363">
        <v>51.186225890999999</v>
      </c>
      <c r="G1363">
        <v>1339.7633057</v>
      </c>
      <c r="H1363">
        <v>1338.359375</v>
      </c>
      <c r="I1363">
        <v>1326.0144043</v>
      </c>
      <c r="J1363">
        <v>1321.3201904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915.00012100000004</v>
      </c>
      <c r="B1364" s="1">
        <f>DATE(2012,11,1) + TIME(0,0,10)</f>
        <v>41214.000115740739</v>
      </c>
      <c r="C1364">
        <v>80</v>
      </c>
      <c r="D1364">
        <v>79.964263915999993</v>
      </c>
      <c r="E1364">
        <v>50</v>
      </c>
      <c r="F1364">
        <v>51.187385558999999</v>
      </c>
      <c r="G1364">
        <v>1339.2011719</v>
      </c>
      <c r="H1364">
        <v>1337.7971190999999</v>
      </c>
      <c r="I1364">
        <v>1326.6717529</v>
      </c>
      <c r="J1364">
        <v>1322.0791016000001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915.00036399999999</v>
      </c>
      <c r="B1365" s="1">
        <f>DATE(2012,11,1) + TIME(0,0,31)</f>
        <v>41214.000358796293</v>
      </c>
      <c r="C1365">
        <v>80</v>
      </c>
      <c r="D1365">
        <v>79.960945128999995</v>
      </c>
      <c r="E1365">
        <v>50</v>
      </c>
      <c r="F1365">
        <v>51.189640044999997</v>
      </c>
      <c r="G1365">
        <v>1338.1738281</v>
      </c>
      <c r="H1365">
        <v>1336.7692870999999</v>
      </c>
      <c r="I1365">
        <v>1328.0812988</v>
      </c>
      <c r="J1365">
        <v>1323.6125488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915.00109299999997</v>
      </c>
      <c r="B1366" s="1">
        <f>DATE(2012,11,1) + TIME(0,1,34)</f>
        <v>41214.001087962963</v>
      </c>
      <c r="C1366">
        <v>80</v>
      </c>
      <c r="D1366">
        <v>79.956520080999994</v>
      </c>
      <c r="E1366">
        <v>50</v>
      </c>
      <c r="F1366">
        <v>51.192062378000003</v>
      </c>
      <c r="G1366">
        <v>1336.8162841999999</v>
      </c>
      <c r="H1366">
        <v>1335.4110106999999</v>
      </c>
      <c r="I1366">
        <v>1330.3082274999999</v>
      </c>
      <c r="J1366">
        <v>1325.8757324000001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915.00328000000002</v>
      </c>
      <c r="B1367" s="1">
        <f>DATE(2012,11,1) + TIME(0,4,43)</f>
        <v>41214.003275462965</v>
      </c>
      <c r="C1367">
        <v>80</v>
      </c>
      <c r="D1367">
        <v>79.951629639000004</v>
      </c>
      <c r="E1367">
        <v>50</v>
      </c>
      <c r="F1367">
        <v>51.192398071</v>
      </c>
      <c r="G1367">
        <v>1335.3699951000001</v>
      </c>
      <c r="H1367">
        <v>1333.9620361</v>
      </c>
      <c r="I1367">
        <v>1332.9483643000001</v>
      </c>
      <c r="J1367">
        <v>1328.4816894999999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915.00984100000005</v>
      </c>
      <c r="B1368" s="1">
        <f>DATE(2012,11,1) + TIME(0,14,10)</f>
        <v>41214.009837962964</v>
      </c>
      <c r="C1368">
        <v>80</v>
      </c>
      <c r="D1368">
        <v>79.946151732999994</v>
      </c>
      <c r="E1368">
        <v>50</v>
      </c>
      <c r="F1368">
        <v>51.184944153000004</v>
      </c>
      <c r="G1368">
        <v>1333.9036865</v>
      </c>
      <c r="H1368">
        <v>1332.4807129000001</v>
      </c>
      <c r="I1368">
        <v>1335.6759033000001</v>
      </c>
      <c r="J1368">
        <v>1331.1783447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915.02952400000004</v>
      </c>
      <c r="B1369" s="1">
        <f>DATE(2012,11,1) + TIME(0,42,30)</f>
        <v>41214.029513888891</v>
      </c>
      <c r="C1369">
        <v>80</v>
      </c>
      <c r="D1369">
        <v>79.938880920000003</v>
      </c>
      <c r="E1369">
        <v>50</v>
      </c>
      <c r="F1369">
        <v>51.154495238999999</v>
      </c>
      <c r="G1369">
        <v>1332.3754882999999</v>
      </c>
      <c r="H1369">
        <v>1330.8981934000001</v>
      </c>
      <c r="I1369">
        <v>1338.4388428</v>
      </c>
      <c r="J1369">
        <v>1333.9162598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915.07521699999995</v>
      </c>
      <c r="B1370" s="1">
        <f>DATE(2012,11,1) + TIME(1,48,18)</f>
        <v>41214.075208333335</v>
      </c>
      <c r="C1370">
        <v>80</v>
      </c>
      <c r="D1370">
        <v>79.928779602000006</v>
      </c>
      <c r="E1370">
        <v>50</v>
      </c>
      <c r="F1370">
        <v>51.081909179999997</v>
      </c>
      <c r="G1370">
        <v>1330.9698486</v>
      </c>
      <c r="H1370">
        <v>1329.3874512</v>
      </c>
      <c r="I1370">
        <v>1340.8338623</v>
      </c>
      <c r="J1370">
        <v>1336.2843018000001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915.123062</v>
      </c>
      <c r="B1371" s="1">
        <f>DATE(2012,11,1) + TIME(2,57,12)</f>
        <v>41214.123055555552</v>
      </c>
      <c r="C1371">
        <v>80</v>
      </c>
      <c r="D1371">
        <v>79.920150757000002</v>
      </c>
      <c r="E1371">
        <v>50</v>
      </c>
      <c r="F1371">
        <v>51.009025573999999</v>
      </c>
      <c r="G1371">
        <v>1330.1567382999999</v>
      </c>
      <c r="H1371">
        <v>1328.4940185999999</v>
      </c>
      <c r="I1371">
        <v>1342.1516113</v>
      </c>
      <c r="J1371">
        <v>1337.5809326000001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915.17315599999995</v>
      </c>
      <c r="B1372" s="1">
        <f>DATE(2012,11,1) + TIME(4,9,20)</f>
        <v>41214.173148148147</v>
      </c>
      <c r="C1372">
        <v>80</v>
      </c>
      <c r="D1372">
        <v>79.912010193</v>
      </c>
      <c r="E1372">
        <v>50</v>
      </c>
      <c r="F1372">
        <v>50.937198639000002</v>
      </c>
      <c r="G1372">
        <v>1329.6094971</v>
      </c>
      <c r="H1372">
        <v>1327.8883057</v>
      </c>
      <c r="I1372">
        <v>1342.9951172000001</v>
      </c>
      <c r="J1372">
        <v>1338.4104004000001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915.22559100000001</v>
      </c>
      <c r="B1373" s="1">
        <f>DATE(2012,11,1) + TIME(5,24,51)</f>
        <v>41214.225590277776</v>
      </c>
      <c r="C1373">
        <v>80</v>
      </c>
      <c r="D1373">
        <v>79.904014587000006</v>
      </c>
      <c r="E1373">
        <v>50</v>
      </c>
      <c r="F1373">
        <v>50.867084503000001</v>
      </c>
      <c r="G1373">
        <v>1329.2103271000001</v>
      </c>
      <c r="H1373">
        <v>1327.4473877</v>
      </c>
      <c r="I1373">
        <v>1343.5805664</v>
      </c>
      <c r="J1373">
        <v>1338.9869385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915.28050900000005</v>
      </c>
      <c r="B1374" s="1">
        <f>DATE(2012,11,1) + TIME(6,43,55)</f>
        <v>41214.280497685184</v>
      </c>
      <c r="C1374">
        <v>80</v>
      </c>
      <c r="D1374">
        <v>79.896003723000007</v>
      </c>
      <c r="E1374">
        <v>50</v>
      </c>
      <c r="F1374">
        <v>50.799037933000001</v>
      </c>
      <c r="G1374">
        <v>1328.9042969</v>
      </c>
      <c r="H1374">
        <v>1327.1115723</v>
      </c>
      <c r="I1374">
        <v>1344.0070800999999</v>
      </c>
      <c r="J1374">
        <v>1339.4075928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915.33809499999995</v>
      </c>
      <c r="B1375" s="1">
        <f>DATE(2012,11,1) + TIME(8,6,51)</f>
        <v>41214.338090277779</v>
      </c>
      <c r="C1375">
        <v>80</v>
      </c>
      <c r="D1375">
        <v>79.887886046999995</v>
      </c>
      <c r="E1375">
        <v>50</v>
      </c>
      <c r="F1375">
        <v>50.733268738</v>
      </c>
      <c r="G1375">
        <v>1328.6622314000001</v>
      </c>
      <c r="H1375">
        <v>1326.8479004000001</v>
      </c>
      <c r="I1375">
        <v>1344.3275146000001</v>
      </c>
      <c r="J1375">
        <v>1339.7242432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915.39856799999995</v>
      </c>
      <c r="B1376" s="1">
        <f>DATE(2012,11,1) + TIME(9,33,56)</f>
        <v>41214.398564814815</v>
      </c>
      <c r="C1376">
        <v>80</v>
      </c>
      <c r="D1376">
        <v>79.879600525000001</v>
      </c>
      <c r="E1376">
        <v>50</v>
      </c>
      <c r="F1376">
        <v>50.669929504000002</v>
      </c>
      <c r="G1376">
        <v>1328.4664307</v>
      </c>
      <c r="H1376">
        <v>1326.6362305</v>
      </c>
      <c r="I1376">
        <v>1344.5726318</v>
      </c>
      <c r="J1376">
        <v>1339.9674072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915.46219799999994</v>
      </c>
      <c r="B1377" s="1">
        <f>DATE(2012,11,1) + TIME(11,5,33)</f>
        <v>41214.462187500001</v>
      </c>
      <c r="C1377">
        <v>80</v>
      </c>
      <c r="D1377">
        <v>79.871086121000005</v>
      </c>
      <c r="E1377">
        <v>50</v>
      </c>
      <c r="F1377">
        <v>50.609104156000001</v>
      </c>
      <c r="G1377">
        <v>1328.3059082</v>
      </c>
      <c r="H1377">
        <v>1326.4636230000001</v>
      </c>
      <c r="I1377">
        <v>1344.7623291</v>
      </c>
      <c r="J1377">
        <v>1340.1561279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915.529312</v>
      </c>
      <c r="B1378" s="1">
        <f>DATE(2012,11,1) + TIME(12,42,12)</f>
        <v>41214.529305555552</v>
      </c>
      <c r="C1378">
        <v>80</v>
      </c>
      <c r="D1378">
        <v>79.862304687999995</v>
      </c>
      <c r="E1378">
        <v>50</v>
      </c>
      <c r="F1378">
        <v>50.550853729000004</v>
      </c>
      <c r="G1378">
        <v>1328.1729736</v>
      </c>
      <c r="H1378">
        <v>1326.3215332</v>
      </c>
      <c r="I1378">
        <v>1344.9095459</v>
      </c>
      <c r="J1378">
        <v>1340.3032227000001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915.60028999999997</v>
      </c>
      <c r="B1379" s="1">
        <f>DATE(2012,11,1) + TIME(14,24,25)</f>
        <v>41214.600289351853</v>
      </c>
      <c r="C1379">
        <v>80</v>
      </c>
      <c r="D1379">
        <v>79.853202820000007</v>
      </c>
      <c r="E1379">
        <v>50</v>
      </c>
      <c r="F1379">
        <v>50.495231627999999</v>
      </c>
      <c r="G1379">
        <v>1328.0625</v>
      </c>
      <c r="H1379">
        <v>1326.2038574000001</v>
      </c>
      <c r="I1379">
        <v>1345.0233154</v>
      </c>
      <c r="J1379">
        <v>1340.4176024999999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915.67557799999997</v>
      </c>
      <c r="B1380" s="1">
        <f>DATE(2012,11,1) + TIME(16,12,49)</f>
        <v>41214.675567129627</v>
      </c>
      <c r="C1380">
        <v>80</v>
      </c>
      <c r="D1380">
        <v>79.843727111999996</v>
      </c>
      <c r="E1380">
        <v>50</v>
      </c>
      <c r="F1380">
        <v>50.442279816000003</v>
      </c>
      <c r="G1380">
        <v>1327.9705810999999</v>
      </c>
      <c r="H1380">
        <v>1326.1063231999999</v>
      </c>
      <c r="I1380">
        <v>1345.1102295000001</v>
      </c>
      <c r="J1380">
        <v>1340.5057373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915.75570600000003</v>
      </c>
      <c r="B1381" s="1">
        <f>DATE(2012,11,1) + TIME(18,8,13)</f>
        <v>41214.755706018521</v>
      </c>
      <c r="C1381">
        <v>80</v>
      </c>
      <c r="D1381">
        <v>79.833831786999994</v>
      </c>
      <c r="E1381">
        <v>50</v>
      </c>
      <c r="F1381">
        <v>50.392028809000003</v>
      </c>
      <c r="G1381">
        <v>1327.894043</v>
      </c>
      <c r="H1381">
        <v>1326.0252685999999</v>
      </c>
      <c r="I1381">
        <v>1345.175293</v>
      </c>
      <c r="J1381">
        <v>1340.5725098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915.84130900000002</v>
      </c>
      <c r="B1382" s="1">
        <f>DATE(2012,11,1) + TIME(20,11,29)</f>
        <v>41214.841307870367</v>
      </c>
      <c r="C1382">
        <v>80</v>
      </c>
      <c r="D1382">
        <v>79.823440551999994</v>
      </c>
      <c r="E1382">
        <v>50</v>
      </c>
      <c r="F1382">
        <v>50.344516753999997</v>
      </c>
      <c r="G1382">
        <v>1327.8305664</v>
      </c>
      <c r="H1382">
        <v>1325.9581298999999</v>
      </c>
      <c r="I1382">
        <v>1345.2224120999999</v>
      </c>
      <c r="J1382">
        <v>1340.6218262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915.93315199999995</v>
      </c>
      <c r="B1383" s="1">
        <f>DATE(2012,11,1) + TIME(22,23,44)</f>
        <v>41214.933148148149</v>
      </c>
      <c r="C1383">
        <v>80</v>
      </c>
      <c r="D1383">
        <v>79.812492371000005</v>
      </c>
      <c r="E1383">
        <v>50</v>
      </c>
      <c r="F1383">
        <v>50.299766540999997</v>
      </c>
      <c r="G1383">
        <v>1327.7780762</v>
      </c>
      <c r="H1383">
        <v>1325.9027100000001</v>
      </c>
      <c r="I1383">
        <v>1345.2545166</v>
      </c>
      <c r="J1383">
        <v>1340.6567382999999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916.03216599999996</v>
      </c>
      <c r="B1384" s="1">
        <f>DATE(2012,11,2) + TIME(0,46,19)</f>
        <v>41215.032164351855</v>
      </c>
      <c r="C1384">
        <v>80</v>
      </c>
      <c r="D1384">
        <v>79.800888061999999</v>
      </c>
      <c r="E1384">
        <v>50</v>
      </c>
      <c r="F1384">
        <v>50.257816314999999</v>
      </c>
      <c r="G1384">
        <v>1327.7348632999999</v>
      </c>
      <c r="H1384">
        <v>1325.8571777</v>
      </c>
      <c r="I1384">
        <v>1345.2744141000001</v>
      </c>
      <c r="J1384">
        <v>1340.6799315999999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916.13950899999998</v>
      </c>
      <c r="B1385" s="1">
        <f>DATE(2012,11,2) + TIME(3,20,53)</f>
        <v>41215.139502314814</v>
      </c>
      <c r="C1385">
        <v>80</v>
      </c>
      <c r="D1385">
        <v>79.788528442</v>
      </c>
      <c r="E1385">
        <v>50</v>
      </c>
      <c r="F1385">
        <v>50.218688964999998</v>
      </c>
      <c r="G1385">
        <v>1327.6994629000001</v>
      </c>
      <c r="H1385">
        <v>1325.8198242000001</v>
      </c>
      <c r="I1385">
        <v>1345.2841797000001</v>
      </c>
      <c r="J1385">
        <v>1340.6933594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916.25663099999997</v>
      </c>
      <c r="B1386" s="1">
        <f>DATE(2012,11,2) + TIME(6,9,32)</f>
        <v>41215.256620370368</v>
      </c>
      <c r="C1386">
        <v>80</v>
      </c>
      <c r="D1386">
        <v>79.775276184000006</v>
      </c>
      <c r="E1386">
        <v>50</v>
      </c>
      <c r="F1386">
        <v>50.182415009000003</v>
      </c>
      <c r="G1386">
        <v>1327.6705322</v>
      </c>
      <c r="H1386">
        <v>1325.7893065999999</v>
      </c>
      <c r="I1386">
        <v>1345.2856445</v>
      </c>
      <c r="J1386">
        <v>1340.6989745999999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916.385357</v>
      </c>
      <c r="B1387" s="1">
        <f>DATE(2012,11,2) + TIME(9,14,54)</f>
        <v>41215.385347222225</v>
      </c>
      <c r="C1387">
        <v>80</v>
      </c>
      <c r="D1387">
        <v>79.760978699000006</v>
      </c>
      <c r="E1387">
        <v>50</v>
      </c>
      <c r="F1387">
        <v>50.149024963000002</v>
      </c>
      <c r="G1387">
        <v>1327.6469727000001</v>
      </c>
      <c r="H1387">
        <v>1325.7644043</v>
      </c>
      <c r="I1387">
        <v>1345.2805175999999</v>
      </c>
      <c r="J1387">
        <v>1340.6983643000001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916.52811999999994</v>
      </c>
      <c r="B1388" s="1">
        <f>DATE(2012,11,2) + TIME(12,40,29)</f>
        <v>41215.528113425928</v>
      </c>
      <c r="C1388">
        <v>80</v>
      </c>
      <c r="D1388">
        <v>79.745429993000002</v>
      </c>
      <c r="E1388">
        <v>50</v>
      </c>
      <c r="F1388">
        <v>50.118541718000003</v>
      </c>
      <c r="G1388">
        <v>1327.6276855000001</v>
      </c>
      <c r="H1388">
        <v>1325.7440185999999</v>
      </c>
      <c r="I1388">
        <v>1345.2701416</v>
      </c>
      <c r="J1388">
        <v>1340.692749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916.68814699999996</v>
      </c>
      <c r="B1389" s="1">
        <f>DATE(2012,11,2) + TIME(16,30,55)</f>
        <v>41215.688136574077</v>
      </c>
      <c r="C1389">
        <v>80</v>
      </c>
      <c r="D1389">
        <v>79.728355407999999</v>
      </c>
      <c r="E1389">
        <v>50</v>
      </c>
      <c r="F1389">
        <v>50.090991973999998</v>
      </c>
      <c r="G1389">
        <v>1327.6119385</v>
      </c>
      <c r="H1389">
        <v>1325.7272949000001</v>
      </c>
      <c r="I1389">
        <v>1345.2556152</v>
      </c>
      <c r="J1389">
        <v>1340.6833495999999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916.86986200000001</v>
      </c>
      <c r="B1390" s="1">
        <f>DATE(2012,11,2) + TIME(20,52,36)</f>
        <v>41215.86986111111</v>
      </c>
      <c r="C1390">
        <v>80</v>
      </c>
      <c r="D1390">
        <v>79.709388732999997</v>
      </c>
      <c r="E1390">
        <v>50</v>
      </c>
      <c r="F1390">
        <v>50.06640625</v>
      </c>
      <c r="G1390">
        <v>1327.5987548999999</v>
      </c>
      <c r="H1390">
        <v>1325.7132568</v>
      </c>
      <c r="I1390">
        <v>1345.2380370999999</v>
      </c>
      <c r="J1390">
        <v>1340.6711425999999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917.07953999999995</v>
      </c>
      <c r="B1391" s="1">
        <f>DATE(2012,11,3) + TIME(1,54,32)</f>
        <v>41216.07953703704</v>
      </c>
      <c r="C1391">
        <v>80</v>
      </c>
      <c r="D1391">
        <v>79.688034058</v>
      </c>
      <c r="E1391">
        <v>50</v>
      </c>
      <c r="F1391">
        <v>50.044803619</v>
      </c>
      <c r="G1391">
        <v>1327.5875243999999</v>
      </c>
      <c r="H1391">
        <v>1325.7010498</v>
      </c>
      <c r="I1391">
        <v>1345.2177733999999</v>
      </c>
      <c r="J1391">
        <v>1340.6567382999999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917.29252299999996</v>
      </c>
      <c r="B1392" s="1">
        <f>DATE(2012,11,3) + TIME(7,1,13)</f>
        <v>41216.292511574073</v>
      </c>
      <c r="C1392">
        <v>80</v>
      </c>
      <c r="D1392">
        <v>79.666389464999995</v>
      </c>
      <c r="E1392">
        <v>50</v>
      </c>
      <c r="F1392">
        <v>50.028152466000002</v>
      </c>
      <c r="G1392">
        <v>1327.5782471</v>
      </c>
      <c r="H1392">
        <v>1325.690918</v>
      </c>
      <c r="I1392">
        <v>1345.1988524999999</v>
      </c>
      <c r="J1392">
        <v>1340.6430664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917.50894500000004</v>
      </c>
      <c r="B1393" s="1">
        <f>DATE(2012,11,3) + TIME(12,12,52)</f>
        <v>41216.508935185186</v>
      </c>
      <c r="C1393">
        <v>80</v>
      </c>
      <c r="D1393">
        <v>79.644439696999996</v>
      </c>
      <c r="E1393">
        <v>50</v>
      </c>
      <c r="F1393">
        <v>50.015354156000001</v>
      </c>
      <c r="G1393">
        <v>1327.5703125</v>
      </c>
      <c r="H1393">
        <v>1325.6821289</v>
      </c>
      <c r="I1393">
        <v>1345.1806641000001</v>
      </c>
      <c r="J1393">
        <v>1340.6297606999999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917.73044300000004</v>
      </c>
      <c r="B1394" s="1">
        <f>DATE(2012,11,3) + TIME(17,31,50)</f>
        <v>41216.730439814812</v>
      </c>
      <c r="C1394">
        <v>80</v>
      </c>
      <c r="D1394">
        <v>79.622070312000005</v>
      </c>
      <c r="E1394">
        <v>50</v>
      </c>
      <c r="F1394">
        <v>50.005496979</v>
      </c>
      <c r="G1394">
        <v>1327.5633545000001</v>
      </c>
      <c r="H1394">
        <v>1325.6741943</v>
      </c>
      <c r="I1394">
        <v>1345.1630858999999</v>
      </c>
      <c r="J1394">
        <v>1340.6170654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917.95851400000004</v>
      </c>
      <c r="B1395" s="1">
        <f>DATE(2012,11,3) + TIME(23,0,15)</f>
        <v>41216.958506944444</v>
      </c>
      <c r="C1395">
        <v>80</v>
      </c>
      <c r="D1395">
        <v>79.599159240999995</v>
      </c>
      <c r="E1395">
        <v>50</v>
      </c>
      <c r="F1395">
        <v>49.997909546000002</v>
      </c>
      <c r="G1395">
        <v>1327.5570068</v>
      </c>
      <c r="H1395">
        <v>1325.6668701000001</v>
      </c>
      <c r="I1395">
        <v>1345.1464844</v>
      </c>
      <c r="J1395">
        <v>1340.6048584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918.19472800000005</v>
      </c>
      <c r="B1396" s="1">
        <f>DATE(2012,11,4) + TIME(4,40,24)</f>
        <v>41217.194722222222</v>
      </c>
      <c r="C1396">
        <v>80</v>
      </c>
      <c r="D1396">
        <v>79.575592040999993</v>
      </c>
      <c r="E1396">
        <v>50</v>
      </c>
      <c r="F1396">
        <v>49.992088318</v>
      </c>
      <c r="G1396">
        <v>1327.5509033000001</v>
      </c>
      <c r="H1396">
        <v>1325.659668</v>
      </c>
      <c r="I1396">
        <v>1345.1303711</v>
      </c>
      <c r="J1396">
        <v>1340.5932617000001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918.44078400000001</v>
      </c>
      <c r="B1397" s="1">
        <f>DATE(2012,11,4) + TIME(10,34,43)</f>
        <v>41217.440775462965</v>
      </c>
      <c r="C1397">
        <v>80</v>
      </c>
      <c r="D1397">
        <v>79.551239014000004</v>
      </c>
      <c r="E1397">
        <v>50</v>
      </c>
      <c r="F1397">
        <v>49.987636565999999</v>
      </c>
      <c r="G1397">
        <v>1327.5449219</v>
      </c>
      <c r="H1397">
        <v>1325.6527100000001</v>
      </c>
      <c r="I1397">
        <v>1345.1149902</v>
      </c>
      <c r="J1397">
        <v>1340.5821533000001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918.69858599999998</v>
      </c>
      <c r="B1398" s="1">
        <f>DATE(2012,11,4) + TIME(16,45,57)</f>
        <v>41217.698576388888</v>
      </c>
      <c r="C1398">
        <v>80</v>
      </c>
      <c r="D1398">
        <v>79.525939941000004</v>
      </c>
      <c r="E1398">
        <v>50</v>
      </c>
      <c r="F1398">
        <v>49.984256744</v>
      </c>
      <c r="G1398">
        <v>1327.5388184000001</v>
      </c>
      <c r="H1398">
        <v>1325.6455077999999</v>
      </c>
      <c r="I1398">
        <v>1345.0999756000001</v>
      </c>
      <c r="J1398">
        <v>1340.5714111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918.97032799999999</v>
      </c>
      <c r="B1399" s="1">
        <f>DATE(2012,11,4) + TIME(23,17,16)</f>
        <v>41217.970324074071</v>
      </c>
      <c r="C1399">
        <v>80</v>
      </c>
      <c r="D1399">
        <v>79.499526978000006</v>
      </c>
      <c r="E1399">
        <v>50</v>
      </c>
      <c r="F1399">
        <v>49.981712340999998</v>
      </c>
      <c r="G1399">
        <v>1327.5327147999999</v>
      </c>
      <c r="H1399">
        <v>1325.6381836</v>
      </c>
      <c r="I1399">
        <v>1345.0853271000001</v>
      </c>
      <c r="J1399">
        <v>1340.5607910000001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919.25860499999999</v>
      </c>
      <c r="B1400" s="1">
        <f>DATE(2012,11,5) + TIME(6,12,23)</f>
        <v>41218.258599537039</v>
      </c>
      <c r="C1400">
        <v>80</v>
      </c>
      <c r="D1400">
        <v>79.471809386999993</v>
      </c>
      <c r="E1400">
        <v>50</v>
      </c>
      <c r="F1400">
        <v>49.979816436999997</v>
      </c>
      <c r="G1400">
        <v>1327.5263672000001</v>
      </c>
      <c r="H1400">
        <v>1325.6303711</v>
      </c>
      <c r="I1400">
        <v>1345.0709228999999</v>
      </c>
      <c r="J1400">
        <v>1340.5504149999999</v>
      </c>
      <c r="K1400">
        <v>0</v>
      </c>
      <c r="L1400">
        <v>2400</v>
      </c>
      <c r="M1400">
        <v>2400</v>
      </c>
      <c r="N1400">
        <v>0</v>
      </c>
    </row>
    <row r="1401" spans="1:14" x14ac:dyDescent="0.25">
      <c r="A1401">
        <v>919.56655000000001</v>
      </c>
      <c r="B1401" s="1">
        <f>DATE(2012,11,5) + TIME(13,35,49)</f>
        <v>41218.56653935185</v>
      </c>
      <c r="C1401">
        <v>80</v>
      </c>
      <c r="D1401">
        <v>79.442543029999996</v>
      </c>
      <c r="E1401">
        <v>50</v>
      </c>
      <c r="F1401">
        <v>49.978424072000003</v>
      </c>
      <c r="G1401">
        <v>1327.5196533000001</v>
      </c>
      <c r="H1401">
        <v>1325.6223144999999</v>
      </c>
      <c r="I1401">
        <v>1345.0566406</v>
      </c>
      <c r="J1401">
        <v>1340.5401611</v>
      </c>
      <c r="K1401">
        <v>0</v>
      </c>
      <c r="L1401">
        <v>2400</v>
      </c>
      <c r="M1401">
        <v>2400</v>
      </c>
      <c r="N1401">
        <v>0</v>
      </c>
    </row>
    <row r="1402" spans="1:14" x14ac:dyDescent="0.25">
      <c r="A1402">
        <v>919.89507100000003</v>
      </c>
      <c r="B1402" s="1">
        <f>DATE(2012,11,5) + TIME(21,28,54)</f>
        <v>41218.895069444443</v>
      </c>
      <c r="C1402">
        <v>80</v>
      </c>
      <c r="D1402">
        <v>79.411651610999996</v>
      </c>
      <c r="E1402">
        <v>50</v>
      </c>
      <c r="F1402">
        <v>49.977416992000002</v>
      </c>
      <c r="G1402">
        <v>1327.5124512</v>
      </c>
      <c r="H1402">
        <v>1325.6135254000001</v>
      </c>
      <c r="I1402">
        <v>1345.0423584</v>
      </c>
      <c r="J1402">
        <v>1340.5299072</v>
      </c>
      <c r="K1402">
        <v>0</v>
      </c>
      <c r="L1402">
        <v>2400</v>
      </c>
      <c r="M1402">
        <v>2400</v>
      </c>
      <c r="N1402">
        <v>0</v>
      </c>
    </row>
    <row r="1403" spans="1:14" x14ac:dyDescent="0.25">
      <c r="A1403">
        <v>920.244146</v>
      </c>
      <c r="B1403" s="1">
        <f>DATE(2012,11,6) + TIME(5,51,34)</f>
        <v>41219.244143518517</v>
      </c>
      <c r="C1403">
        <v>80</v>
      </c>
      <c r="D1403">
        <v>79.379135132000002</v>
      </c>
      <c r="E1403">
        <v>50</v>
      </c>
      <c r="F1403">
        <v>49.976711272999999</v>
      </c>
      <c r="G1403">
        <v>1327.5048827999999</v>
      </c>
      <c r="H1403">
        <v>1325.6042480000001</v>
      </c>
      <c r="I1403">
        <v>1345.0280762</v>
      </c>
      <c r="J1403">
        <v>1340.5196533000001</v>
      </c>
      <c r="K1403">
        <v>0</v>
      </c>
      <c r="L1403">
        <v>2400</v>
      </c>
      <c r="M1403">
        <v>2400</v>
      </c>
      <c r="N1403">
        <v>0</v>
      </c>
    </row>
    <row r="1404" spans="1:14" x14ac:dyDescent="0.25">
      <c r="A1404">
        <v>920.61768300000006</v>
      </c>
      <c r="B1404" s="1">
        <f>DATE(2012,11,6) + TIME(14,49,27)</f>
        <v>41219.617673611108</v>
      </c>
      <c r="C1404">
        <v>80</v>
      </c>
      <c r="D1404">
        <v>79.344703674000002</v>
      </c>
      <c r="E1404">
        <v>50</v>
      </c>
      <c r="F1404">
        <v>49.976222991999997</v>
      </c>
      <c r="G1404">
        <v>1327.4968262</v>
      </c>
      <c r="H1404">
        <v>1325.5942382999999</v>
      </c>
      <c r="I1404">
        <v>1345.0139160000001</v>
      </c>
      <c r="J1404">
        <v>1340.5092772999999</v>
      </c>
      <c r="K1404">
        <v>0</v>
      </c>
      <c r="L1404">
        <v>2400</v>
      </c>
      <c r="M1404">
        <v>2400</v>
      </c>
      <c r="N1404">
        <v>0</v>
      </c>
    </row>
    <row r="1405" spans="1:14" x14ac:dyDescent="0.25">
      <c r="A1405">
        <v>921.00614499999995</v>
      </c>
      <c r="B1405" s="1">
        <f>DATE(2012,11,7) + TIME(0,8,50)</f>
        <v>41220.00613425926</v>
      </c>
      <c r="C1405">
        <v>80</v>
      </c>
      <c r="D1405">
        <v>79.308982849000003</v>
      </c>
      <c r="E1405">
        <v>50</v>
      </c>
      <c r="F1405">
        <v>49.975894928000002</v>
      </c>
      <c r="G1405">
        <v>1327.4880370999999</v>
      </c>
      <c r="H1405">
        <v>1325.5834961</v>
      </c>
      <c r="I1405">
        <v>1344.9996338000001</v>
      </c>
      <c r="J1405">
        <v>1340.4989014</v>
      </c>
      <c r="K1405">
        <v>0</v>
      </c>
      <c r="L1405">
        <v>2400</v>
      </c>
      <c r="M1405">
        <v>2400</v>
      </c>
      <c r="N1405">
        <v>0</v>
      </c>
    </row>
    <row r="1406" spans="1:14" x14ac:dyDescent="0.25">
      <c r="A1406">
        <v>921.40496700000006</v>
      </c>
      <c r="B1406" s="1">
        <f>DATE(2012,11,7) + TIME(9,43,9)</f>
        <v>41220.404965277776</v>
      </c>
      <c r="C1406">
        <v>80</v>
      </c>
      <c r="D1406">
        <v>79.272323607999994</v>
      </c>
      <c r="E1406">
        <v>50</v>
      </c>
      <c r="F1406">
        <v>49.975685120000001</v>
      </c>
      <c r="G1406">
        <v>1327.4790039</v>
      </c>
      <c r="H1406">
        <v>1325.5721435999999</v>
      </c>
      <c r="I1406">
        <v>1344.9855957</v>
      </c>
      <c r="J1406">
        <v>1340.4887695</v>
      </c>
      <c r="K1406">
        <v>0</v>
      </c>
      <c r="L1406">
        <v>2400</v>
      </c>
      <c r="M1406">
        <v>2400</v>
      </c>
      <c r="N1406">
        <v>0</v>
      </c>
    </row>
    <row r="1407" spans="1:14" x14ac:dyDescent="0.25">
      <c r="A1407">
        <v>921.815068</v>
      </c>
      <c r="B1407" s="1">
        <f>DATE(2012,11,7) + TIME(19,33,41)</f>
        <v>41220.815057870372</v>
      </c>
      <c r="C1407">
        <v>80</v>
      </c>
      <c r="D1407">
        <v>79.234718322999996</v>
      </c>
      <c r="E1407">
        <v>50</v>
      </c>
      <c r="F1407">
        <v>49.975547790999997</v>
      </c>
      <c r="G1407">
        <v>1327.4694824000001</v>
      </c>
      <c r="H1407">
        <v>1325.5604248</v>
      </c>
      <c r="I1407">
        <v>1344.9720459</v>
      </c>
      <c r="J1407">
        <v>1340.4787598</v>
      </c>
      <c r="K1407">
        <v>0</v>
      </c>
      <c r="L1407">
        <v>2400</v>
      </c>
      <c r="M1407">
        <v>2400</v>
      </c>
      <c r="N1407">
        <v>0</v>
      </c>
    </row>
    <row r="1408" spans="1:14" x14ac:dyDescent="0.25">
      <c r="A1408">
        <v>922.23729800000001</v>
      </c>
      <c r="B1408" s="1">
        <f>DATE(2012,11,8) + TIME(5,41,42)</f>
        <v>41221.237291666665</v>
      </c>
      <c r="C1408">
        <v>80</v>
      </c>
      <c r="D1408">
        <v>79.196159363000007</v>
      </c>
      <c r="E1408">
        <v>50</v>
      </c>
      <c r="F1408">
        <v>49.975460052000003</v>
      </c>
      <c r="G1408">
        <v>1327.4595947</v>
      </c>
      <c r="H1408">
        <v>1325.5480957</v>
      </c>
      <c r="I1408">
        <v>1344.9588623</v>
      </c>
      <c r="J1408">
        <v>1340.4691161999999</v>
      </c>
      <c r="K1408">
        <v>0</v>
      </c>
      <c r="L1408">
        <v>2400</v>
      </c>
      <c r="M1408">
        <v>2400</v>
      </c>
      <c r="N1408">
        <v>0</v>
      </c>
    </row>
    <row r="1409" spans="1:14" x14ac:dyDescent="0.25">
      <c r="A1409">
        <v>922.67256099999997</v>
      </c>
      <c r="B1409" s="1">
        <f>DATE(2012,11,8) + TIME(16,8,29)</f>
        <v>41221.67255787037</v>
      </c>
      <c r="C1409">
        <v>80</v>
      </c>
      <c r="D1409">
        <v>79.156639099000003</v>
      </c>
      <c r="E1409">
        <v>50</v>
      </c>
      <c r="F1409">
        <v>49.975402832</v>
      </c>
      <c r="G1409">
        <v>1327.4493408000001</v>
      </c>
      <c r="H1409">
        <v>1325.5352783000001</v>
      </c>
      <c r="I1409">
        <v>1344.9459228999999</v>
      </c>
      <c r="J1409">
        <v>1340.4595947</v>
      </c>
      <c r="K1409">
        <v>0</v>
      </c>
      <c r="L1409">
        <v>2400</v>
      </c>
      <c r="M1409">
        <v>2400</v>
      </c>
      <c r="N1409">
        <v>0</v>
      </c>
    </row>
    <row r="1410" spans="1:14" x14ac:dyDescent="0.25">
      <c r="A1410">
        <v>923.11750199999994</v>
      </c>
      <c r="B1410" s="1">
        <f>DATE(2012,11,9) + TIME(2,49,12)</f>
        <v>41222.1175</v>
      </c>
      <c r="C1410">
        <v>80</v>
      </c>
      <c r="D1410">
        <v>79.116378784000005</v>
      </c>
      <c r="E1410">
        <v>50</v>
      </c>
      <c r="F1410">
        <v>49.975368500000002</v>
      </c>
      <c r="G1410">
        <v>1327.4387207</v>
      </c>
      <c r="H1410">
        <v>1325.5218506000001</v>
      </c>
      <c r="I1410">
        <v>1344.9333495999999</v>
      </c>
      <c r="J1410">
        <v>1340.4501952999999</v>
      </c>
      <c r="K1410">
        <v>0</v>
      </c>
      <c r="L1410">
        <v>2400</v>
      </c>
      <c r="M1410">
        <v>2400</v>
      </c>
      <c r="N1410">
        <v>0</v>
      </c>
    </row>
    <row r="1411" spans="1:14" x14ac:dyDescent="0.25">
      <c r="A1411">
        <v>923.57107900000005</v>
      </c>
      <c r="B1411" s="1">
        <f>DATE(2012,11,9) + TIME(13,42,21)</f>
        <v>41222.571076388886</v>
      </c>
      <c r="C1411">
        <v>80</v>
      </c>
      <c r="D1411">
        <v>79.075500488000003</v>
      </c>
      <c r="E1411">
        <v>50</v>
      </c>
      <c r="F1411">
        <v>49.975345611999998</v>
      </c>
      <c r="G1411">
        <v>1327.4277344</v>
      </c>
      <c r="H1411">
        <v>1325.5079346</v>
      </c>
      <c r="I1411">
        <v>1344.9211425999999</v>
      </c>
      <c r="J1411">
        <v>1340.4410399999999</v>
      </c>
      <c r="K1411">
        <v>0</v>
      </c>
      <c r="L1411">
        <v>2400</v>
      </c>
      <c r="M1411">
        <v>2400</v>
      </c>
      <c r="N1411">
        <v>0</v>
      </c>
    </row>
    <row r="1412" spans="1:14" x14ac:dyDescent="0.25">
      <c r="A1412">
        <v>924.034448</v>
      </c>
      <c r="B1412" s="1">
        <f>DATE(2012,11,10) + TIME(0,49,36)</f>
        <v>41223.034444444442</v>
      </c>
      <c r="C1412">
        <v>80</v>
      </c>
      <c r="D1412">
        <v>79.033966063999998</v>
      </c>
      <c r="E1412">
        <v>50</v>
      </c>
      <c r="F1412">
        <v>49.975334167</v>
      </c>
      <c r="G1412">
        <v>1327.4163818</v>
      </c>
      <c r="H1412">
        <v>1325.4936522999999</v>
      </c>
      <c r="I1412">
        <v>1344.9091797000001</v>
      </c>
      <c r="J1412">
        <v>1340.432251</v>
      </c>
      <c r="K1412">
        <v>0</v>
      </c>
      <c r="L1412">
        <v>2400</v>
      </c>
      <c r="M1412">
        <v>2400</v>
      </c>
      <c r="N1412">
        <v>0</v>
      </c>
    </row>
    <row r="1413" spans="1:14" x14ac:dyDescent="0.25">
      <c r="A1413">
        <v>924.50858100000005</v>
      </c>
      <c r="B1413" s="1">
        <f>DATE(2012,11,10) + TIME(12,12,21)</f>
        <v>41223.508576388886</v>
      </c>
      <c r="C1413">
        <v>80</v>
      </c>
      <c r="D1413">
        <v>78.991752625000004</v>
      </c>
      <c r="E1413">
        <v>50</v>
      </c>
      <c r="F1413">
        <v>49.975322722999998</v>
      </c>
      <c r="G1413">
        <v>1327.4047852000001</v>
      </c>
      <c r="H1413">
        <v>1325.4788818</v>
      </c>
      <c r="I1413">
        <v>1344.8977050999999</v>
      </c>
      <c r="J1413">
        <v>1340.4234618999999</v>
      </c>
      <c r="K1413">
        <v>0</v>
      </c>
      <c r="L1413">
        <v>2400</v>
      </c>
      <c r="M1413">
        <v>2400</v>
      </c>
      <c r="N1413">
        <v>0</v>
      </c>
    </row>
    <row r="1414" spans="1:14" x14ac:dyDescent="0.25">
      <c r="A1414">
        <v>924.99344599999995</v>
      </c>
      <c r="B1414" s="1">
        <f>DATE(2012,11,10) + TIME(23,50,33)</f>
        <v>41223.993437500001</v>
      </c>
      <c r="C1414">
        <v>80</v>
      </c>
      <c r="D1414">
        <v>78.948860167999996</v>
      </c>
      <c r="E1414">
        <v>50</v>
      </c>
      <c r="F1414">
        <v>49.975318909000002</v>
      </c>
      <c r="G1414">
        <v>1327.3927002</v>
      </c>
      <c r="H1414">
        <v>1325.4636230000001</v>
      </c>
      <c r="I1414">
        <v>1344.8863524999999</v>
      </c>
      <c r="J1414">
        <v>1340.4150391000001</v>
      </c>
      <c r="K1414">
        <v>0</v>
      </c>
      <c r="L1414">
        <v>2400</v>
      </c>
      <c r="M1414">
        <v>2400</v>
      </c>
      <c r="N1414">
        <v>0</v>
      </c>
    </row>
    <row r="1415" spans="1:14" x14ac:dyDescent="0.25">
      <c r="A1415">
        <v>925.48449200000005</v>
      </c>
      <c r="B1415" s="1">
        <f>DATE(2012,11,11) + TIME(11,37,40)</f>
        <v>41224.484490740739</v>
      </c>
      <c r="C1415">
        <v>80</v>
      </c>
      <c r="D1415">
        <v>78.905593871999997</v>
      </c>
      <c r="E1415">
        <v>50</v>
      </c>
      <c r="F1415">
        <v>49.975315094000003</v>
      </c>
      <c r="G1415">
        <v>1327.380249</v>
      </c>
      <c r="H1415">
        <v>1325.447876</v>
      </c>
      <c r="I1415">
        <v>1344.8753661999999</v>
      </c>
      <c r="J1415">
        <v>1340.4066161999999</v>
      </c>
      <c r="K1415">
        <v>0</v>
      </c>
      <c r="L1415">
        <v>2400</v>
      </c>
      <c r="M1415">
        <v>2400</v>
      </c>
      <c r="N1415">
        <v>0</v>
      </c>
    </row>
    <row r="1416" spans="1:14" x14ac:dyDescent="0.25">
      <c r="A1416">
        <v>925.98287400000004</v>
      </c>
      <c r="B1416" s="1">
        <f>DATE(2012,11,11) + TIME(23,35,20)</f>
        <v>41224.982870370368</v>
      </c>
      <c r="C1416">
        <v>80</v>
      </c>
      <c r="D1416">
        <v>78.861915588000002</v>
      </c>
      <c r="E1416">
        <v>50</v>
      </c>
      <c r="F1416">
        <v>49.975311279000003</v>
      </c>
      <c r="G1416">
        <v>1327.3675536999999</v>
      </c>
      <c r="H1416">
        <v>1325.4316406</v>
      </c>
      <c r="I1416">
        <v>1344.864624</v>
      </c>
      <c r="J1416">
        <v>1340.3985596</v>
      </c>
      <c r="K1416">
        <v>0</v>
      </c>
      <c r="L1416">
        <v>2400</v>
      </c>
      <c r="M1416">
        <v>2400</v>
      </c>
      <c r="N1416">
        <v>0</v>
      </c>
    </row>
    <row r="1417" spans="1:14" x14ac:dyDescent="0.25">
      <c r="A1417">
        <v>926.48936700000002</v>
      </c>
      <c r="B1417" s="1">
        <f>DATE(2012,11,12) + TIME(11,44,41)</f>
        <v>41225.489363425928</v>
      </c>
      <c r="C1417">
        <v>80</v>
      </c>
      <c r="D1417">
        <v>78.817825317</v>
      </c>
      <c r="E1417">
        <v>50</v>
      </c>
      <c r="F1417">
        <v>49.975311279000003</v>
      </c>
      <c r="G1417">
        <v>1327.3546143000001</v>
      </c>
      <c r="H1417">
        <v>1325.4151611</v>
      </c>
      <c r="I1417">
        <v>1344.8542480000001</v>
      </c>
      <c r="J1417">
        <v>1340.3905029</v>
      </c>
      <c r="K1417">
        <v>0</v>
      </c>
      <c r="L1417">
        <v>2400</v>
      </c>
      <c r="M1417">
        <v>2400</v>
      </c>
      <c r="N1417">
        <v>0</v>
      </c>
    </row>
    <row r="1418" spans="1:14" x14ac:dyDescent="0.25">
      <c r="A1418">
        <v>927.00523299999998</v>
      </c>
      <c r="B1418" s="1">
        <f>DATE(2012,11,13) + TIME(0,7,32)</f>
        <v>41226.005231481482</v>
      </c>
      <c r="C1418">
        <v>80</v>
      </c>
      <c r="D1418">
        <v>78.773246764999996</v>
      </c>
      <c r="E1418">
        <v>50</v>
      </c>
      <c r="F1418">
        <v>49.975311279000003</v>
      </c>
      <c r="G1418">
        <v>1327.3411865</v>
      </c>
      <c r="H1418">
        <v>1325.3980713000001</v>
      </c>
      <c r="I1418">
        <v>1344.8441161999999</v>
      </c>
      <c r="J1418">
        <v>1340.3828125</v>
      </c>
      <c r="K1418">
        <v>0</v>
      </c>
      <c r="L1418">
        <v>2400</v>
      </c>
      <c r="M1418">
        <v>2400</v>
      </c>
      <c r="N1418">
        <v>0</v>
      </c>
    </row>
    <row r="1419" spans="1:14" x14ac:dyDescent="0.25">
      <c r="A1419">
        <v>927.53160000000003</v>
      </c>
      <c r="B1419" s="1">
        <f>DATE(2012,11,13) + TIME(12,45,30)</f>
        <v>41226.531597222223</v>
      </c>
      <c r="C1419">
        <v>80</v>
      </c>
      <c r="D1419">
        <v>78.728126525999997</v>
      </c>
      <c r="E1419">
        <v>50</v>
      </c>
      <c r="F1419">
        <v>49.975307465</v>
      </c>
      <c r="G1419">
        <v>1327.3275146000001</v>
      </c>
      <c r="H1419">
        <v>1325.3806152</v>
      </c>
      <c r="I1419">
        <v>1344.8342285000001</v>
      </c>
      <c r="J1419">
        <v>1340.3751221</v>
      </c>
      <c r="K1419">
        <v>0</v>
      </c>
      <c r="L1419">
        <v>2400</v>
      </c>
      <c r="M1419">
        <v>2400</v>
      </c>
      <c r="N1419">
        <v>0</v>
      </c>
    </row>
    <row r="1420" spans="1:14" x14ac:dyDescent="0.25">
      <c r="A1420">
        <v>928.06957</v>
      </c>
      <c r="B1420" s="1">
        <f>DATE(2012,11,14) + TIME(1,40,10)</f>
        <v>41227.069560185184</v>
      </c>
      <c r="C1420">
        <v>80</v>
      </c>
      <c r="D1420">
        <v>78.682395935000002</v>
      </c>
      <c r="E1420">
        <v>50</v>
      </c>
      <c r="F1420">
        <v>49.975311279000003</v>
      </c>
      <c r="G1420">
        <v>1327.3134766000001</v>
      </c>
      <c r="H1420">
        <v>1325.3626709</v>
      </c>
      <c r="I1420">
        <v>1344.8245850000001</v>
      </c>
      <c r="J1420">
        <v>1340.3676757999999</v>
      </c>
      <c r="K1420">
        <v>0</v>
      </c>
      <c r="L1420">
        <v>2400</v>
      </c>
      <c r="M1420">
        <v>2400</v>
      </c>
      <c r="N1420">
        <v>0</v>
      </c>
    </row>
    <row r="1421" spans="1:14" x14ac:dyDescent="0.25">
      <c r="A1421">
        <v>928.62027499999999</v>
      </c>
      <c r="B1421" s="1">
        <f>DATE(2012,11,14) + TIME(14,53,11)</f>
        <v>41227.620266203703</v>
      </c>
      <c r="C1421">
        <v>80</v>
      </c>
      <c r="D1421">
        <v>78.635986328000001</v>
      </c>
      <c r="E1421">
        <v>50</v>
      </c>
      <c r="F1421">
        <v>49.975311279000003</v>
      </c>
      <c r="G1421">
        <v>1327.2990723</v>
      </c>
      <c r="H1421">
        <v>1325.3441161999999</v>
      </c>
      <c r="I1421">
        <v>1344.8149414</v>
      </c>
      <c r="J1421">
        <v>1340.3602295000001</v>
      </c>
      <c r="K1421">
        <v>0</v>
      </c>
      <c r="L1421">
        <v>2400</v>
      </c>
      <c r="M1421">
        <v>2400</v>
      </c>
      <c r="N1421">
        <v>0</v>
      </c>
    </row>
    <row r="1422" spans="1:14" x14ac:dyDescent="0.25">
      <c r="A1422">
        <v>929.18491500000005</v>
      </c>
      <c r="B1422" s="1">
        <f>DATE(2012,11,15) + TIME(4,26,16)</f>
        <v>41228.184907407405</v>
      </c>
      <c r="C1422">
        <v>80</v>
      </c>
      <c r="D1422">
        <v>78.588821410999998</v>
      </c>
      <c r="E1422">
        <v>50</v>
      </c>
      <c r="F1422">
        <v>49.975311279000003</v>
      </c>
      <c r="G1422">
        <v>1327.2841797000001</v>
      </c>
      <c r="H1422">
        <v>1325.3249512</v>
      </c>
      <c r="I1422">
        <v>1344.8056641000001</v>
      </c>
      <c r="J1422">
        <v>1340.3529053</v>
      </c>
      <c r="K1422">
        <v>0</v>
      </c>
      <c r="L1422">
        <v>2400</v>
      </c>
      <c r="M1422">
        <v>2400</v>
      </c>
      <c r="N1422">
        <v>0</v>
      </c>
    </row>
    <row r="1423" spans="1:14" x14ac:dyDescent="0.25">
      <c r="A1423">
        <v>929.76471500000002</v>
      </c>
      <c r="B1423" s="1">
        <f>DATE(2012,11,15) + TIME(18,21,11)</f>
        <v>41228.764710648145</v>
      </c>
      <c r="C1423">
        <v>80</v>
      </c>
      <c r="D1423">
        <v>78.540817261000001</v>
      </c>
      <c r="E1423">
        <v>50</v>
      </c>
      <c r="F1423">
        <v>49.975311279000003</v>
      </c>
      <c r="G1423">
        <v>1327.2687988</v>
      </c>
      <c r="H1423">
        <v>1325.3051757999999</v>
      </c>
      <c r="I1423">
        <v>1344.7963867000001</v>
      </c>
      <c r="J1423">
        <v>1340.3455810999999</v>
      </c>
      <c r="K1423">
        <v>0</v>
      </c>
      <c r="L1423">
        <v>2400</v>
      </c>
      <c r="M1423">
        <v>2400</v>
      </c>
      <c r="N1423">
        <v>0</v>
      </c>
    </row>
    <row r="1424" spans="1:14" x14ac:dyDescent="0.25">
      <c r="A1424">
        <v>930.36098100000004</v>
      </c>
      <c r="B1424" s="1">
        <f>DATE(2012,11,16) + TIME(8,39,48)</f>
        <v>41229.360972222225</v>
      </c>
      <c r="C1424">
        <v>80</v>
      </c>
      <c r="D1424">
        <v>78.491897582999997</v>
      </c>
      <c r="E1424">
        <v>50</v>
      </c>
      <c r="F1424">
        <v>49.975315094000003</v>
      </c>
      <c r="G1424">
        <v>1327.2528076000001</v>
      </c>
      <c r="H1424">
        <v>1325.2847899999999</v>
      </c>
      <c r="I1424">
        <v>1344.7871094</v>
      </c>
      <c r="J1424">
        <v>1340.3383789</v>
      </c>
      <c r="K1424">
        <v>0</v>
      </c>
      <c r="L1424">
        <v>2400</v>
      </c>
      <c r="M1424">
        <v>2400</v>
      </c>
      <c r="N1424">
        <v>0</v>
      </c>
    </row>
    <row r="1425" spans="1:14" x14ac:dyDescent="0.25">
      <c r="A1425">
        <v>930.9751</v>
      </c>
      <c r="B1425" s="1">
        <f>DATE(2012,11,16) + TIME(23,24,8)</f>
        <v>41229.975092592591</v>
      </c>
      <c r="C1425">
        <v>80</v>
      </c>
      <c r="D1425">
        <v>78.441970824999999</v>
      </c>
      <c r="E1425">
        <v>50</v>
      </c>
      <c r="F1425">
        <v>49.975315094000003</v>
      </c>
      <c r="G1425">
        <v>1327.2364502</v>
      </c>
      <c r="H1425">
        <v>1325.2635498</v>
      </c>
      <c r="I1425">
        <v>1344.7780762</v>
      </c>
      <c r="J1425">
        <v>1340.3311768000001</v>
      </c>
      <c r="K1425">
        <v>0</v>
      </c>
      <c r="L1425">
        <v>2400</v>
      </c>
      <c r="M1425">
        <v>2400</v>
      </c>
      <c r="N1425">
        <v>0</v>
      </c>
    </row>
    <row r="1426" spans="1:14" x14ac:dyDescent="0.25">
      <c r="A1426">
        <v>931.60854200000006</v>
      </c>
      <c r="B1426" s="1">
        <f>DATE(2012,11,17) + TIME(14,36,18)</f>
        <v>41230.608541666668</v>
      </c>
      <c r="C1426">
        <v>80</v>
      </c>
      <c r="D1426">
        <v>78.390953064000001</v>
      </c>
      <c r="E1426">
        <v>50</v>
      </c>
      <c r="F1426">
        <v>49.975318909000002</v>
      </c>
      <c r="G1426">
        <v>1327.2193603999999</v>
      </c>
      <c r="H1426">
        <v>1325.2415771000001</v>
      </c>
      <c r="I1426">
        <v>1344.769043</v>
      </c>
      <c r="J1426">
        <v>1340.3239745999999</v>
      </c>
      <c r="K1426">
        <v>0</v>
      </c>
      <c r="L1426">
        <v>2400</v>
      </c>
      <c r="M1426">
        <v>2400</v>
      </c>
      <c r="N1426">
        <v>0</v>
      </c>
    </row>
    <row r="1427" spans="1:14" x14ac:dyDescent="0.25">
      <c r="A1427">
        <v>932.26270399999999</v>
      </c>
      <c r="B1427" s="1">
        <f>DATE(2012,11,18) + TIME(6,18,17)</f>
        <v>41231.262696759259</v>
      </c>
      <c r="C1427">
        <v>80</v>
      </c>
      <c r="D1427">
        <v>78.338752747000001</v>
      </c>
      <c r="E1427">
        <v>50</v>
      </c>
      <c r="F1427">
        <v>49.975322722999998</v>
      </c>
      <c r="G1427">
        <v>1327.2016602000001</v>
      </c>
      <c r="H1427">
        <v>1325.2186279</v>
      </c>
      <c r="I1427">
        <v>1344.7601318</v>
      </c>
      <c r="J1427">
        <v>1340.3168945</v>
      </c>
      <c r="K1427">
        <v>0</v>
      </c>
      <c r="L1427">
        <v>2400</v>
      </c>
      <c r="M1427">
        <v>2400</v>
      </c>
      <c r="N1427">
        <v>0</v>
      </c>
    </row>
    <row r="1428" spans="1:14" x14ac:dyDescent="0.25">
      <c r="A1428">
        <v>932.93931099999998</v>
      </c>
      <c r="B1428" s="1">
        <f>DATE(2012,11,18) + TIME(22,32,36)</f>
        <v>41231.939305555556</v>
      </c>
      <c r="C1428">
        <v>80</v>
      </c>
      <c r="D1428">
        <v>78.285278320000003</v>
      </c>
      <c r="E1428">
        <v>50</v>
      </c>
      <c r="F1428">
        <v>49.975326537999997</v>
      </c>
      <c r="G1428">
        <v>1327.1832274999999</v>
      </c>
      <c r="H1428">
        <v>1325.1949463000001</v>
      </c>
      <c r="I1428">
        <v>1344.7510986</v>
      </c>
      <c r="J1428">
        <v>1340.3096923999999</v>
      </c>
      <c r="K1428">
        <v>0</v>
      </c>
      <c r="L1428">
        <v>2400</v>
      </c>
      <c r="M1428">
        <v>2400</v>
      </c>
      <c r="N1428">
        <v>0</v>
      </c>
    </row>
    <row r="1429" spans="1:14" x14ac:dyDescent="0.25">
      <c r="A1429">
        <v>933.64033199999994</v>
      </c>
      <c r="B1429" s="1">
        <f>DATE(2012,11,19) + TIME(15,22,4)</f>
        <v>41232.640324074076</v>
      </c>
      <c r="C1429">
        <v>80</v>
      </c>
      <c r="D1429">
        <v>78.230415343999994</v>
      </c>
      <c r="E1429">
        <v>50</v>
      </c>
      <c r="F1429">
        <v>49.975330352999997</v>
      </c>
      <c r="G1429">
        <v>1327.1640625</v>
      </c>
      <c r="H1429">
        <v>1325.1701660000001</v>
      </c>
      <c r="I1429">
        <v>1344.7421875</v>
      </c>
      <c r="J1429">
        <v>1340.3024902</v>
      </c>
      <c r="K1429">
        <v>0</v>
      </c>
      <c r="L1429">
        <v>2400</v>
      </c>
      <c r="M1429">
        <v>2400</v>
      </c>
      <c r="N1429">
        <v>0</v>
      </c>
    </row>
    <row r="1430" spans="1:14" x14ac:dyDescent="0.25">
      <c r="A1430">
        <v>934.36780799999997</v>
      </c>
      <c r="B1430" s="1">
        <f>DATE(2012,11,20) + TIME(8,49,38)</f>
        <v>41233.367800925924</v>
      </c>
      <c r="C1430">
        <v>80</v>
      </c>
      <c r="D1430">
        <v>78.174049377000003</v>
      </c>
      <c r="E1430">
        <v>50</v>
      </c>
      <c r="F1430">
        <v>49.975334167</v>
      </c>
      <c r="G1430">
        <v>1327.1441649999999</v>
      </c>
      <c r="H1430">
        <v>1325.1442870999999</v>
      </c>
      <c r="I1430">
        <v>1344.7332764</v>
      </c>
      <c r="J1430">
        <v>1340.2952881000001</v>
      </c>
      <c r="K1430">
        <v>0</v>
      </c>
      <c r="L1430">
        <v>2400</v>
      </c>
      <c r="M1430">
        <v>2400</v>
      </c>
      <c r="N1430">
        <v>0</v>
      </c>
    </row>
    <row r="1431" spans="1:14" x14ac:dyDescent="0.25">
      <c r="A1431">
        <v>935.12398099999996</v>
      </c>
      <c r="B1431" s="1">
        <f>DATE(2012,11,21) + TIME(2,58,31)</f>
        <v>41234.123969907407</v>
      </c>
      <c r="C1431">
        <v>80</v>
      </c>
      <c r="D1431">
        <v>78.116050720000004</v>
      </c>
      <c r="E1431">
        <v>50</v>
      </c>
      <c r="F1431">
        <v>49.975341796999999</v>
      </c>
      <c r="G1431">
        <v>1327.1232910000001</v>
      </c>
      <c r="H1431">
        <v>1325.1173096</v>
      </c>
      <c r="I1431">
        <v>1344.7243652</v>
      </c>
      <c r="J1431">
        <v>1340.2880858999999</v>
      </c>
      <c r="K1431">
        <v>0</v>
      </c>
      <c r="L1431">
        <v>2400</v>
      </c>
      <c r="M1431">
        <v>2400</v>
      </c>
      <c r="N1431">
        <v>0</v>
      </c>
    </row>
    <row r="1432" spans="1:14" x14ac:dyDescent="0.25">
      <c r="A1432">
        <v>935.91131900000005</v>
      </c>
      <c r="B1432" s="1">
        <f>DATE(2012,11,21) + TIME(21,52,17)</f>
        <v>41234.911307870374</v>
      </c>
      <c r="C1432">
        <v>80</v>
      </c>
      <c r="D1432">
        <v>78.056304932000003</v>
      </c>
      <c r="E1432">
        <v>50</v>
      </c>
      <c r="F1432">
        <v>49.975349426000001</v>
      </c>
      <c r="G1432">
        <v>1327.1015625</v>
      </c>
      <c r="H1432">
        <v>1325.0889893000001</v>
      </c>
      <c r="I1432">
        <v>1344.7154541</v>
      </c>
      <c r="J1432">
        <v>1340.2807617000001</v>
      </c>
      <c r="K1432">
        <v>0</v>
      </c>
      <c r="L1432">
        <v>2400</v>
      </c>
      <c r="M1432">
        <v>2400</v>
      </c>
      <c r="N1432">
        <v>0</v>
      </c>
    </row>
    <row r="1433" spans="1:14" x14ac:dyDescent="0.25">
      <c r="A1433">
        <v>936.73254599999996</v>
      </c>
      <c r="B1433" s="1">
        <f>DATE(2012,11,22) + TIME(17,34,51)</f>
        <v>41235.732534722221</v>
      </c>
      <c r="C1433">
        <v>80</v>
      </c>
      <c r="D1433">
        <v>77.994651794000006</v>
      </c>
      <c r="E1433">
        <v>50</v>
      </c>
      <c r="F1433">
        <v>49.975357056</v>
      </c>
      <c r="G1433">
        <v>1327.0787353999999</v>
      </c>
      <c r="H1433">
        <v>1325.0593262</v>
      </c>
      <c r="I1433">
        <v>1344.706543</v>
      </c>
      <c r="J1433">
        <v>1340.2734375</v>
      </c>
      <c r="K1433">
        <v>0</v>
      </c>
      <c r="L1433">
        <v>2400</v>
      </c>
      <c r="M1433">
        <v>2400</v>
      </c>
      <c r="N1433">
        <v>0</v>
      </c>
    </row>
    <row r="1434" spans="1:14" x14ac:dyDescent="0.25">
      <c r="A1434">
        <v>937.589204</v>
      </c>
      <c r="B1434" s="1">
        <f>DATE(2012,11,23) + TIME(14,8,27)</f>
        <v>41236.589201388888</v>
      </c>
      <c r="C1434">
        <v>80</v>
      </c>
      <c r="D1434">
        <v>77.931007385000001</v>
      </c>
      <c r="E1434">
        <v>50</v>
      </c>
      <c r="F1434">
        <v>49.975364685000002</v>
      </c>
      <c r="G1434">
        <v>1327.0548096</v>
      </c>
      <c r="H1434">
        <v>1325.0283202999999</v>
      </c>
      <c r="I1434">
        <v>1344.6975098</v>
      </c>
      <c r="J1434">
        <v>1340.2659911999999</v>
      </c>
      <c r="K1434">
        <v>0</v>
      </c>
      <c r="L1434">
        <v>2400</v>
      </c>
      <c r="M1434">
        <v>2400</v>
      </c>
      <c r="N1434">
        <v>0</v>
      </c>
    </row>
    <row r="1435" spans="1:14" x14ac:dyDescent="0.25">
      <c r="A1435">
        <v>938.46305900000004</v>
      </c>
      <c r="B1435" s="1">
        <f>DATE(2012,11,24) + TIME(11,6,48)</f>
        <v>41237.463055555556</v>
      </c>
      <c r="C1435">
        <v>80</v>
      </c>
      <c r="D1435">
        <v>77.866058350000003</v>
      </c>
      <c r="E1435">
        <v>50</v>
      </c>
      <c r="F1435">
        <v>49.975372313999998</v>
      </c>
      <c r="G1435">
        <v>1327.0297852000001</v>
      </c>
      <c r="H1435">
        <v>1324.9957274999999</v>
      </c>
      <c r="I1435">
        <v>1344.6883545000001</v>
      </c>
      <c r="J1435">
        <v>1340.2584228999999</v>
      </c>
      <c r="K1435">
        <v>0</v>
      </c>
      <c r="L1435">
        <v>2400</v>
      </c>
      <c r="M1435">
        <v>2400</v>
      </c>
      <c r="N1435">
        <v>0</v>
      </c>
    </row>
    <row r="1436" spans="1:14" x14ac:dyDescent="0.25">
      <c r="A1436">
        <v>939.35627199999999</v>
      </c>
      <c r="B1436" s="1">
        <f>DATE(2012,11,25) + TIME(8,33,1)</f>
        <v>41238.356261574074</v>
      </c>
      <c r="C1436">
        <v>80</v>
      </c>
      <c r="D1436">
        <v>77.800018311000002</v>
      </c>
      <c r="E1436">
        <v>50</v>
      </c>
      <c r="F1436">
        <v>49.975379943999997</v>
      </c>
      <c r="G1436">
        <v>1327.0039062000001</v>
      </c>
      <c r="H1436">
        <v>1324.9620361</v>
      </c>
      <c r="I1436">
        <v>1344.6794434000001</v>
      </c>
      <c r="J1436">
        <v>1340.2509766000001</v>
      </c>
      <c r="K1436">
        <v>0</v>
      </c>
      <c r="L1436">
        <v>2400</v>
      </c>
      <c r="M1436">
        <v>2400</v>
      </c>
      <c r="N1436">
        <v>0</v>
      </c>
    </row>
    <row r="1437" spans="1:14" x14ac:dyDescent="0.25">
      <c r="A1437">
        <v>940.26278000000002</v>
      </c>
      <c r="B1437" s="1">
        <f>DATE(2012,11,26) + TIME(6,18,24)</f>
        <v>41239.262777777774</v>
      </c>
      <c r="C1437">
        <v>80</v>
      </c>
      <c r="D1437">
        <v>77.733268738000007</v>
      </c>
      <c r="E1437">
        <v>50</v>
      </c>
      <c r="F1437">
        <v>49.975391387999998</v>
      </c>
      <c r="G1437">
        <v>1326.9774170000001</v>
      </c>
      <c r="H1437">
        <v>1324.9274902</v>
      </c>
      <c r="I1437">
        <v>1344.6706543</v>
      </c>
      <c r="J1437">
        <v>1340.2436522999999</v>
      </c>
      <c r="K1437">
        <v>0</v>
      </c>
      <c r="L1437">
        <v>2400</v>
      </c>
      <c r="M1437">
        <v>2400</v>
      </c>
      <c r="N1437">
        <v>0</v>
      </c>
    </row>
    <row r="1438" spans="1:14" x14ac:dyDescent="0.25">
      <c r="A1438">
        <v>941.18359399999997</v>
      </c>
      <c r="B1438" s="1">
        <f>DATE(2012,11,27) + TIME(4,24,22)</f>
        <v>41240.183587962965</v>
      </c>
      <c r="C1438">
        <v>80</v>
      </c>
      <c r="D1438">
        <v>77.665954589999998</v>
      </c>
      <c r="E1438">
        <v>50</v>
      </c>
      <c r="F1438">
        <v>49.975402832</v>
      </c>
      <c r="G1438">
        <v>1326.9501952999999</v>
      </c>
      <c r="H1438">
        <v>1324.8919678</v>
      </c>
      <c r="I1438">
        <v>1344.6621094</v>
      </c>
      <c r="J1438">
        <v>1340.2363281</v>
      </c>
      <c r="K1438">
        <v>0</v>
      </c>
      <c r="L1438">
        <v>2400</v>
      </c>
      <c r="M1438">
        <v>2400</v>
      </c>
      <c r="N1438">
        <v>0</v>
      </c>
    </row>
    <row r="1439" spans="1:14" x14ac:dyDescent="0.25">
      <c r="A1439">
        <v>942.11992299999997</v>
      </c>
      <c r="B1439" s="1">
        <f>DATE(2012,11,28) + TIME(2,52,41)</f>
        <v>41241.11991898148</v>
      </c>
      <c r="C1439">
        <v>80</v>
      </c>
      <c r="D1439">
        <v>77.598129271999994</v>
      </c>
      <c r="E1439">
        <v>50</v>
      </c>
      <c r="F1439">
        <v>49.975410461000003</v>
      </c>
      <c r="G1439">
        <v>1326.9224853999999</v>
      </c>
      <c r="H1439">
        <v>1324.8557129000001</v>
      </c>
      <c r="I1439">
        <v>1344.6536865</v>
      </c>
      <c r="J1439">
        <v>1340.2292480000001</v>
      </c>
      <c r="K1439">
        <v>0</v>
      </c>
      <c r="L1439">
        <v>2400</v>
      </c>
      <c r="M1439">
        <v>2400</v>
      </c>
      <c r="N1439">
        <v>0</v>
      </c>
    </row>
    <row r="1440" spans="1:14" x14ac:dyDescent="0.25">
      <c r="A1440">
        <v>943.07125399999995</v>
      </c>
      <c r="B1440" s="1">
        <f>DATE(2012,11,29) + TIME(1,42,36)</f>
        <v>41242.071250000001</v>
      </c>
      <c r="C1440">
        <v>80</v>
      </c>
      <c r="D1440">
        <v>77.529846191000004</v>
      </c>
      <c r="E1440">
        <v>50</v>
      </c>
      <c r="F1440">
        <v>49.975425719999997</v>
      </c>
      <c r="G1440">
        <v>1326.8941649999999</v>
      </c>
      <c r="H1440">
        <v>1324.8186035000001</v>
      </c>
      <c r="I1440">
        <v>1344.6453856999999</v>
      </c>
      <c r="J1440">
        <v>1340.222168</v>
      </c>
      <c r="K1440">
        <v>0</v>
      </c>
      <c r="L1440">
        <v>2400</v>
      </c>
      <c r="M1440">
        <v>2400</v>
      </c>
      <c r="N1440">
        <v>0</v>
      </c>
    </row>
    <row r="1441" spans="1:14" x14ac:dyDescent="0.25">
      <c r="A1441">
        <v>944.03955800000006</v>
      </c>
      <c r="B1441" s="1">
        <f>DATE(2012,11,30) + TIME(0,56,57)</f>
        <v>41243.039548611108</v>
      </c>
      <c r="C1441">
        <v>80</v>
      </c>
      <c r="D1441">
        <v>77.461067200000002</v>
      </c>
      <c r="E1441">
        <v>50</v>
      </c>
      <c r="F1441">
        <v>49.975437163999999</v>
      </c>
      <c r="G1441">
        <v>1326.8651123</v>
      </c>
      <c r="H1441">
        <v>1324.7806396000001</v>
      </c>
      <c r="I1441">
        <v>1344.637207</v>
      </c>
      <c r="J1441">
        <v>1340.2152100000001</v>
      </c>
      <c r="K1441">
        <v>0</v>
      </c>
      <c r="L1441">
        <v>2400</v>
      </c>
      <c r="M1441">
        <v>2400</v>
      </c>
      <c r="N1441">
        <v>0</v>
      </c>
    </row>
    <row r="1442" spans="1:14" x14ac:dyDescent="0.25">
      <c r="A1442">
        <v>945</v>
      </c>
      <c r="B1442" s="1">
        <f>DATE(2012,12,1) + TIME(0,0,0)</f>
        <v>41244</v>
      </c>
      <c r="C1442">
        <v>80</v>
      </c>
      <c r="D1442">
        <v>77.392677307</v>
      </c>
      <c r="E1442">
        <v>50</v>
      </c>
      <c r="F1442">
        <v>49.975448608000001</v>
      </c>
      <c r="G1442">
        <v>1326.8355713000001</v>
      </c>
      <c r="H1442">
        <v>1324.7419434000001</v>
      </c>
      <c r="I1442">
        <v>1344.6291504000001</v>
      </c>
      <c r="J1442">
        <v>1340.2082519999999</v>
      </c>
      <c r="K1442">
        <v>0</v>
      </c>
      <c r="L1442">
        <v>2400</v>
      </c>
      <c r="M1442">
        <v>2400</v>
      </c>
      <c r="N1442">
        <v>0</v>
      </c>
    </row>
    <row r="1443" spans="1:14" x14ac:dyDescent="0.25">
      <c r="A1443">
        <v>945.98725100000001</v>
      </c>
      <c r="B1443" s="1">
        <f>DATE(2012,12,1) + TIME(23,41,38)</f>
        <v>41244.987245370372</v>
      </c>
      <c r="C1443">
        <v>80</v>
      </c>
      <c r="D1443">
        <v>77.323875427000004</v>
      </c>
      <c r="E1443">
        <v>50</v>
      </c>
      <c r="F1443">
        <v>49.975460052000003</v>
      </c>
      <c r="G1443">
        <v>1326.8057861</v>
      </c>
      <c r="H1443">
        <v>1324.7030029</v>
      </c>
      <c r="I1443">
        <v>1344.6214600000001</v>
      </c>
      <c r="J1443">
        <v>1340.2016602000001</v>
      </c>
      <c r="K1443">
        <v>0</v>
      </c>
      <c r="L1443">
        <v>2400</v>
      </c>
      <c r="M1443">
        <v>2400</v>
      </c>
      <c r="N1443">
        <v>0</v>
      </c>
    </row>
    <row r="1444" spans="1:14" x14ac:dyDescent="0.25">
      <c r="A1444">
        <v>947.01786300000003</v>
      </c>
      <c r="B1444" s="1">
        <f>DATE(2012,12,3) + TIME(0,25,43)</f>
        <v>41246.017858796295</v>
      </c>
      <c r="C1444">
        <v>80</v>
      </c>
      <c r="D1444">
        <v>77.253761291999993</v>
      </c>
      <c r="E1444">
        <v>50</v>
      </c>
      <c r="F1444">
        <v>49.975475310999997</v>
      </c>
      <c r="G1444">
        <v>1326.7752685999999</v>
      </c>
      <c r="H1444">
        <v>1324.6628418</v>
      </c>
      <c r="I1444">
        <v>1344.6137695</v>
      </c>
      <c r="J1444">
        <v>1340.1949463000001</v>
      </c>
      <c r="K1444">
        <v>0</v>
      </c>
      <c r="L1444">
        <v>2400</v>
      </c>
      <c r="M1444">
        <v>2400</v>
      </c>
      <c r="N1444">
        <v>0</v>
      </c>
    </row>
    <row r="1445" spans="1:14" x14ac:dyDescent="0.25">
      <c r="A1445">
        <v>948.07329900000002</v>
      </c>
      <c r="B1445" s="1">
        <f>DATE(2012,12,4) + TIME(1,45,33)</f>
        <v>41247.073298611111</v>
      </c>
      <c r="C1445">
        <v>80</v>
      </c>
      <c r="D1445">
        <v>77.182479857999994</v>
      </c>
      <c r="E1445">
        <v>50</v>
      </c>
      <c r="F1445">
        <v>49.975490569999998</v>
      </c>
      <c r="G1445">
        <v>1326.7434082</v>
      </c>
      <c r="H1445">
        <v>1324.6209716999999</v>
      </c>
      <c r="I1445">
        <v>1344.6060791</v>
      </c>
      <c r="J1445">
        <v>1340.1882324000001</v>
      </c>
      <c r="K1445">
        <v>0</v>
      </c>
      <c r="L1445">
        <v>2400</v>
      </c>
      <c r="M1445">
        <v>2400</v>
      </c>
      <c r="N1445">
        <v>0</v>
      </c>
    </row>
    <row r="1446" spans="1:14" x14ac:dyDescent="0.25">
      <c r="A1446">
        <v>949.15628500000003</v>
      </c>
      <c r="B1446" s="1">
        <f>DATE(2012,12,5) + TIME(3,45,3)</f>
        <v>41248.156284722223</v>
      </c>
      <c r="C1446">
        <v>80</v>
      </c>
      <c r="D1446">
        <v>77.110069275000001</v>
      </c>
      <c r="E1446">
        <v>50</v>
      </c>
      <c r="F1446">
        <v>49.975505828999999</v>
      </c>
      <c r="G1446">
        <v>1326.7104492000001</v>
      </c>
      <c r="H1446">
        <v>1324.5778809000001</v>
      </c>
      <c r="I1446">
        <v>1344.5983887</v>
      </c>
      <c r="J1446">
        <v>1340.1813964999999</v>
      </c>
      <c r="K1446">
        <v>0</v>
      </c>
      <c r="L1446">
        <v>2400</v>
      </c>
      <c r="M1446">
        <v>2400</v>
      </c>
      <c r="N1446">
        <v>0</v>
      </c>
    </row>
    <row r="1447" spans="1:14" x14ac:dyDescent="0.25">
      <c r="A1447">
        <v>950.26883199999997</v>
      </c>
      <c r="B1447" s="1">
        <f>DATE(2012,12,6) + TIME(6,27,7)</f>
        <v>41249.268831018519</v>
      </c>
      <c r="C1447">
        <v>80</v>
      </c>
      <c r="D1447">
        <v>77.036521911999998</v>
      </c>
      <c r="E1447">
        <v>50</v>
      </c>
      <c r="F1447">
        <v>49.975521088000001</v>
      </c>
      <c r="G1447">
        <v>1326.6766356999999</v>
      </c>
      <c r="H1447">
        <v>1324.5333252</v>
      </c>
      <c r="I1447">
        <v>1344.5906981999999</v>
      </c>
      <c r="J1447">
        <v>1340.1746826000001</v>
      </c>
      <c r="K1447">
        <v>0</v>
      </c>
      <c r="L1447">
        <v>2400</v>
      </c>
      <c r="M1447">
        <v>2400</v>
      </c>
      <c r="N1447">
        <v>0</v>
      </c>
    </row>
    <row r="1448" spans="1:14" x14ac:dyDescent="0.25">
      <c r="A1448">
        <v>951.41356099999996</v>
      </c>
      <c r="B1448" s="1">
        <f>DATE(2012,12,7) + TIME(9,55,31)</f>
        <v>41250.413553240738</v>
      </c>
      <c r="C1448">
        <v>80</v>
      </c>
      <c r="D1448">
        <v>76.961746215999995</v>
      </c>
      <c r="E1448">
        <v>50</v>
      </c>
      <c r="F1448">
        <v>49.975540160999998</v>
      </c>
      <c r="G1448">
        <v>1326.6417236</v>
      </c>
      <c r="H1448">
        <v>1324.4874268000001</v>
      </c>
      <c r="I1448">
        <v>1344.5830077999999</v>
      </c>
      <c r="J1448">
        <v>1340.1679687999999</v>
      </c>
      <c r="K1448">
        <v>0</v>
      </c>
      <c r="L1448">
        <v>2400</v>
      </c>
      <c r="M1448">
        <v>2400</v>
      </c>
      <c r="N1448">
        <v>0</v>
      </c>
    </row>
    <row r="1449" spans="1:14" x14ac:dyDescent="0.25">
      <c r="A1449">
        <v>952.59337200000004</v>
      </c>
      <c r="B1449" s="1">
        <f>DATE(2012,12,8) + TIME(14,14,27)</f>
        <v>41251.593368055554</v>
      </c>
      <c r="C1449">
        <v>80</v>
      </c>
      <c r="D1449">
        <v>76.885643005000006</v>
      </c>
      <c r="E1449">
        <v>50</v>
      </c>
      <c r="F1449">
        <v>49.975559234999999</v>
      </c>
      <c r="G1449">
        <v>1326.6055908000001</v>
      </c>
      <c r="H1449">
        <v>1324.4399414</v>
      </c>
      <c r="I1449">
        <v>1344.5754394999999</v>
      </c>
      <c r="J1449">
        <v>1340.1612548999999</v>
      </c>
      <c r="K1449">
        <v>0</v>
      </c>
      <c r="L1449">
        <v>2400</v>
      </c>
      <c r="M1449">
        <v>2400</v>
      </c>
      <c r="N1449">
        <v>0</v>
      </c>
    </row>
    <row r="1450" spans="1:14" x14ac:dyDescent="0.25">
      <c r="A1450">
        <v>953.81130599999995</v>
      </c>
      <c r="B1450" s="1">
        <f>DATE(2012,12,9) + TIME(19,28,16)</f>
        <v>41252.811296296299</v>
      </c>
      <c r="C1450">
        <v>80</v>
      </c>
      <c r="D1450">
        <v>76.808097838999998</v>
      </c>
      <c r="E1450">
        <v>50</v>
      </c>
      <c r="F1450">
        <v>49.975574493000003</v>
      </c>
      <c r="G1450">
        <v>1326.5682373</v>
      </c>
      <c r="H1450">
        <v>1324.3907471</v>
      </c>
      <c r="I1450">
        <v>1344.5678711</v>
      </c>
      <c r="J1450">
        <v>1340.1544189000001</v>
      </c>
      <c r="K1450">
        <v>0</v>
      </c>
      <c r="L1450">
        <v>2400</v>
      </c>
      <c r="M1450">
        <v>2400</v>
      </c>
      <c r="N1450">
        <v>0</v>
      </c>
    </row>
    <row r="1451" spans="1:14" x14ac:dyDescent="0.25">
      <c r="A1451">
        <v>955.07065299999999</v>
      </c>
      <c r="B1451" s="1">
        <f>DATE(2012,12,11) + TIME(1,41,44)</f>
        <v>41254.070648148147</v>
      </c>
      <c r="C1451">
        <v>80</v>
      </c>
      <c r="D1451">
        <v>76.728973389000004</v>
      </c>
      <c r="E1451">
        <v>50</v>
      </c>
      <c r="F1451">
        <v>49.975597381999997</v>
      </c>
      <c r="G1451">
        <v>1326.5295410000001</v>
      </c>
      <c r="H1451">
        <v>1324.3397216999999</v>
      </c>
      <c r="I1451">
        <v>1344.5603027</v>
      </c>
      <c r="J1451">
        <v>1340.1477050999999</v>
      </c>
      <c r="K1451">
        <v>0</v>
      </c>
      <c r="L1451">
        <v>2400</v>
      </c>
      <c r="M1451">
        <v>2400</v>
      </c>
      <c r="N1451">
        <v>0</v>
      </c>
    </row>
    <row r="1452" spans="1:14" x14ac:dyDescent="0.25">
      <c r="A1452">
        <v>956.35751500000003</v>
      </c>
      <c r="B1452" s="1">
        <f>DATE(2012,12,12) + TIME(8,34,49)</f>
        <v>41255.357511574075</v>
      </c>
      <c r="C1452">
        <v>80</v>
      </c>
      <c r="D1452">
        <v>76.648582458000007</v>
      </c>
      <c r="E1452">
        <v>50</v>
      </c>
      <c r="F1452">
        <v>49.975616455000001</v>
      </c>
      <c r="G1452">
        <v>1326.4895019999999</v>
      </c>
      <c r="H1452">
        <v>1324.2868652</v>
      </c>
      <c r="I1452">
        <v>1344.5527344</v>
      </c>
      <c r="J1452">
        <v>1340.1408690999999</v>
      </c>
      <c r="K1452">
        <v>0</v>
      </c>
      <c r="L1452">
        <v>2400</v>
      </c>
      <c r="M1452">
        <v>2400</v>
      </c>
      <c r="N1452">
        <v>0</v>
      </c>
    </row>
    <row r="1453" spans="1:14" x14ac:dyDescent="0.25">
      <c r="A1453">
        <v>957.66914599999996</v>
      </c>
      <c r="B1453" s="1">
        <f>DATE(2012,12,13) + TIME(16,3,34)</f>
        <v>41256.66914351852</v>
      </c>
      <c r="C1453">
        <v>80</v>
      </c>
      <c r="D1453">
        <v>76.567298889</v>
      </c>
      <c r="E1453">
        <v>50</v>
      </c>
      <c r="F1453">
        <v>49.975635529000002</v>
      </c>
      <c r="G1453">
        <v>1326.4482422000001</v>
      </c>
      <c r="H1453">
        <v>1324.2324219</v>
      </c>
      <c r="I1453">
        <v>1344.5451660000001</v>
      </c>
      <c r="J1453">
        <v>1340.1340332</v>
      </c>
      <c r="K1453">
        <v>0</v>
      </c>
      <c r="L1453">
        <v>2400</v>
      </c>
      <c r="M1453">
        <v>2400</v>
      </c>
      <c r="N1453">
        <v>0</v>
      </c>
    </row>
    <row r="1454" spans="1:14" x14ac:dyDescent="0.25">
      <c r="A1454">
        <v>959.00313400000005</v>
      </c>
      <c r="B1454" s="1">
        <f>DATE(2012,12,15) + TIME(0,4,30)</f>
        <v>41258.003125000003</v>
      </c>
      <c r="C1454">
        <v>80</v>
      </c>
      <c r="D1454">
        <v>76.485374450999998</v>
      </c>
      <c r="E1454">
        <v>50</v>
      </c>
      <c r="F1454">
        <v>49.975658416999998</v>
      </c>
      <c r="G1454">
        <v>1326.4060059000001</v>
      </c>
      <c r="H1454">
        <v>1324.1767577999999</v>
      </c>
      <c r="I1454">
        <v>1344.5377197</v>
      </c>
      <c r="J1454">
        <v>1340.1273193</v>
      </c>
      <c r="K1454">
        <v>0</v>
      </c>
      <c r="L1454">
        <v>2400</v>
      </c>
      <c r="M1454">
        <v>2400</v>
      </c>
      <c r="N1454">
        <v>0</v>
      </c>
    </row>
    <row r="1455" spans="1:14" x14ac:dyDescent="0.25">
      <c r="A1455">
        <v>960.35771099999999</v>
      </c>
      <c r="B1455" s="1">
        <f>DATE(2012,12,16) + TIME(8,35,6)</f>
        <v>41259.357708333337</v>
      </c>
      <c r="C1455">
        <v>80</v>
      </c>
      <c r="D1455">
        <v>76.403030396000005</v>
      </c>
      <c r="E1455">
        <v>50</v>
      </c>
      <c r="F1455">
        <v>49.975681305000002</v>
      </c>
      <c r="G1455">
        <v>1326.3629149999999</v>
      </c>
      <c r="H1455">
        <v>1324.119751</v>
      </c>
      <c r="I1455">
        <v>1344.5303954999999</v>
      </c>
      <c r="J1455">
        <v>1340.1206055</v>
      </c>
      <c r="K1455">
        <v>0</v>
      </c>
      <c r="L1455">
        <v>2400</v>
      </c>
      <c r="M1455">
        <v>2400</v>
      </c>
      <c r="N1455">
        <v>0</v>
      </c>
    </row>
    <row r="1456" spans="1:14" x14ac:dyDescent="0.25">
      <c r="A1456">
        <v>961.73578499999996</v>
      </c>
      <c r="B1456" s="1">
        <f>DATE(2012,12,17) + TIME(17,39,31)</f>
        <v>41260.735775462963</v>
      </c>
      <c r="C1456">
        <v>80</v>
      </c>
      <c r="D1456">
        <v>76.320297241000006</v>
      </c>
      <c r="E1456">
        <v>50</v>
      </c>
      <c r="F1456">
        <v>49.975700377999999</v>
      </c>
      <c r="G1456">
        <v>1326.3189697</v>
      </c>
      <c r="H1456">
        <v>1324.0615233999999</v>
      </c>
      <c r="I1456">
        <v>1344.5231934000001</v>
      </c>
      <c r="J1456">
        <v>1340.1140137</v>
      </c>
      <c r="K1456">
        <v>0</v>
      </c>
      <c r="L1456">
        <v>2400</v>
      </c>
      <c r="M1456">
        <v>2400</v>
      </c>
      <c r="N1456">
        <v>0</v>
      </c>
    </row>
    <row r="1457" spans="1:14" x14ac:dyDescent="0.25">
      <c r="A1457">
        <v>963.14025800000002</v>
      </c>
      <c r="B1457" s="1">
        <f>DATE(2012,12,19) + TIME(3,21,58)</f>
        <v>41262.14025462963</v>
      </c>
      <c r="C1457">
        <v>80</v>
      </c>
      <c r="D1457">
        <v>76.237121582</v>
      </c>
      <c r="E1457">
        <v>50</v>
      </c>
      <c r="F1457">
        <v>49.975723266999999</v>
      </c>
      <c r="G1457">
        <v>1326.2740478999999</v>
      </c>
      <c r="H1457">
        <v>1324.0020752</v>
      </c>
      <c r="I1457">
        <v>1344.5159911999999</v>
      </c>
      <c r="J1457">
        <v>1340.1074219</v>
      </c>
      <c r="K1457">
        <v>0</v>
      </c>
      <c r="L1457">
        <v>2400</v>
      </c>
      <c r="M1457">
        <v>2400</v>
      </c>
      <c r="N1457">
        <v>0</v>
      </c>
    </row>
    <row r="1458" spans="1:14" x14ac:dyDescent="0.25">
      <c r="A1458">
        <v>964.571372</v>
      </c>
      <c r="B1458" s="1">
        <f>DATE(2012,12,20) + TIME(13,42,46)</f>
        <v>41263.57136574074</v>
      </c>
      <c r="C1458">
        <v>80</v>
      </c>
      <c r="D1458">
        <v>76.153450011999993</v>
      </c>
      <c r="E1458">
        <v>50</v>
      </c>
      <c r="F1458">
        <v>49.975749968999999</v>
      </c>
      <c r="G1458">
        <v>1326.2281493999999</v>
      </c>
      <c r="H1458">
        <v>1323.9414062000001</v>
      </c>
      <c r="I1458">
        <v>1344.5089111</v>
      </c>
      <c r="J1458">
        <v>1340.1008300999999</v>
      </c>
      <c r="K1458">
        <v>0</v>
      </c>
      <c r="L1458">
        <v>2400</v>
      </c>
      <c r="M1458">
        <v>2400</v>
      </c>
      <c r="N1458">
        <v>0</v>
      </c>
    </row>
    <row r="1459" spans="1:14" x14ac:dyDescent="0.25">
      <c r="A1459">
        <v>966.031924</v>
      </c>
      <c r="B1459" s="1">
        <f>DATE(2012,12,22) + TIME(0,45,58)</f>
        <v>41265.031921296293</v>
      </c>
      <c r="C1459">
        <v>80</v>
      </c>
      <c r="D1459">
        <v>76.069213867000002</v>
      </c>
      <c r="E1459">
        <v>50</v>
      </c>
      <c r="F1459">
        <v>49.975772857999999</v>
      </c>
      <c r="G1459">
        <v>1326.1812743999999</v>
      </c>
      <c r="H1459">
        <v>1323.8791504000001</v>
      </c>
      <c r="I1459">
        <v>1344.5019531</v>
      </c>
      <c r="J1459">
        <v>1340.0943603999999</v>
      </c>
      <c r="K1459">
        <v>0</v>
      </c>
      <c r="L1459">
        <v>2400</v>
      </c>
      <c r="M1459">
        <v>2400</v>
      </c>
      <c r="N1459">
        <v>0</v>
      </c>
    </row>
    <row r="1460" spans="1:14" x14ac:dyDescent="0.25">
      <c r="A1460">
        <v>967.52505900000006</v>
      </c>
      <c r="B1460" s="1">
        <f>DATE(2012,12,23) + TIME(12,36,5)</f>
        <v>41266.525057870371</v>
      </c>
      <c r="C1460">
        <v>80</v>
      </c>
      <c r="D1460">
        <v>75.984306334999999</v>
      </c>
      <c r="E1460">
        <v>50</v>
      </c>
      <c r="F1460">
        <v>49.975795746000003</v>
      </c>
      <c r="G1460">
        <v>1326.1333007999999</v>
      </c>
      <c r="H1460">
        <v>1323.8155518000001</v>
      </c>
      <c r="I1460">
        <v>1344.4949951000001</v>
      </c>
      <c r="J1460">
        <v>1340.0880127</v>
      </c>
      <c r="K1460">
        <v>0</v>
      </c>
      <c r="L1460">
        <v>2400</v>
      </c>
      <c r="M1460">
        <v>2400</v>
      </c>
      <c r="N1460">
        <v>0</v>
      </c>
    </row>
    <row r="1461" spans="1:14" x14ac:dyDescent="0.25">
      <c r="A1461">
        <v>969.05415300000004</v>
      </c>
      <c r="B1461" s="1">
        <f>DATE(2012,12,25) + TIME(1,17,58)</f>
        <v>41268.054143518515</v>
      </c>
      <c r="C1461">
        <v>80</v>
      </c>
      <c r="D1461">
        <v>75.898597717000001</v>
      </c>
      <c r="E1461">
        <v>50</v>
      </c>
      <c r="F1461">
        <v>49.975822448999999</v>
      </c>
      <c r="G1461">
        <v>1326.0841064000001</v>
      </c>
      <c r="H1461">
        <v>1323.7502440999999</v>
      </c>
      <c r="I1461">
        <v>1344.4880370999999</v>
      </c>
      <c r="J1461">
        <v>1340.081543</v>
      </c>
      <c r="K1461">
        <v>0</v>
      </c>
      <c r="L1461">
        <v>2400</v>
      </c>
      <c r="M1461">
        <v>2400</v>
      </c>
      <c r="N1461">
        <v>0</v>
      </c>
    </row>
    <row r="1462" spans="1:14" x14ac:dyDescent="0.25">
      <c r="A1462">
        <v>970.62261699999999</v>
      </c>
      <c r="B1462" s="1">
        <f>DATE(2012,12,26) + TIME(14,56,34)</f>
        <v>41269.622615740744</v>
      </c>
      <c r="C1462">
        <v>80</v>
      </c>
      <c r="D1462">
        <v>75.811943053999997</v>
      </c>
      <c r="E1462">
        <v>50</v>
      </c>
      <c r="F1462">
        <v>49.975849152000002</v>
      </c>
      <c r="G1462">
        <v>1326.0335693</v>
      </c>
      <c r="H1462">
        <v>1323.6832274999999</v>
      </c>
      <c r="I1462">
        <v>1344.4812012</v>
      </c>
      <c r="J1462">
        <v>1340.0750731999999</v>
      </c>
      <c r="K1462">
        <v>0</v>
      </c>
      <c r="L1462">
        <v>2400</v>
      </c>
      <c r="M1462">
        <v>2400</v>
      </c>
      <c r="N1462">
        <v>0</v>
      </c>
    </row>
    <row r="1463" spans="1:14" x14ac:dyDescent="0.25">
      <c r="A1463">
        <v>972.23343</v>
      </c>
      <c r="B1463" s="1">
        <f>DATE(2012,12,28) + TIME(5,36,8)</f>
        <v>41271.233425925922</v>
      </c>
      <c r="C1463">
        <v>80</v>
      </c>
      <c r="D1463">
        <v>75.724205017000003</v>
      </c>
      <c r="E1463">
        <v>50</v>
      </c>
      <c r="F1463">
        <v>49.975875854000002</v>
      </c>
      <c r="G1463">
        <v>1325.9816894999999</v>
      </c>
      <c r="H1463">
        <v>1323.6142577999999</v>
      </c>
      <c r="I1463">
        <v>1344.4743652</v>
      </c>
      <c r="J1463">
        <v>1340.0687256000001</v>
      </c>
      <c r="K1463">
        <v>0</v>
      </c>
      <c r="L1463">
        <v>2400</v>
      </c>
      <c r="M1463">
        <v>2400</v>
      </c>
      <c r="N1463">
        <v>0</v>
      </c>
    </row>
    <row r="1464" spans="1:14" x14ac:dyDescent="0.25">
      <c r="A1464">
        <v>973.89063799999997</v>
      </c>
      <c r="B1464" s="1">
        <f>DATE(2012,12,29) + TIME(21,22,31)</f>
        <v>41272.890636574077</v>
      </c>
      <c r="C1464">
        <v>80</v>
      </c>
      <c r="D1464">
        <v>75.635253906000003</v>
      </c>
      <c r="E1464">
        <v>50</v>
      </c>
      <c r="F1464">
        <v>49.975902556999998</v>
      </c>
      <c r="G1464">
        <v>1325.9282227000001</v>
      </c>
      <c r="H1464">
        <v>1323.5433350000001</v>
      </c>
      <c r="I1464">
        <v>1344.4674072</v>
      </c>
      <c r="J1464">
        <v>1340.0622559000001</v>
      </c>
      <c r="K1464">
        <v>0</v>
      </c>
      <c r="L1464">
        <v>2400</v>
      </c>
      <c r="M1464">
        <v>2400</v>
      </c>
      <c r="N1464">
        <v>0</v>
      </c>
    </row>
    <row r="1465" spans="1:14" x14ac:dyDescent="0.25">
      <c r="A1465">
        <v>975.59853599999997</v>
      </c>
      <c r="B1465" s="1">
        <f>DATE(2012,12,31) + TIME(14,21,53)</f>
        <v>41274.598530092589</v>
      </c>
      <c r="C1465">
        <v>80</v>
      </c>
      <c r="D1465">
        <v>75.544921875</v>
      </c>
      <c r="E1465">
        <v>50</v>
      </c>
      <c r="F1465">
        <v>49.975933075</v>
      </c>
      <c r="G1465">
        <v>1325.8731689000001</v>
      </c>
      <c r="H1465">
        <v>1323.4700928</v>
      </c>
      <c r="I1465">
        <v>1344.4605713000001</v>
      </c>
      <c r="J1465">
        <v>1340.0559082</v>
      </c>
      <c r="K1465">
        <v>0</v>
      </c>
      <c r="L1465">
        <v>2400</v>
      </c>
      <c r="M1465">
        <v>2400</v>
      </c>
      <c r="N1465">
        <v>0</v>
      </c>
    </row>
    <row r="1466" spans="1:14" x14ac:dyDescent="0.25">
      <c r="A1466">
        <v>976</v>
      </c>
      <c r="B1466" s="1">
        <f>DATE(2013,1,1) + TIME(0,0,0)</f>
        <v>41275</v>
      </c>
      <c r="C1466">
        <v>80</v>
      </c>
      <c r="D1466">
        <v>75.501373290999993</v>
      </c>
      <c r="E1466">
        <v>50</v>
      </c>
      <c r="F1466">
        <v>49.975933075</v>
      </c>
      <c r="G1466">
        <v>1325.8239745999999</v>
      </c>
      <c r="H1466">
        <v>1323.4042969</v>
      </c>
      <c r="I1466">
        <v>1344.4537353999999</v>
      </c>
      <c r="J1466">
        <v>1340.0500488</v>
      </c>
      <c r="K1466">
        <v>0</v>
      </c>
      <c r="L1466">
        <v>2400</v>
      </c>
      <c r="M1466">
        <v>2400</v>
      </c>
      <c r="N1466">
        <v>0</v>
      </c>
    </row>
    <row r="1467" spans="1:14" x14ac:dyDescent="0.25">
      <c r="A1467">
        <v>977.74905000000001</v>
      </c>
      <c r="B1467" s="1">
        <f>DATE(2013,1,2) + TIME(17,58,37)</f>
        <v>41276.749039351853</v>
      </c>
      <c r="C1467">
        <v>80</v>
      </c>
      <c r="D1467">
        <v>75.424652100000003</v>
      </c>
      <c r="E1467">
        <v>50</v>
      </c>
      <c r="F1467">
        <v>49.975967406999999</v>
      </c>
      <c r="G1467">
        <v>1325.7973632999999</v>
      </c>
      <c r="H1467">
        <v>1323.3686522999999</v>
      </c>
      <c r="I1467">
        <v>1344.4520264</v>
      </c>
      <c r="J1467">
        <v>1340.0476074000001</v>
      </c>
      <c r="K1467">
        <v>0</v>
      </c>
      <c r="L1467">
        <v>2400</v>
      </c>
      <c r="M1467">
        <v>2400</v>
      </c>
      <c r="N1467">
        <v>0</v>
      </c>
    </row>
    <row r="1468" spans="1:14" x14ac:dyDescent="0.25">
      <c r="A1468">
        <v>979.53776900000003</v>
      </c>
      <c r="B1468" s="1">
        <f>DATE(2013,1,4) + TIME(12,54,23)</f>
        <v>41278.537766203706</v>
      </c>
      <c r="C1468">
        <v>80</v>
      </c>
      <c r="D1468">
        <v>75.337089539000004</v>
      </c>
      <c r="E1468">
        <v>50</v>
      </c>
      <c r="F1468">
        <v>49.975997925000001</v>
      </c>
      <c r="G1468">
        <v>1325.7429199000001</v>
      </c>
      <c r="H1468">
        <v>1323.2963867000001</v>
      </c>
      <c r="I1468">
        <v>1344.4453125</v>
      </c>
      <c r="J1468">
        <v>1340.0413818</v>
      </c>
      <c r="K1468">
        <v>0</v>
      </c>
      <c r="L1468">
        <v>2400</v>
      </c>
      <c r="M1468">
        <v>2400</v>
      </c>
      <c r="N1468">
        <v>0</v>
      </c>
    </row>
    <row r="1469" spans="1:14" x14ac:dyDescent="0.25">
      <c r="A1469">
        <v>981.35731899999996</v>
      </c>
      <c r="B1469" s="1">
        <f>DATE(2013,1,6) + TIME(8,34,32)</f>
        <v>41280.357314814813</v>
      </c>
      <c r="C1469">
        <v>80</v>
      </c>
      <c r="D1469">
        <v>75.245445251000007</v>
      </c>
      <c r="E1469">
        <v>50</v>
      </c>
      <c r="F1469">
        <v>49.976028442</v>
      </c>
      <c r="G1469">
        <v>1325.6842041</v>
      </c>
      <c r="H1469">
        <v>1323.2182617000001</v>
      </c>
      <c r="I1469">
        <v>1344.4384766000001</v>
      </c>
      <c r="J1469">
        <v>1340.0350341999999</v>
      </c>
      <c r="K1469">
        <v>0</v>
      </c>
      <c r="L1469">
        <v>2400</v>
      </c>
      <c r="M1469">
        <v>2400</v>
      </c>
      <c r="N1469">
        <v>0</v>
      </c>
    </row>
    <row r="1470" spans="1:14" x14ac:dyDescent="0.25">
      <c r="A1470">
        <v>983.20655899999997</v>
      </c>
      <c r="B1470" s="1">
        <f>DATE(2013,1,8) + TIME(4,57,26)</f>
        <v>41282.206550925926</v>
      </c>
      <c r="C1470">
        <v>80</v>
      </c>
      <c r="D1470">
        <v>75.152221679999997</v>
      </c>
      <c r="E1470">
        <v>50</v>
      </c>
      <c r="F1470">
        <v>49.976058960000003</v>
      </c>
      <c r="G1470">
        <v>1325.6235352000001</v>
      </c>
      <c r="H1470">
        <v>1323.1373291</v>
      </c>
      <c r="I1470">
        <v>1344.4317627</v>
      </c>
      <c r="J1470">
        <v>1340.0286865</v>
      </c>
      <c r="K1470">
        <v>0</v>
      </c>
      <c r="L1470">
        <v>2400</v>
      </c>
      <c r="M1470">
        <v>2400</v>
      </c>
      <c r="N1470">
        <v>0</v>
      </c>
    </row>
    <row r="1471" spans="1:14" x14ac:dyDescent="0.25">
      <c r="A1471">
        <v>985.08966699999996</v>
      </c>
      <c r="B1471" s="1">
        <f>DATE(2013,1,10) + TIME(2,9,7)</f>
        <v>41284.08966435185</v>
      </c>
      <c r="C1471">
        <v>80</v>
      </c>
      <c r="D1471">
        <v>75.058189392000003</v>
      </c>
      <c r="E1471">
        <v>50</v>
      </c>
      <c r="F1471">
        <v>49.976089477999999</v>
      </c>
      <c r="G1471">
        <v>1325.5614014</v>
      </c>
      <c r="H1471">
        <v>1323.0543213000001</v>
      </c>
      <c r="I1471">
        <v>1344.4250488</v>
      </c>
      <c r="J1471">
        <v>1340.0223389</v>
      </c>
      <c r="K1471">
        <v>0</v>
      </c>
      <c r="L1471">
        <v>2400</v>
      </c>
      <c r="M1471">
        <v>2400</v>
      </c>
      <c r="N1471">
        <v>0</v>
      </c>
    </row>
    <row r="1472" spans="1:14" x14ac:dyDescent="0.25">
      <c r="A1472">
        <v>987.009004</v>
      </c>
      <c r="B1472" s="1">
        <f>DATE(2013,1,12) + TIME(0,12,57)</f>
        <v>41286.008993055555</v>
      </c>
      <c r="C1472">
        <v>80</v>
      </c>
      <c r="D1472">
        <v>74.963432311999995</v>
      </c>
      <c r="E1472">
        <v>50</v>
      </c>
      <c r="F1472">
        <v>49.976123809999997</v>
      </c>
      <c r="G1472">
        <v>1325.4979248</v>
      </c>
      <c r="H1472">
        <v>1322.9696045000001</v>
      </c>
      <c r="I1472">
        <v>1344.4183350000001</v>
      </c>
      <c r="J1472">
        <v>1340.0161132999999</v>
      </c>
      <c r="K1472">
        <v>0</v>
      </c>
      <c r="L1472">
        <v>2400</v>
      </c>
      <c r="M1472">
        <v>2400</v>
      </c>
      <c r="N1472">
        <v>0</v>
      </c>
    </row>
    <row r="1473" spans="1:14" x14ac:dyDescent="0.25">
      <c r="A1473">
        <v>988.96755700000006</v>
      </c>
      <c r="B1473" s="1">
        <f>DATE(2013,1,13) + TIME(23,13,16)</f>
        <v>41287.967546296299</v>
      </c>
      <c r="C1473">
        <v>80</v>
      </c>
      <c r="D1473">
        <v>74.867843628000003</v>
      </c>
      <c r="E1473">
        <v>50</v>
      </c>
      <c r="F1473">
        <v>49.976154327000003</v>
      </c>
      <c r="G1473">
        <v>1325.4332274999999</v>
      </c>
      <c r="H1473">
        <v>1322.8831786999999</v>
      </c>
      <c r="I1473">
        <v>1344.4117432</v>
      </c>
      <c r="J1473">
        <v>1340.0098877</v>
      </c>
      <c r="K1473">
        <v>0</v>
      </c>
      <c r="L1473">
        <v>2400</v>
      </c>
      <c r="M1473">
        <v>2400</v>
      </c>
      <c r="N1473">
        <v>0</v>
      </c>
    </row>
    <row r="1474" spans="1:14" x14ac:dyDescent="0.25">
      <c r="A1474">
        <v>990.96988899999997</v>
      </c>
      <c r="B1474" s="1">
        <f>DATE(2013,1,15) + TIME(23,16,38)</f>
        <v>41289.969884259262</v>
      </c>
      <c r="C1474">
        <v>80</v>
      </c>
      <c r="D1474">
        <v>74.771324157999999</v>
      </c>
      <c r="E1474">
        <v>50</v>
      </c>
      <c r="F1474">
        <v>49.976188659999998</v>
      </c>
      <c r="G1474">
        <v>1325.3671875</v>
      </c>
      <c r="H1474">
        <v>1322.7946777</v>
      </c>
      <c r="I1474">
        <v>1344.4051514</v>
      </c>
      <c r="J1474">
        <v>1340.0036620999999</v>
      </c>
      <c r="K1474">
        <v>0</v>
      </c>
      <c r="L1474">
        <v>2400</v>
      </c>
      <c r="M1474">
        <v>2400</v>
      </c>
      <c r="N1474">
        <v>0</v>
      </c>
    </row>
    <row r="1475" spans="1:14" x14ac:dyDescent="0.25">
      <c r="A1475">
        <v>993.02074600000003</v>
      </c>
      <c r="B1475" s="1">
        <f>DATE(2013,1,18) + TIME(0,29,52)</f>
        <v>41292.020740740743</v>
      </c>
      <c r="C1475">
        <v>80</v>
      </c>
      <c r="D1475">
        <v>74.673667907999999</v>
      </c>
      <c r="E1475">
        <v>50</v>
      </c>
      <c r="F1475">
        <v>49.976219176999997</v>
      </c>
      <c r="G1475">
        <v>1325.2995605000001</v>
      </c>
      <c r="H1475">
        <v>1322.7041016000001</v>
      </c>
      <c r="I1475">
        <v>1344.3985596</v>
      </c>
      <c r="J1475">
        <v>1339.9974365</v>
      </c>
      <c r="K1475">
        <v>0</v>
      </c>
      <c r="L1475">
        <v>2400</v>
      </c>
      <c r="M1475">
        <v>2400</v>
      </c>
      <c r="N1475">
        <v>0</v>
      </c>
    </row>
    <row r="1476" spans="1:14" x14ac:dyDescent="0.25">
      <c r="A1476">
        <v>995.12520300000006</v>
      </c>
      <c r="B1476" s="1">
        <f>DATE(2013,1,20) + TIME(3,0,17)</f>
        <v>41294.125196759262</v>
      </c>
      <c r="C1476">
        <v>80</v>
      </c>
      <c r="D1476">
        <v>74.574638367000006</v>
      </c>
      <c r="E1476">
        <v>50</v>
      </c>
      <c r="F1476">
        <v>49.976253509999999</v>
      </c>
      <c r="G1476">
        <v>1325.2302245999999</v>
      </c>
      <c r="H1476">
        <v>1322.6113281</v>
      </c>
      <c r="I1476">
        <v>1344.3919678</v>
      </c>
      <c r="J1476">
        <v>1339.9913329999999</v>
      </c>
      <c r="K1476">
        <v>0</v>
      </c>
      <c r="L1476">
        <v>2400</v>
      </c>
      <c r="M1476">
        <v>2400</v>
      </c>
      <c r="N1476">
        <v>0</v>
      </c>
    </row>
    <row r="1477" spans="1:14" x14ac:dyDescent="0.25">
      <c r="A1477">
        <v>997.284627</v>
      </c>
      <c r="B1477" s="1">
        <f>DATE(2013,1,22) + TIME(6,49,51)</f>
        <v>41296.284618055557</v>
      </c>
      <c r="C1477">
        <v>80</v>
      </c>
      <c r="D1477">
        <v>74.473983765</v>
      </c>
      <c r="E1477">
        <v>50</v>
      </c>
      <c r="F1477">
        <v>49.976287841999998</v>
      </c>
      <c r="G1477">
        <v>1325.1591797000001</v>
      </c>
      <c r="H1477">
        <v>1322.5161132999999</v>
      </c>
      <c r="I1477">
        <v>1344.385376</v>
      </c>
      <c r="J1477">
        <v>1339.9851074000001</v>
      </c>
      <c r="K1477">
        <v>0</v>
      </c>
      <c r="L1477">
        <v>2400</v>
      </c>
      <c r="M1477">
        <v>2400</v>
      </c>
      <c r="N1477">
        <v>0</v>
      </c>
    </row>
    <row r="1478" spans="1:14" x14ac:dyDescent="0.25">
      <c r="A1478">
        <v>999.48988399999996</v>
      </c>
      <c r="B1478" s="1">
        <f>DATE(2013,1,24) + TIME(11,45,25)</f>
        <v>41298.489872685182</v>
      </c>
      <c r="C1478">
        <v>80</v>
      </c>
      <c r="D1478">
        <v>74.371673584000007</v>
      </c>
      <c r="E1478">
        <v>50</v>
      </c>
      <c r="F1478">
        <v>49.976325989000003</v>
      </c>
      <c r="G1478">
        <v>1325.0863036999999</v>
      </c>
      <c r="H1478">
        <v>1322.4182129000001</v>
      </c>
      <c r="I1478">
        <v>1344.3786620999999</v>
      </c>
      <c r="J1478">
        <v>1339.9788818</v>
      </c>
      <c r="K1478">
        <v>0</v>
      </c>
      <c r="L1478">
        <v>2400</v>
      </c>
      <c r="M1478">
        <v>2400</v>
      </c>
      <c r="N1478">
        <v>0</v>
      </c>
    </row>
    <row r="1479" spans="1:14" x14ac:dyDescent="0.25">
      <c r="A1479">
        <v>1001.743792</v>
      </c>
      <c r="B1479" s="1">
        <f>DATE(2013,1,26) + TIME(17,51,3)</f>
        <v>41300.743784722225</v>
      </c>
      <c r="C1479">
        <v>80</v>
      </c>
      <c r="D1479">
        <v>74.267799377000003</v>
      </c>
      <c r="E1479">
        <v>50</v>
      </c>
      <c r="F1479">
        <v>49.976360321000001</v>
      </c>
      <c r="G1479">
        <v>1325.0117187999999</v>
      </c>
      <c r="H1479">
        <v>1322.3181152</v>
      </c>
      <c r="I1479">
        <v>1344.3720702999999</v>
      </c>
      <c r="J1479">
        <v>1339.9727783000001</v>
      </c>
      <c r="K1479">
        <v>0</v>
      </c>
      <c r="L1479">
        <v>2400</v>
      </c>
      <c r="M1479">
        <v>2400</v>
      </c>
      <c r="N1479">
        <v>0</v>
      </c>
    </row>
    <row r="1480" spans="1:14" x14ac:dyDescent="0.25">
      <c r="A1480">
        <v>1004.040239</v>
      </c>
      <c r="B1480" s="1">
        <f>DATE(2013,1,29) + TIME(0,57,56)</f>
        <v>41303.040231481478</v>
      </c>
      <c r="C1480">
        <v>80</v>
      </c>
      <c r="D1480">
        <v>74.162315368999998</v>
      </c>
      <c r="E1480">
        <v>50</v>
      </c>
      <c r="F1480">
        <v>49.976398467999999</v>
      </c>
      <c r="G1480">
        <v>1324.9355469</v>
      </c>
      <c r="H1480">
        <v>1322.2158202999999</v>
      </c>
      <c r="I1480">
        <v>1344.3653564000001</v>
      </c>
      <c r="J1480">
        <v>1339.9665527</v>
      </c>
      <c r="K1480">
        <v>0</v>
      </c>
      <c r="L1480">
        <v>2400</v>
      </c>
      <c r="M1480">
        <v>2400</v>
      </c>
      <c r="N1480">
        <v>0</v>
      </c>
    </row>
    <row r="1481" spans="1:14" x14ac:dyDescent="0.25">
      <c r="A1481">
        <v>1006.384603</v>
      </c>
      <c r="B1481" s="1">
        <f>DATE(2013,1,31) + TIME(9,13,49)</f>
        <v>41305.384594907409</v>
      </c>
      <c r="C1481">
        <v>80</v>
      </c>
      <c r="D1481">
        <v>74.055175781000003</v>
      </c>
      <c r="E1481">
        <v>50</v>
      </c>
      <c r="F1481">
        <v>49.976432799999998</v>
      </c>
      <c r="G1481">
        <v>1324.8579102000001</v>
      </c>
      <c r="H1481">
        <v>1322.1114502</v>
      </c>
      <c r="I1481">
        <v>1344.3587646000001</v>
      </c>
      <c r="J1481">
        <v>1339.9604492000001</v>
      </c>
      <c r="K1481">
        <v>0</v>
      </c>
      <c r="L1481">
        <v>2400</v>
      </c>
      <c r="M1481">
        <v>2400</v>
      </c>
      <c r="N1481">
        <v>0</v>
      </c>
    </row>
    <row r="1482" spans="1:14" x14ac:dyDescent="0.25">
      <c r="A1482">
        <v>1007</v>
      </c>
      <c r="B1482" s="1">
        <f>DATE(2013,2,1) + TIME(0,0,0)</f>
        <v>41306</v>
      </c>
      <c r="C1482">
        <v>80</v>
      </c>
      <c r="D1482">
        <v>73.991073607999994</v>
      </c>
      <c r="E1482">
        <v>50</v>
      </c>
      <c r="F1482">
        <v>49.976436614999997</v>
      </c>
      <c r="G1482">
        <v>1324.7867432</v>
      </c>
      <c r="H1482">
        <v>1322.0161132999999</v>
      </c>
      <c r="I1482">
        <v>1344.3521728999999</v>
      </c>
      <c r="J1482">
        <v>1339.9548339999999</v>
      </c>
      <c r="K1482">
        <v>0</v>
      </c>
      <c r="L1482">
        <v>2400</v>
      </c>
      <c r="M1482">
        <v>2400</v>
      </c>
      <c r="N1482">
        <v>0</v>
      </c>
    </row>
    <row r="1483" spans="1:14" x14ac:dyDescent="0.25">
      <c r="A1483">
        <v>1009.3978519999999</v>
      </c>
      <c r="B1483" s="1">
        <f>DATE(2013,2,3) + TIME(9,32,54)</f>
        <v>41308.397847222222</v>
      </c>
      <c r="C1483">
        <v>80</v>
      </c>
      <c r="D1483">
        <v>73.908760071000003</v>
      </c>
      <c r="E1483">
        <v>50</v>
      </c>
      <c r="F1483">
        <v>49.976482390999998</v>
      </c>
      <c r="G1483">
        <v>1324.7479248</v>
      </c>
      <c r="H1483">
        <v>1321.9620361</v>
      </c>
      <c r="I1483">
        <v>1344.3502197</v>
      </c>
      <c r="J1483">
        <v>1339.9523925999999</v>
      </c>
      <c r="K1483">
        <v>0</v>
      </c>
      <c r="L1483">
        <v>2400</v>
      </c>
      <c r="M1483">
        <v>2400</v>
      </c>
      <c r="N1483">
        <v>0</v>
      </c>
    </row>
    <row r="1484" spans="1:14" x14ac:dyDescent="0.25">
      <c r="A1484">
        <v>1011.873024</v>
      </c>
      <c r="B1484" s="1">
        <f>DATE(2013,2,5) + TIME(20,57,9)</f>
        <v>41310.873020833336</v>
      </c>
      <c r="C1484">
        <v>80</v>
      </c>
      <c r="D1484">
        <v>73.803657532000003</v>
      </c>
      <c r="E1484">
        <v>50</v>
      </c>
      <c r="F1484">
        <v>49.976520538000003</v>
      </c>
      <c r="G1484">
        <v>1324.6746826000001</v>
      </c>
      <c r="H1484">
        <v>1321.8642577999999</v>
      </c>
      <c r="I1484">
        <v>1344.34375</v>
      </c>
      <c r="J1484">
        <v>1339.9466553</v>
      </c>
      <c r="K1484">
        <v>0</v>
      </c>
      <c r="L1484">
        <v>2400</v>
      </c>
      <c r="M1484">
        <v>2400</v>
      </c>
      <c r="N1484">
        <v>0</v>
      </c>
    </row>
    <row r="1485" spans="1:14" x14ac:dyDescent="0.25">
      <c r="A1485">
        <v>1014.382639</v>
      </c>
      <c r="B1485" s="1">
        <f>DATE(2013,2,8) + TIME(9,10,59)</f>
        <v>41313.382627314815</v>
      </c>
      <c r="C1485">
        <v>80</v>
      </c>
      <c r="D1485">
        <v>73.690444946</v>
      </c>
      <c r="E1485">
        <v>50</v>
      </c>
      <c r="F1485">
        <v>49.976554870999998</v>
      </c>
      <c r="G1485">
        <v>1324.5933838000001</v>
      </c>
      <c r="H1485">
        <v>1321.7548827999999</v>
      </c>
      <c r="I1485">
        <v>1344.3369141000001</v>
      </c>
      <c r="J1485">
        <v>1339.9405518000001</v>
      </c>
      <c r="K1485">
        <v>0</v>
      </c>
      <c r="L1485">
        <v>2400</v>
      </c>
      <c r="M1485">
        <v>2400</v>
      </c>
      <c r="N1485">
        <v>0</v>
      </c>
    </row>
    <row r="1486" spans="1:14" x14ac:dyDescent="0.25">
      <c r="A1486">
        <v>1016.933053</v>
      </c>
      <c r="B1486" s="1">
        <f>DATE(2013,2,10) + TIME(22,23,35)</f>
        <v>41315.93304398148</v>
      </c>
      <c r="C1486">
        <v>80</v>
      </c>
      <c r="D1486">
        <v>73.573638915999993</v>
      </c>
      <c r="E1486">
        <v>50</v>
      </c>
      <c r="F1486">
        <v>49.976593018000003</v>
      </c>
      <c r="G1486">
        <v>1324.5093993999999</v>
      </c>
      <c r="H1486">
        <v>1321.6416016000001</v>
      </c>
      <c r="I1486">
        <v>1344.3302002</v>
      </c>
      <c r="J1486">
        <v>1339.9344481999999</v>
      </c>
      <c r="K1486">
        <v>0</v>
      </c>
      <c r="L1486">
        <v>2400</v>
      </c>
      <c r="M1486">
        <v>2400</v>
      </c>
      <c r="N1486">
        <v>0</v>
      </c>
    </row>
    <row r="1487" spans="1:14" x14ac:dyDescent="0.25">
      <c r="A1487">
        <v>1019.530564</v>
      </c>
      <c r="B1487" s="1">
        <f>DATE(2013,2,13) + TIME(12,44,0)</f>
        <v>41318.530555555553</v>
      </c>
      <c r="C1487">
        <v>80</v>
      </c>
      <c r="D1487">
        <v>73.453887938999998</v>
      </c>
      <c r="E1487">
        <v>50</v>
      </c>
      <c r="F1487">
        <v>49.976634979000004</v>
      </c>
      <c r="G1487">
        <v>1324.4238281</v>
      </c>
      <c r="H1487">
        <v>1321.5258789</v>
      </c>
      <c r="I1487">
        <v>1344.3234863</v>
      </c>
      <c r="J1487">
        <v>1339.9284668</v>
      </c>
      <c r="K1487">
        <v>0</v>
      </c>
      <c r="L1487">
        <v>2400</v>
      </c>
      <c r="M1487">
        <v>2400</v>
      </c>
      <c r="N1487">
        <v>0</v>
      </c>
    </row>
    <row r="1488" spans="1:14" x14ac:dyDescent="0.25">
      <c r="A1488">
        <v>1022.1817150000001</v>
      </c>
      <c r="B1488" s="1">
        <f>DATE(2013,2,16) + TIME(4,21,40)</f>
        <v>41321.181712962964</v>
      </c>
      <c r="C1488">
        <v>80</v>
      </c>
      <c r="D1488">
        <v>73.330879210999996</v>
      </c>
      <c r="E1488">
        <v>50</v>
      </c>
      <c r="F1488">
        <v>49.976673126000001</v>
      </c>
      <c r="G1488">
        <v>1324.3367920000001</v>
      </c>
      <c r="H1488">
        <v>1321.4083252</v>
      </c>
      <c r="I1488">
        <v>1344.3166504000001</v>
      </c>
      <c r="J1488">
        <v>1339.9224853999999</v>
      </c>
      <c r="K1488">
        <v>0</v>
      </c>
      <c r="L1488">
        <v>2400</v>
      </c>
      <c r="M1488">
        <v>2400</v>
      </c>
      <c r="N1488">
        <v>0</v>
      </c>
    </row>
    <row r="1489" spans="1:14" x14ac:dyDescent="0.25">
      <c r="A1489">
        <v>1024.886475</v>
      </c>
      <c r="B1489" s="1">
        <f>DATE(2013,2,18) + TIME(21,16,31)</f>
        <v>41323.886469907404</v>
      </c>
      <c r="C1489">
        <v>80</v>
      </c>
      <c r="D1489">
        <v>73.204071045000006</v>
      </c>
      <c r="E1489">
        <v>50</v>
      </c>
      <c r="F1489">
        <v>49.976711272999999</v>
      </c>
      <c r="G1489">
        <v>1324.2484131000001</v>
      </c>
      <c r="H1489">
        <v>1321.2885742000001</v>
      </c>
      <c r="I1489">
        <v>1344.3099365</v>
      </c>
      <c r="J1489">
        <v>1339.9165039</v>
      </c>
      <c r="K1489">
        <v>0</v>
      </c>
      <c r="L1489">
        <v>2400</v>
      </c>
      <c r="M1489">
        <v>2400</v>
      </c>
      <c r="N1489">
        <v>0</v>
      </c>
    </row>
    <row r="1490" spans="1:14" x14ac:dyDescent="0.25">
      <c r="A1490">
        <v>1027.6435610000001</v>
      </c>
      <c r="B1490" s="1">
        <f>DATE(2013,2,21) + TIME(15,26,43)</f>
        <v>41326.643553240741</v>
      </c>
      <c r="C1490">
        <v>80</v>
      </c>
      <c r="D1490">
        <v>73.073066710999996</v>
      </c>
      <c r="E1490">
        <v>50</v>
      </c>
      <c r="F1490">
        <v>49.976753234999997</v>
      </c>
      <c r="G1490">
        <v>1324.1584473</v>
      </c>
      <c r="H1490">
        <v>1321.166626</v>
      </c>
      <c r="I1490">
        <v>1344.3031006000001</v>
      </c>
      <c r="J1490">
        <v>1339.9105225000001</v>
      </c>
      <c r="K1490">
        <v>0</v>
      </c>
      <c r="L1490">
        <v>2400</v>
      </c>
      <c r="M1490">
        <v>2400</v>
      </c>
      <c r="N1490">
        <v>0</v>
      </c>
    </row>
    <row r="1491" spans="1:14" x14ac:dyDescent="0.25">
      <c r="A1491">
        <v>1030.460145</v>
      </c>
      <c r="B1491" s="1">
        <f>DATE(2013,2,24) + TIME(11,2,36)</f>
        <v>41329.460138888891</v>
      </c>
      <c r="C1491">
        <v>80</v>
      </c>
      <c r="D1491">
        <v>72.937377929999997</v>
      </c>
      <c r="E1491">
        <v>50</v>
      </c>
      <c r="F1491">
        <v>49.976791382000002</v>
      </c>
      <c r="G1491">
        <v>1324.0671387</v>
      </c>
      <c r="H1491">
        <v>1321.0427245999999</v>
      </c>
      <c r="I1491">
        <v>1344.2961425999999</v>
      </c>
      <c r="J1491">
        <v>1339.9045410000001</v>
      </c>
      <c r="K1491">
        <v>0</v>
      </c>
      <c r="L1491">
        <v>2400</v>
      </c>
      <c r="M1491">
        <v>2400</v>
      </c>
      <c r="N1491">
        <v>0</v>
      </c>
    </row>
    <row r="1492" spans="1:14" x14ac:dyDescent="0.25">
      <c r="A1492">
        <v>1033.3438229999999</v>
      </c>
      <c r="B1492" s="1">
        <f>DATE(2013,2,27) + TIME(8,15,6)</f>
        <v>41332.343819444446</v>
      </c>
      <c r="C1492">
        <v>80</v>
      </c>
      <c r="D1492">
        <v>72.796272278000004</v>
      </c>
      <c r="E1492">
        <v>50</v>
      </c>
      <c r="F1492">
        <v>49.976833343999999</v>
      </c>
      <c r="G1492">
        <v>1323.9742432</v>
      </c>
      <c r="H1492">
        <v>1320.916626</v>
      </c>
      <c r="I1492">
        <v>1344.2893065999999</v>
      </c>
      <c r="J1492">
        <v>1339.8986815999999</v>
      </c>
      <c r="K1492">
        <v>0</v>
      </c>
      <c r="L1492">
        <v>2400</v>
      </c>
      <c r="M1492">
        <v>2400</v>
      </c>
      <c r="N1492">
        <v>0</v>
      </c>
    </row>
    <row r="1493" spans="1:14" x14ac:dyDescent="0.25">
      <c r="A1493">
        <v>1035</v>
      </c>
      <c r="B1493" s="1">
        <f>DATE(2013,3,1) + TIME(0,0,0)</f>
        <v>41334</v>
      </c>
      <c r="C1493">
        <v>80</v>
      </c>
      <c r="D1493">
        <v>72.668190002000003</v>
      </c>
      <c r="E1493">
        <v>50</v>
      </c>
      <c r="F1493">
        <v>49.976852417000003</v>
      </c>
      <c r="G1493">
        <v>1323.8826904</v>
      </c>
      <c r="H1493">
        <v>1320.7927245999999</v>
      </c>
      <c r="I1493">
        <v>1344.2822266000001</v>
      </c>
      <c r="J1493">
        <v>1339.8928223</v>
      </c>
      <c r="K1493">
        <v>0</v>
      </c>
      <c r="L1493">
        <v>2400</v>
      </c>
      <c r="M1493">
        <v>2400</v>
      </c>
      <c r="N1493">
        <v>0</v>
      </c>
    </row>
    <row r="1494" spans="1:14" x14ac:dyDescent="0.25">
      <c r="A1494">
        <v>1037.95858</v>
      </c>
      <c r="B1494" s="1">
        <f>DATE(2013,3,3) + TIME(23,0,21)</f>
        <v>41336.95857638889</v>
      </c>
      <c r="C1494">
        <v>80</v>
      </c>
      <c r="D1494">
        <v>72.553794861</v>
      </c>
      <c r="E1494">
        <v>50</v>
      </c>
      <c r="F1494">
        <v>49.976898192999997</v>
      </c>
      <c r="G1494">
        <v>1323.8149414</v>
      </c>
      <c r="H1494">
        <v>1320.6981201000001</v>
      </c>
      <c r="I1494">
        <v>1344.2781981999999</v>
      </c>
      <c r="J1494">
        <v>1339.8890381000001</v>
      </c>
      <c r="K1494">
        <v>0</v>
      </c>
      <c r="L1494">
        <v>2400</v>
      </c>
      <c r="M1494">
        <v>2400</v>
      </c>
      <c r="N1494">
        <v>0</v>
      </c>
    </row>
    <row r="1495" spans="1:14" x14ac:dyDescent="0.25">
      <c r="A1495">
        <v>1041.0526359999999</v>
      </c>
      <c r="B1495" s="1">
        <f>DATE(2013,3,7) + TIME(1,15,47)</f>
        <v>41340.052627314813</v>
      </c>
      <c r="C1495">
        <v>80</v>
      </c>
      <c r="D1495">
        <v>72.403213500999996</v>
      </c>
      <c r="E1495">
        <v>50</v>
      </c>
      <c r="F1495">
        <v>49.976940155000001</v>
      </c>
      <c r="G1495">
        <v>1323.7271728999999</v>
      </c>
      <c r="H1495">
        <v>1320.5798339999999</v>
      </c>
      <c r="I1495">
        <v>1344.2712402</v>
      </c>
      <c r="J1495">
        <v>1339.8833007999999</v>
      </c>
      <c r="K1495">
        <v>0</v>
      </c>
      <c r="L1495">
        <v>2400</v>
      </c>
      <c r="M1495">
        <v>2400</v>
      </c>
      <c r="N1495">
        <v>0</v>
      </c>
    </row>
    <row r="1496" spans="1:14" x14ac:dyDescent="0.25">
      <c r="A1496">
        <v>1044.2061719999999</v>
      </c>
      <c r="B1496" s="1">
        <f>DATE(2013,3,10) + TIME(4,56,53)</f>
        <v>41343.20616898148</v>
      </c>
      <c r="C1496">
        <v>80</v>
      </c>
      <c r="D1496">
        <v>72.236663817999997</v>
      </c>
      <c r="E1496">
        <v>50</v>
      </c>
      <c r="F1496">
        <v>49.976982116999999</v>
      </c>
      <c r="G1496">
        <v>1323.6296387</v>
      </c>
      <c r="H1496">
        <v>1320.4470214999999</v>
      </c>
      <c r="I1496">
        <v>1344.2637939000001</v>
      </c>
      <c r="J1496">
        <v>1339.8773193</v>
      </c>
      <c r="K1496">
        <v>0</v>
      </c>
      <c r="L1496">
        <v>2400</v>
      </c>
      <c r="M1496">
        <v>2400</v>
      </c>
      <c r="N1496">
        <v>0</v>
      </c>
    </row>
    <row r="1497" spans="1:14" x14ac:dyDescent="0.25">
      <c r="A1497">
        <v>1047.4182470000001</v>
      </c>
      <c r="B1497" s="1">
        <f>DATE(2013,3,13) + TIME(10,2,16)</f>
        <v>41346.418240740742</v>
      </c>
      <c r="C1497">
        <v>80</v>
      </c>
      <c r="D1497">
        <v>72.060348511000001</v>
      </c>
      <c r="E1497">
        <v>50</v>
      </c>
      <c r="F1497">
        <v>49.977024077999999</v>
      </c>
      <c r="G1497">
        <v>1323.5289307</v>
      </c>
      <c r="H1497">
        <v>1320.3094481999999</v>
      </c>
      <c r="I1497">
        <v>1344.2564697</v>
      </c>
      <c r="J1497">
        <v>1339.8712158000001</v>
      </c>
      <c r="K1497">
        <v>0</v>
      </c>
      <c r="L1497">
        <v>2400</v>
      </c>
      <c r="M1497">
        <v>2400</v>
      </c>
      <c r="N1497">
        <v>0</v>
      </c>
    </row>
    <row r="1498" spans="1:14" x14ac:dyDescent="0.25">
      <c r="A1498">
        <v>1050.6895709999999</v>
      </c>
      <c r="B1498" s="1">
        <f>DATE(2013,3,16) + TIME(16,32,58)</f>
        <v>41349.689560185187</v>
      </c>
      <c r="C1498">
        <v>80</v>
      </c>
      <c r="D1498">
        <v>71.874786377000007</v>
      </c>
      <c r="E1498">
        <v>50</v>
      </c>
      <c r="F1498">
        <v>49.977066039999997</v>
      </c>
      <c r="G1498">
        <v>1323.4266356999999</v>
      </c>
      <c r="H1498">
        <v>1320.1695557</v>
      </c>
      <c r="I1498">
        <v>1344.2489014</v>
      </c>
      <c r="J1498">
        <v>1339.8651123</v>
      </c>
      <c r="K1498">
        <v>0</v>
      </c>
      <c r="L1498">
        <v>2400</v>
      </c>
      <c r="M1498">
        <v>2400</v>
      </c>
      <c r="N1498">
        <v>0</v>
      </c>
    </row>
    <row r="1499" spans="1:14" x14ac:dyDescent="0.25">
      <c r="A1499">
        <v>1054.0300729999999</v>
      </c>
      <c r="B1499" s="1">
        <f>DATE(2013,3,20) + TIME(0,43,18)</f>
        <v>41353.030069444445</v>
      </c>
      <c r="C1499">
        <v>80</v>
      </c>
      <c r="D1499">
        <v>71.679397582999997</v>
      </c>
      <c r="E1499">
        <v>50</v>
      </c>
      <c r="F1499">
        <v>49.977108002000001</v>
      </c>
      <c r="G1499">
        <v>1323.3233643000001</v>
      </c>
      <c r="H1499">
        <v>1320.0279541</v>
      </c>
      <c r="I1499">
        <v>1344.2414550999999</v>
      </c>
      <c r="J1499">
        <v>1339.8590088000001</v>
      </c>
      <c r="K1499">
        <v>0</v>
      </c>
      <c r="L1499">
        <v>2400</v>
      </c>
      <c r="M1499">
        <v>2400</v>
      </c>
      <c r="N1499">
        <v>0</v>
      </c>
    </row>
    <row r="1500" spans="1:14" x14ac:dyDescent="0.25">
      <c r="A1500">
        <v>1057.4504890000001</v>
      </c>
      <c r="B1500" s="1">
        <f>DATE(2013,3,23) + TIME(10,48,42)</f>
        <v>41356.450486111113</v>
      </c>
      <c r="C1500">
        <v>80</v>
      </c>
      <c r="D1500">
        <v>71.472930907999995</v>
      </c>
      <c r="E1500">
        <v>50</v>
      </c>
      <c r="F1500">
        <v>49.977149963000002</v>
      </c>
      <c r="G1500">
        <v>1323.2189940999999</v>
      </c>
      <c r="H1500">
        <v>1319.8845214999999</v>
      </c>
      <c r="I1500">
        <v>1344.2337646000001</v>
      </c>
      <c r="J1500">
        <v>1339.8529053</v>
      </c>
      <c r="K1500">
        <v>0</v>
      </c>
      <c r="L1500">
        <v>2400</v>
      </c>
      <c r="M1500">
        <v>2400</v>
      </c>
      <c r="N1500">
        <v>0</v>
      </c>
    </row>
    <row r="1501" spans="1:14" x14ac:dyDescent="0.25">
      <c r="A1501">
        <v>1060.9623670000001</v>
      </c>
      <c r="B1501" s="1">
        <f>DATE(2013,3,26) + TIME(23,5,48)</f>
        <v>41359.962361111109</v>
      </c>
      <c r="C1501">
        <v>80</v>
      </c>
      <c r="D1501">
        <v>71.253936768000003</v>
      </c>
      <c r="E1501">
        <v>50</v>
      </c>
      <c r="F1501">
        <v>49.977195739999999</v>
      </c>
      <c r="G1501">
        <v>1323.1132812000001</v>
      </c>
      <c r="H1501">
        <v>1319.7391356999999</v>
      </c>
      <c r="I1501">
        <v>1344.2259521000001</v>
      </c>
      <c r="J1501">
        <v>1339.8468018000001</v>
      </c>
      <c r="K1501">
        <v>0</v>
      </c>
      <c r="L1501">
        <v>2400</v>
      </c>
      <c r="M1501">
        <v>2400</v>
      </c>
      <c r="N1501">
        <v>0</v>
      </c>
    </row>
    <row r="1502" spans="1:14" x14ac:dyDescent="0.25">
      <c r="A1502">
        <v>1064.578438</v>
      </c>
      <c r="B1502" s="1">
        <f>DATE(2013,3,30) + TIME(13,52,57)</f>
        <v>41363.5784375</v>
      </c>
      <c r="C1502">
        <v>80</v>
      </c>
      <c r="D1502">
        <v>71.020744324000006</v>
      </c>
      <c r="E1502">
        <v>50</v>
      </c>
      <c r="F1502">
        <v>49.977241515999999</v>
      </c>
      <c r="G1502">
        <v>1323.0059814000001</v>
      </c>
      <c r="H1502">
        <v>1319.5914307</v>
      </c>
      <c r="I1502">
        <v>1344.2180175999999</v>
      </c>
      <c r="J1502">
        <v>1339.8405762</v>
      </c>
      <c r="K1502">
        <v>0</v>
      </c>
      <c r="L1502">
        <v>2400</v>
      </c>
      <c r="M1502">
        <v>2400</v>
      </c>
      <c r="N1502">
        <v>0</v>
      </c>
    </row>
    <row r="1503" spans="1:14" x14ac:dyDescent="0.25">
      <c r="A1503">
        <v>1066</v>
      </c>
      <c r="B1503" s="1">
        <f>DATE(2013,4,1) + TIME(0,0,0)</f>
        <v>41365</v>
      </c>
      <c r="C1503">
        <v>80</v>
      </c>
      <c r="D1503">
        <v>70.819778442</v>
      </c>
      <c r="E1503">
        <v>50</v>
      </c>
      <c r="F1503">
        <v>49.977252960000001</v>
      </c>
      <c r="G1503">
        <v>1322.9018555</v>
      </c>
      <c r="H1503">
        <v>1319.449707</v>
      </c>
      <c r="I1503">
        <v>1344.2102050999999</v>
      </c>
      <c r="J1503">
        <v>1339.8347168</v>
      </c>
      <c r="K1503">
        <v>0</v>
      </c>
      <c r="L1503">
        <v>2400</v>
      </c>
      <c r="M1503">
        <v>2400</v>
      </c>
      <c r="N1503">
        <v>0</v>
      </c>
    </row>
    <row r="1504" spans="1:14" x14ac:dyDescent="0.25">
      <c r="A1504">
        <v>1069.734348</v>
      </c>
      <c r="B1504" s="1">
        <f>DATE(2013,4,4) + TIME(17,37,27)</f>
        <v>41368.734340277777</v>
      </c>
      <c r="C1504">
        <v>80</v>
      </c>
      <c r="D1504">
        <v>70.654624939000001</v>
      </c>
      <c r="E1504">
        <v>50</v>
      </c>
      <c r="F1504">
        <v>49.977302551000001</v>
      </c>
      <c r="G1504">
        <v>1322.8383789</v>
      </c>
      <c r="H1504">
        <v>1319.3569336</v>
      </c>
      <c r="I1504">
        <v>1344.206543</v>
      </c>
      <c r="J1504">
        <v>1339.8314209</v>
      </c>
      <c r="K1504">
        <v>0</v>
      </c>
      <c r="L1504">
        <v>2400</v>
      </c>
      <c r="M1504">
        <v>2400</v>
      </c>
      <c r="N1504">
        <v>0</v>
      </c>
    </row>
    <row r="1505" spans="1:14" x14ac:dyDescent="0.25">
      <c r="A1505">
        <v>1073.65203</v>
      </c>
      <c r="B1505" s="1">
        <f>DATE(2013,4,8) + TIME(15,38,55)</f>
        <v>41372.652025462965</v>
      </c>
      <c r="C1505">
        <v>80</v>
      </c>
      <c r="D1505">
        <v>70.396278381000002</v>
      </c>
      <c r="E1505">
        <v>50</v>
      </c>
      <c r="F1505">
        <v>49.977348327999998</v>
      </c>
      <c r="G1505">
        <v>1322.7414550999999</v>
      </c>
      <c r="H1505">
        <v>1319.2253418</v>
      </c>
      <c r="I1505">
        <v>1344.1982422000001</v>
      </c>
      <c r="J1505">
        <v>1339.8254394999999</v>
      </c>
      <c r="K1505">
        <v>0</v>
      </c>
      <c r="L1505">
        <v>2400</v>
      </c>
      <c r="M1505">
        <v>2400</v>
      </c>
      <c r="N1505">
        <v>0</v>
      </c>
    </row>
    <row r="1506" spans="1:14" x14ac:dyDescent="0.25">
      <c r="A1506">
        <v>1077.650414</v>
      </c>
      <c r="B1506" s="1">
        <f>DATE(2013,4,12) + TIME(15,36,35)</f>
        <v>41376.650405092594</v>
      </c>
      <c r="C1506">
        <v>80</v>
      </c>
      <c r="D1506">
        <v>70.103446959999999</v>
      </c>
      <c r="E1506">
        <v>50</v>
      </c>
      <c r="F1506">
        <v>49.977394103999998</v>
      </c>
      <c r="G1506">
        <v>1322.6303711</v>
      </c>
      <c r="H1506">
        <v>1319.0716553</v>
      </c>
      <c r="I1506">
        <v>1344.1895752</v>
      </c>
      <c r="J1506">
        <v>1339.8188477000001</v>
      </c>
      <c r="K1506">
        <v>0</v>
      </c>
      <c r="L1506">
        <v>2400</v>
      </c>
      <c r="M1506">
        <v>2400</v>
      </c>
      <c r="N1506">
        <v>0</v>
      </c>
    </row>
    <row r="1507" spans="1:14" x14ac:dyDescent="0.25">
      <c r="A1507">
        <v>1081.7393770000001</v>
      </c>
      <c r="B1507" s="1">
        <f>DATE(2013,4,16) + TIME(17,44,42)</f>
        <v>41380.739374999997</v>
      </c>
      <c r="C1507">
        <v>80</v>
      </c>
      <c r="D1507">
        <v>69.790458678999997</v>
      </c>
      <c r="E1507">
        <v>50</v>
      </c>
      <c r="F1507">
        <v>49.977443694999998</v>
      </c>
      <c r="G1507">
        <v>1322.5161132999999</v>
      </c>
      <c r="H1507">
        <v>1318.9128418</v>
      </c>
      <c r="I1507">
        <v>1344.1806641000001</v>
      </c>
      <c r="J1507">
        <v>1339.8121338000001</v>
      </c>
      <c r="K1507">
        <v>0</v>
      </c>
      <c r="L1507">
        <v>2400</v>
      </c>
      <c r="M1507">
        <v>2400</v>
      </c>
      <c r="N1507">
        <v>0</v>
      </c>
    </row>
    <row r="1508" spans="1:14" x14ac:dyDescent="0.25">
      <c r="A1508">
        <v>1085.890101</v>
      </c>
      <c r="B1508" s="1">
        <f>DATE(2013,4,20) + TIME(21,21,44)</f>
        <v>41384.890092592592</v>
      </c>
      <c r="C1508">
        <v>80</v>
      </c>
      <c r="D1508">
        <v>69.457328795999999</v>
      </c>
      <c r="E1508">
        <v>50</v>
      </c>
      <c r="F1508">
        <v>49.977489470999998</v>
      </c>
      <c r="G1508">
        <v>1322.4011230000001</v>
      </c>
      <c r="H1508">
        <v>1318.7525635</v>
      </c>
      <c r="I1508">
        <v>1344.1715088000001</v>
      </c>
      <c r="J1508">
        <v>1339.8054199000001</v>
      </c>
      <c r="K1508">
        <v>0</v>
      </c>
      <c r="L1508">
        <v>2400</v>
      </c>
      <c r="M1508">
        <v>2400</v>
      </c>
      <c r="N1508">
        <v>0</v>
      </c>
    </row>
    <row r="1509" spans="1:14" x14ac:dyDescent="0.25">
      <c r="A1509">
        <v>1090.110574</v>
      </c>
      <c r="B1509" s="1">
        <f>DATE(2013,4,25) + TIME(2,39,13)</f>
        <v>41389.110567129632</v>
      </c>
      <c r="C1509">
        <v>80</v>
      </c>
      <c r="D1509">
        <v>69.106742858999993</v>
      </c>
      <c r="E1509">
        <v>50</v>
      </c>
      <c r="F1509">
        <v>49.977535248000002</v>
      </c>
      <c r="G1509">
        <v>1322.2863769999999</v>
      </c>
      <c r="H1509">
        <v>1318.5921631000001</v>
      </c>
      <c r="I1509">
        <v>1344.1623535000001</v>
      </c>
      <c r="J1509">
        <v>1339.7985839999999</v>
      </c>
      <c r="K1509">
        <v>0</v>
      </c>
      <c r="L1509">
        <v>2400</v>
      </c>
      <c r="M1509">
        <v>2400</v>
      </c>
      <c r="N1509">
        <v>0</v>
      </c>
    </row>
    <row r="1510" spans="1:14" x14ac:dyDescent="0.25">
      <c r="A1510">
        <v>1094.3709530000001</v>
      </c>
      <c r="B1510" s="1">
        <f>DATE(2013,4,29) + TIME(8,54,10)</f>
        <v>41393.370949074073</v>
      </c>
      <c r="C1510">
        <v>80</v>
      </c>
      <c r="D1510">
        <v>68.736831664999997</v>
      </c>
      <c r="E1510">
        <v>50</v>
      </c>
      <c r="F1510">
        <v>49.977584839000002</v>
      </c>
      <c r="G1510">
        <v>1322.1722411999999</v>
      </c>
      <c r="H1510">
        <v>1318.4323730000001</v>
      </c>
      <c r="I1510">
        <v>1344.1529541</v>
      </c>
      <c r="J1510">
        <v>1339.791626</v>
      </c>
      <c r="K1510">
        <v>0</v>
      </c>
      <c r="L1510">
        <v>2400</v>
      </c>
      <c r="M1510">
        <v>2400</v>
      </c>
      <c r="N1510">
        <v>0</v>
      </c>
    </row>
    <row r="1511" spans="1:14" x14ac:dyDescent="0.25">
      <c r="A1511">
        <v>1096</v>
      </c>
      <c r="B1511" s="1">
        <f>DATE(2013,5,1) + TIME(0,0,0)</f>
        <v>41395</v>
      </c>
      <c r="C1511">
        <v>80</v>
      </c>
      <c r="D1511">
        <v>68.416961670000006</v>
      </c>
      <c r="E1511">
        <v>50</v>
      </c>
      <c r="F1511">
        <v>49.977592467999997</v>
      </c>
      <c r="G1511">
        <v>1322.0632324000001</v>
      </c>
      <c r="H1511">
        <v>1318.2823486</v>
      </c>
      <c r="I1511">
        <v>1344.144043</v>
      </c>
      <c r="J1511">
        <v>1339.7852783000001</v>
      </c>
      <c r="K1511">
        <v>0</v>
      </c>
      <c r="L1511">
        <v>2400</v>
      </c>
      <c r="M1511">
        <v>2400</v>
      </c>
      <c r="N1511">
        <v>0</v>
      </c>
    </row>
    <row r="1512" spans="1:14" x14ac:dyDescent="0.25">
      <c r="A1512">
        <v>1096.0000010000001</v>
      </c>
      <c r="B1512" s="1">
        <f>DATE(2013,5,1) + TIME(0,0,0)</f>
        <v>41395</v>
      </c>
      <c r="C1512">
        <v>80</v>
      </c>
      <c r="D1512">
        <v>68.417022704999994</v>
      </c>
      <c r="E1512">
        <v>50</v>
      </c>
      <c r="F1512">
        <v>49.977577209000003</v>
      </c>
      <c r="G1512">
        <v>1326.6636963000001</v>
      </c>
      <c r="H1512">
        <v>1322.0773925999999</v>
      </c>
      <c r="I1512">
        <v>1339.7755127</v>
      </c>
      <c r="J1512">
        <v>1336.4652100000001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1096.000004</v>
      </c>
      <c r="B1513" s="1">
        <f>DATE(2013,5,1) + TIME(0,0,0)</f>
        <v>41395</v>
      </c>
      <c r="C1513">
        <v>80</v>
      </c>
      <c r="D1513">
        <v>68.417198181000003</v>
      </c>
      <c r="E1513">
        <v>50</v>
      </c>
      <c r="F1513">
        <v>49.977531433000003</v>
      </c>
      <c r="G1513">
        <v>1326.6960449000001</v>
      </c>
      <c r="H1513">
        <v>1322.1195068</v>
      </c>
      <c r="I1513">
        <v>1339.7463379000001</v>
      </c>
      <c r="J1513">
        <v>1336.4360352000001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1096.0000130000001</v>
      </c>
      <c r="B1514" s="1">
        <f>DATE(2013,5,1) + TIME(0,0,1)</f>
        <v>41395.000011574077</v>
      </c>
      <c r="C1514">
        <v>80</v>
      </c>
      <c r="D1514">
        <v>68.417716979999994</v>
      </c>
      <c r="E1514">
        <v>50</v>
      </c>
      <c r="F1514">
        <v>49.977394103999998</v>
      </c>
      <c r="G1514">
        <v>1326.7907714999999</v>
      </c>
      <c r="H1514">
        <v>1322.2419434000001</v>
      </c>
      <c r="I1514">
        <v>1339.6604004000001</v>
      </c>
      <c r="J1514">
        <v>1336.3502197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1096.0000399999999</v>
      </c>
      <c r="B1515" s="1">
        <f>DATE(2013,5,1) + TIME(0,0,3)</f>
        <v>41395.000034722223</v>
      </c>
      <c r="C1515">
        <v>80</v>
      </c>
      <c r="D1515">
        <v>68.419181824000006</v>
      </c>
      <c r="E1515">
        <v>50</v>
      </c>
      <c r="F1515">
        <v>49.977008820000002</v>
      </c>
      <c r="G1515">
        <v>1327.0567627</v>
      </c>
      <c r="H1515">
        <v>1322.5787353999999</v>
      </c>
      <c r="I1515">
        <v>1339.4179687999999</v>
      </c>
      <c r="J1515">
        <v>1336.1075439000001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1096.000121</v>
      </c>
      <c r="B1516" s="1">
        <f>DATE(2013,5,1) + TIME(0,0,10)</f>
        <v>41395.000115740739</v>
      </c>
      <c r="C1516">
        <v>80</v>
      </c>
      <c r="D1516">
        <v>68.423004149999997</v>
      </c>
      <c r="E1516">
        <v>50</v>
      </c>
      <c r="F1516">
        <v>49.976020812999998</v>
      </c>
      <c r="G1516">
        <v>1327.7265625</v>
      </c>
      <c r="H1516">
        <v>1323.387207</v>
      </c>
      <c r="I1516">
        <v>1338.7990723</v>
      </c>
      <c r="J1516">
        <v>1335.4885254000001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1096.000364</v>
      </c>
      <c r="B1517" s="1">
        <f>DATE(2013,5,1) + TIME(0,0,31)</f>
        <v>41395.000358796293</v>
      </c>
      <c r="C1517">
        <v>80</v>
      </c>
      <c r="D1517">
        <v>68.432006835999999</v>
      </c>
      <c r="E1517">
        <v>50</v>
      </c>
      <c r="F1517">
        <v>49.973991394000002</v>
      </c>
      <c r="G1517">
        <v>1329.0883789</v>
      </c>
      <c r="H1517">
        <v>1324.895874</v>
      </c>
      <c r="I1517">
        <v>1337.5255127</v>
      </c>
      <c r="J1517">
        <v>1334.2148437999999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1096.0010930000001</v>
      </c>
      <c r="B1518" s="1">
        <f>DATE(2013,5,1) + TIME(0,1,34)</f>
        <v>41395.001087962963</v>
      </c>
      <c r="C1518">
        <v>80</v>
      </c>
      <c r="D1518">
        <v>68.452598571999999</v>
      </c>
      <c r="E1518">
        <v>50</v>
      </c>
      <c r="F1518">
        <v>49.970916748</v>
      </c>
      <c r="G1518">
        <v>1331.1386719</v>
      </c>
      <c r="H1518">
        <v>1326.9697266000001</v>
      </c>
      <c r="I1518">
        <v>1335.6182861</v>
      </c>
      <c r="J1518">
        <v>1332.3078613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1096.0032799999999</v>
      </c>
      <c r="B1519" s="1">
        <f>DATE(2013,5,1) + TIME(0,4,43)</f>
        <v>41395.003275462965</v>
      </c>
      <c r="C1519">
        <v>80</v>
      </c>
      <c r="D1519">
        <v>68.504867554</v>
      </c>
      <c r="E1519">
        <v>50</v>
      </c>
      <c r="F1519">
        <v>49.967304230000003</v>
      </c>
      <c r="G1519">
        <v>1333.5112305</v>
      </c>
      <c r="H1519">
        <v>1329.2772216999999</v>
      </c>
      <c r="I1519">
        <v>1333.4552002</v>
      </c>
      <c r="J1519">
        <v>1330.1455077999999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1096.0098410000001</v>
      </c>
      <c r="B1520" s="1">
        <f>DATE(2013,5,1) + TIME(0,14,10)</f>
        <v>41395.009837962964</v>
      </c>
      <c r="C1520">
        <v>80</v>
      </c>
      <c r="D1520">
        <v>68.650344849000007</v>
      </c>
      <c r="E1520">
        <v>50</v>
      </c>
      <c r="F1520">
        <v>49.963237761999999</v>
      </c>
      <c r="G1520">
        <v>1335.9421387</v>
      </c>
      <c r="H1520">
        <v>1331.6500243999999</v>
      </c>
      <c r="I1520">
        <v>1331.2634277</v>
      </c>
      <c r="J1520">
        <v>1327.9554443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1096.029524</v>
      </c>
      <c r="B1521" s="1">
        <f>DATE(2013,5,1) + TIME(0,42,30)</f>
        <v>41395.029513888891</v>
      </c>
      <c r="C1521">
        <v>80</v>
      </c>
      <c r="D1521">
        <v>69.064552307</v>
      </c>
      <c r="E1521">
        <v>50</v>
      </c>
      <c r="F1521">
        <v>49.957977294999999</v>
      </c>
      <c r="G1521">
        <v>1338.3867187999999</v>
      </c>
      <c r="H1521">
        <v>1334.0627440999999</v>
      </c>
      <c r="I1521">
        <v>1329.0629882999999</v>
      </c>
      <c r="J1521">
        <v>1325.7517089999999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1096.0533350000001</v>
      </c>
      <c r="B1522" s="1">
        <f>DATE(2013,5,1) + TIME(1,16,48)</f>
        <v>41395.053333333337</v>
      </c>
      <c r="C1522">
        <v>80</v>
      </c>
      <c r="D1522">
        <v>69.544845581000004</v>
      </c>
      <c r="E1522">
        <v>50</v>
      </c>
      <c r="F1522">
        <v>49.953723906999997</v>
      </c>
      <c r="G1522">
        <v>1339.8609618999999</v>
      </c>
      <c r="H1522">
        <v>1335.520874</v>
      </c>
      <c r="I1522">
        <v>1327.7502440999999</v>
      </c>
      <c r="J1522">
        <v>1324.425293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1096.0779070000001</v>
      </c>
      <c r="B1523" s="1">
        <f>DATE(2013,5,1) + TIME(1,52,11)</f>
        <v>41395.077905092592</v>
      </c>
      <c r="C1523">
        <v>80</v>
      </c>
      <c r="D1523">
        <v>70.020347595000004</v>
      </c>
      <c r="E1523">
        <v>50</v>
      </c>
      <c r="F1523">
        <v>49.950119018999999</v>
      </c>
      <c r="G1523">
        <v>1340.8166504000001</v>
      </c>
      <c r="H1523">
        <v>1336.4697266000001</v>
      </c>
      <c r="I1523">
        <v>1326.9003906</v>
      </c>
      <c r="J1523">
        <v>1323.5557861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1096.103155</v>
      </c>
      <c r="B1524" s="1">
        <f>DATE(2013,5,1) + TIME(2,28,32)</f>
        <v>41395.103148148148</v>
      </c>
      <c r="C1524">
        <v>80</v>
      </c>
      <c r="D1524">
        <v>70.487991332999997</v>
      </c>
      <c r="E1524">
        <v>50</v>
      </c>
      <c r="F1524">
        <v>49.946815491000002</v>
      </c>
      <c r="G1524">
        <v>1341.5059814000001</v>
      </c>
      <c r="H1524">
        <v>1337.1586914</v>
      </c>
      <c r="I1524">
        <v>1326.2821045000001</v>
      </c>
      <c r="J1524">
        <v>1322.9151611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1096.129042</v>
      </c>
      <c r="B1525" s="1">
        <f>DATE(2013,5,1) + TIME(3,5,49)</f>
        <v>41395.12903935185</v>
      </c>
      <c r="C1525">
        <v>80</v>
      </c>
      <c r="D1525">
        <v>70.946342467999997</v>
      </c>
      <c r="E1525">
        <v>50</v>
      </c>
      <c r="F1525">
        <v>49.94367218</v>
      </c>
      <c r="G1525">
        <v>1342.0354004000001</v>
      </c>
      <c r="H1525">
        <v>1337.6916504000001</v>
      </c>
      <c r="I1525">
        <v>1325.8018798999999</v>
      </c>
      <c r="J1525">
        <v>1322.4124756000001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1096.1555679999999</v>
      </c>
      <c r="B1526" s="1">
        <f>DATE(2013,5,1) + TIME(3,44,1)</f>
        <v>41395.15556712963</v>
      </c>
      <c r="C1526">
        <v>80</v>
      </c>
      <c r="D1526">
        <v>71.394508361999996</v>
      </c>
      <c r="E1526">
        <v>50</v>
      </c>
      <c r="F1526">
        <v>49.940620422000002</v>
      </c>
      <c r="G1526">
        <v>1342.4589844</v>
      </c>
      <c r="H1526">
        <v>1338.1210937999999</v>
      </c>
      <c r="I1526">
        <v>1325.4132079999999</v>
      </c>
      <c r="J1526">
        <v>1322.0023193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1096.182744</v>
      </c>
      <c r="B1527" s="1">
        <f>DATE(2013,5,1) + TIME(4,23,9)</f>
        <v>41395.182743055557</v>
      </c>
      <c r="C1527">
        <v>80</v>
      </c>
      <c r="D1527">
        <v>71.831871032999999</v>
      </c>
      <c r="E1527">
        <v>50</v>
      </c>
      <c r="F1527">
        <v>49.937622070000003</v>
      </c>
      <c r="G1527">
        <v>1342.8076172000001</v>
      </c>
      <c r="H1527">
        <v>1338.4771728999999</v>
      </c>
      <c r="I1527">
        <v>1325.0898437999999</v>
      </c>
      <c r="J1527">
        <v>1321.6589355000001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1096.2105859999999</v>
      </c>
      <c r="B1528" s="1">
        <f>DATE(2013,5,1) + TIME(5,3,14)</f>
        <v>41395.210578703707</v>
      </c>
      <c r="C1528">
        <v>80</v>
      </c>
      <c r="D1528">
        <v>72.257942200000002</v>
      </c>
      <c r="E1528">
        <v>50</v>
      </c>
      <c r="F1528">
        <v>49.934646606000001</v>
      </c>
      <c r="G1528">
        <v>1343.1007079999999</v>
      </c>
      <c r="H1528">
        <v>1338.7789307</v>
      </c>
      <c r="I1528">
        <v>1324.8154297000001</v>
      </c>
      <c r="J1528">
        <v>1321.3663329999999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1096.2391150000001</v>
      </c>
      <c r="B1529" s="1">
        <f>DATE(2013,5,1) + TIME(5,44,19)</f>
        <v>41395.239108796297</v>
      </c>
      <c r="C1529">
        <v>80</v>
      </c>
      <c r="D1529">
        <v>72.672393799000005</v>
      </c>
      <c r="E1529">
        <v>50</v>
      </c>
      <c r="F1529">
        <v>49.931682586999997</v>
      </c>
      <c r="G1529">
        <v>1343.3514404</v>
      </c>
      <c r="H1529">
        <v>1339.0385742000001</v>
      </c>
      <c r="I1529">
        <v>1324.5791016000001</v>
      </c>
      <c r="J1529">
        <v>1321.1135254000001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1096.2683569999999</v>
      </c>
      <c r="B1530" s="1">
        <f>DATE(2013,5,1) + TIME(6,26,26)</f>
        <v>41395.26835648148</v>
      </c>
      <c r="C1530">
        <v>80</v>
      </c>
      <c r="D1530">
        <v>73.074974060000002</v>
      </c>
      <c r="E1530">
        <v>50</v>
      </c>
      <c r="F1530">
        <v>49.928710938000002</v>
      </c>
      <c r="G1530">
        <v>1343.5688477000001</v>
      </c>
      <c r="H1530">
        <v>1339.2651367000001</v>
      </c>
      <c r="I1530">
        <v>1324.3732910000001</v>
      </c>
      <c r="J1530">
        <v>1320.8928223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1096.2983400000001</v>
      </c>
      <c r="B1531" s="1">
        <f>DATE(2013,5,1) + TIME(7,9,36)</f>
        <v>41395.298333333332</v>
      </c>
      <c r="C1531">
        <v>80</v>
      </c>
      <c r="D1531">
        <v>73.465499878000003</v>
      </c>
      <c r="E1531">
        <v>50</v>
      </c>
      <c r="F1531">
        <v>49.925727844000001</v>
      </c>
      <c r="G1531">
        <v>1343.7595214999999</v>
      </c>
      <c r="H1531">
        <v>1339.4649658000001</v>
      </c>
      <c r="I1531">
        <v>1324.1925048999999</v>
      </c>
      <c r="J1531">
        <v>1320.6986084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1096.3290939999999</v>
      </c>
      <c r="B1532" s="1">
        <f>DATE(2013,5,1) + TIME(7,53,53)</f>
        <v>41395.329085648147</v>
      </c>
      <c r="C1532">
        <v>80</v>
      </c>
      <c r="D1532">
        <v>73.843833923000005</v>
      </c>
      <c r="E1532">
        <v>50</v>
      </c>
      <c r="F1532">
        <v>49.922725677000003</v>
      </c>
      <c r="G1532">
        <v>1343.9284668</v>
      </c>
      <c r="H1532">
        <v>1339.6425781</v>
      </c>
      <c r="I1532">
        <v>1324.0325928</v>
      </c>
      <c r="J1532">
        <v>1320.5267334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1096.3606609999999</v>
      </c>
      <c r="B1533" s="1">
        <f>DATE(2013,5,1) + TIME(8,39,21)</f>
        <v>41395.360659722224</v>
      </c>
      <c r="C1533">
        <v>80</v>
      </c>
      <c r="D1533">
        <v>74.209960937999995</v>
      </c>
      <c r="E1533">
        <v>50</v>
      </c>
      <c r="F1533">
        <v>49.919696807999998</v>
      </c>
      <c r="G1533">
        <v>1344.0792236</v>
      </c>
      <c r="H1533">
        <v>1339.8017577999999</v>
      </c>
      <c r="I1533">
        <v>1323.8905029</v>
      </c>
      <c r="J1533">
        <v>1320.3737793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1096.393045</v>
      </c>
      <c r="B1534" s="1">
        <f>DATE(2013,5,1) + TIME(9,25,59)</f>
        <v>41395.393043981479</v>
      </c>
      <c r="C1534">
        <v>80</v>
      </c>
      <c r="D1534">
        <v>74.563461304</v>
      </c>
      <c r="E1534">
        <v>50</v>
      </c>
      <c r="F1534">
        <v>49.916633605999998</v>
      </c>
      <c r="G1534">
        <v>1344.2145995999999</v>
      </c>
      <c r="H1534">
        <v>1339.9450684000001</v>
      </c>
      <c r="I1534">
        <v>1323.7640381000001</v>
      </c>
      <c r="J1534">
        <v>1320.2374268000001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1096.4262550000001</v>
      </c>
      <c r="B1535" s="1">
        <f>DATE(2013,5,1) + TIME(10,13,48)</f>
        <v>41395.426249999997</v>
      </c>
      <c r="C1535">
        <v>80</v>
      </c>
      <c r="D1535">
        <v>74.904037475999999</v>
      </c>
      <c r="E1535">
        <v>50</v>
      </c>
      <c r="F1535">
        <v>49.913539886000002</v>
      </c>
      <c r="G1535">
        <v>1344.3369141000001</v>
      </c>
      <c r="H1535">
        <v>1340.0745850000001</v>
      </c>
      <c r="I1535">
        <v>1323.6511230000001</v>
      </c>
      <c r="J1535">
        <v>1320.1156006000001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1096.4603340000001</v>
      </c>
      <c r="B1536" s="1">
        <f>DATE(2013,5,1) + TIME(11,2,52)</f>
        <v>41395.460324074076</v>
      </c>
      <c r="C1536">
        <v>80</v>
      </c>
      <c r="D1536">
        <v>75.231620789000004</v>
      </c>
      <c r="E1536">
        <v>50</v>
      </c>
      <c r="F1536">
        <v>49.910411834999998</v>
      </c>
      <c r="G1536">
        <v>1344.447876</v>
      </c>
      <c r="H1536">
        <v>1340.1922606999999</v>
      </c>
      <c r="I1536">
        <v>1323.5501709</v>
      </c>
      <c r="J1536">
        <v>1320.0065918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1096.495324</v>
      </c>
      <c r="B1537" s="1">
        <f>DATE(2013,5,1) + TIME(11,53,15)</f>
        <v>41395.495312500003</v>
      </c>
      <c r="C1537">
        <v>80</v>
      </c>
      <c r="D1537">
        <v>75.546340942</v>
      </c>
      <c r="E1537">
        <v>50</v>
      </c>
      <c r="F1537">
        <v>49.907238006999997</v>
      </c>
      <c r="G1537">
        <v>1344.5489502</v>
      </c>
      <c r="H1537">
        <v>1340.2993164</v>
      </c>
      <c r="I1537">
        <v>1323.4599608999999</v>
      </c>
      <c r="J1537">
        <v>1319.9090576000001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1096.531277</v>
      </c>
      <c r="B1538" s="1">
        <f>DATE(2013,5,1) + TIME(12,45,2)</f>
        <v>41395.531273148146</v>
      </c>
      <c r="C1538">
        <v>80</v>
      </c>
      <c r="D1538">
        <v>75.848396300999994</v>
      </c>
      <c r="E1538">
        <v>50</v>
      </c>
      <c r="F1538">
        <v>49.904022216999998</v>
      </c>
      <c r="G1538">
        <v>1344.6413574000001</v>
      </c>
      <c r="H1538">
        <v>1340.3970947</v>
      </c>
      <c r="I1538">
        <v>1323.3792725000001</v>
      </c>
      <c r="J1538">
        <v>1319.8217772999999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1096.56825</v>
      </c>
      <c r="B1539" s="1">
        <f>DATE(2013,5,1) + TIME(13,38,16)</f>
        <v>41395.568240740744</v>
      </c>
      <c r="C1539">
        <v>80</v>
      </c>
      <c r="D1539">
        <v>76.137901306000003</v>
      </c>
      <c r="E1539">
        <v>50</v>
      </c>
      <c r="F1539">
        <v>49.900753021</v>
      </c>
      <c r="G1539">
        <v>1344.7261963000001</v>
      </c>
      <c r="H1539">
        <v>1340.4865723</v>
      </c>
      <c r="I1539">
        <v>1323.3071289</v>
      </c>
      <c r="J1539">
        <v>1319.7435303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1096.606303</v>
      </c>
      <c r="B1540" s="1">
        <f>DATE(2013,5,1) + TIME(14,33,4)</f>
        <v>41395.606296296297</v>
      </c>
      <c r="C1540">
        <v>80</v>
      </c>
      <c r="D1540">
        <v>76.414978027000004</v>
      </c>
      <c r="E1540">
        <v>50</v>
      </c>
      <c r="F1540">
        <v>49.897426605</v>
      </c>
      <c r="G1540">
        <v>1344.8040771000001</v>
      </c>
      <c r="H1540">
        <v>1340.5686035000001</v>
      </c>
      <c r="I1540">
        <v>1323.2427978999999</v>
      </c>
      <c r="J1540">
        <v>1319.6737060999999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1096.6454980000001</v>
      </c>
      <c r="B1541" s="1">
        <f>DATE(2013,5,1) + TIME(15,29,31)</f>
        <v>41395.645497685182</v>
      </c>
      <c r="C1541">
        <v>80</v>
      </c>
      <c r="D1541">
        <v>76.679748535000002</v>
      </c>
      <c r="E1541">
        <v>50</v>
      </c>
      <c r="F1541">
        <v>49.894039153999998</v>
      </c>
      <c r="G1541">
        <v>1344.8758545000001</v>
      </c>
      <c r="H1541">
        <v>1340.644043</v>
      </c>
      <c r="I1541">
        <v>1323.1854248</v>
      </c>
      <c r="J1541">
        <v>1319.6114502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1096.6859039999999</v>
      </c>
      <c r="B1542" s="1">
        <f>DATE(2013,5,1) + TIME(16,27,42)</f>
        <v>41395.685902777775</v>
      </c>
      <c r="C1542">
        <v>80</v>
      </c>
      <c r="D1542">
        <v>76.932327271000005</v>
      </c>
      <c r="E1542">
        <v>50</v>
      </c>
      <c r="F1542">
        <v>49.890586853000002</v>
      </c>
      <c r="G1542">
        <v>1344.9420166</v>
      </c>
      <c r="H1542">
        <v>1340.7132568</v>
      </c>
      <c r="I1542">
        <v>1323.1346435999999</v>
      </c>
      <c r="J1542">
        <v>1319.5560303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1096.7275959999999</v>
      </c>
      <c r="B1543" s="1">
        <f>DATE(2013,5,1) + TIME(17,27,44)</f>
        <v>41395.727592592593</v>
      </c>
      <c r="C1543">
        <v>80</v>
      </c>
      <c r="D1543">
        <v>77.172843932999996</v>
      </c>
      <c r="E1543">
        <v>50</v>
      </c>
      <c r="F1543">
        <v>49.887065886999999</v>
      </c>
      <c r="G1543">
        <v>1345.0032959</v>
      </c>
      <c r="H1543">
        <v>1340.7769774999999</v>
      </c>
      <c r="I1543">
        <v>1323.0895995999999</v>
      </c>
      <c r="J1543">
        <v>1319.5068358999999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1096.7706519999999</v>
      </c>
      <c r="B1544" s="1">
        <f>DATE(2013,5,1) + TIME(18,29,44)</f>
        <v>41395.770648148151</v>
      </c>
      <c r="C1544">
        <v>80</v>
      </c>
      <c r="D1544">
        <v>77.401443481000001</v>
      </c>
      <c r="E1544">
        <v>50</v>
      </c>
      <c r="F1544">
        <v>49.883464813000003</v>
      </c>
      <c r="G1544">
        <v>1345.0598144999999</v>
      </c>
      <c r="H1544">
        <v>1340.8356934000001</v>
      </c>
      <c r="I1544">
        <v>1323.0499268000001</v>
      </c>
      <c r="J1544">
        <v>1319.4633789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1096.8151600000001</v>
      </c>
      <c r="B1545" s="1">
        <f>DATE(2013,5,1) + TIME(19,33,49)</f>
        <v>41395.815150462964</v>
      </c>
      <c r="C1545">
        <v>80</v>
      </c>
      <c r="D1545">
        <v>77.618270874000004</v>
      </c>
      <c r="E1545">
        <v>50</v>
      </c>
      <c r="F1545">
        <v>49.879783629999999</v>
      </c>
      <c r="G1545">
        <v>1345.1121826000001</v>
      </c>
      <c r="H1545">
        <v>1340.8896483999999</v>
      </c>
      <c r="I1545">
        <v>1323.0150146000001</v>
      </c>
      <c r="J1545">
        <v>1319.4250488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1096.8612149999999</v>
      </c>
      <c r="B1546" s="1">
        <f>DATE(2013,5,1) + TIME(20,40,8)</f>
        <v>41395.861203703702</v>
      </c>
      <c r="C1546">
        <v>80</v>
      </c>
      <c r="D1546">
        <v>77.823471068999993</v>
      </c>
      <c r="E1546">
        <v>50</v>
      </c>
      <c r="F1546">
        <v>49.876014709000003</v>
      </c>
      <c r="G1546">
        <v>1345.1607666</v>
      </c>
      <c r="H1546">
        <v>1340.9393310999999</v>
      </c>
      <c r="I1546">
        <v>1322.9846190999999</v>
      </c>
      <c r="J1546">
        <v>1319.3916016000001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1096.9089269999999</v>
      </c>
      <c r="B1547" s="1">
        <f>DATE(2013,5,1) + TIME(21,48,51)</f>
        <v>41395.90892361111</v>
      </c>
      <c r="C1547">
        <v>80</v>
      </c>
      <c r="D1547">
        <v>78.017257689999994</v>
      </c>
      <c r="E1547">
        <v>50</v>
      </c>
      <c r="F1547">
        <v>49.872146606000001</v>
      </c>
      <c r="G1547">
        <v>1345.2056885</v>
      </c>
      <c r="H1547">
        <v>1340.9851074000001</v>
      </c>
      <c r="I1547">
        <v>1322.9582519999999</v>
      </c>
      <c r="J1547">
        <v>1319.3623047000001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1096.9583600000001</v>
      </c>
      <c r="B1548" s="1">
        <f>DATE(2013,5,1) + TIME(23,0,2)</f>
        <v>41395.958356481482</v>
      </c>
      <c r="C1548">
        <v>80</v>
      </c>
      <c r="D1548">
        <v>78.199630737000007</v>
      </c>
      <c r="E1548">
        <v>50</v>
      </c>
      <c r="F1548">
        <v>49.868179321</v>
      </c>
      <c r="G1548">
        <v>1345.2474365</v>
      </c>
      <c r="H1548">
        <v>1341.0273437999999</v>
      </c>
      <c r="I1548">
        <v>1322.9355469</v>
      </c>
      <c r="J1548">
        <v>1319.3371582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1097.009599</v>
      </c>
      <c r="B1549" s="1">
        <f>DATE(2013,5,2) + TIME(0,13,49)</f>
        <v>41396.009594907409</v>
      </c>
      <c r="C1549">
        <v>80</v>
      </c>
      <c r="D1549">
        <v>78.370712280000006</v>
      </c>
      <c r="E1549">
        <v>50</v>
      </c>
      <c r="F1549">
        <v>49.864109038999999</v>
      </c>
      <c r="G1549">
        <v>1345.2860106999999</v>
      </c>
      <c r="H1549">
        <v>1341.0660399999999</v>
      </c>
      <c r="I1549">
        <v>1322.9162598</v>
      </c>
      <c r="J1549">
        <v>1319.3154297000001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1097.0627649999999</v>
      </c>
      <c r="B1550" s="1">
        <f>DATE(2013,5,2) + TIME(1,30,22)</f>
        <v>41396.062754629631</v>
      </c>
      <c r="C1550">
        <v>80</v>
      </c>
      <c r="D1550">
        <v>78.530746460000003</v>
      </c>
      <c r="E1550">
        <v>50</v>
      </c>
      <c r="F1550">
        <v>49.859924315999997</v>
      </c>
      <c r="G1550">
        <v>1345.3217772999999</v>
      </c>
      <c r="H1550">
        <v>1341.1016846</v>
      </c>
      <c r="I1550">
        <v>1322.8999022999999</v>
      </c>
      <c r="J1550">
        <v>1319.2969971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1097.117988</v>
      </c>
      <c r="B1551" s="1">
        <f>DATE(2013,5,2) + TIME(2,49,54)</f>
        <v>41396.117986111109</v>
      </c>
      <c r="C1551">
        <v>80</v>
      </c>
      <c r="D1551">
        <v>78.679977417000003</v>
      </c>
      <c r="E1551">
        <v>50</v>
      </c>
      <c r="F1551">
        <v>49.855617522999999</v>
      </c>
      <c r="G1551">
        <v>1345.3549805</v>
      </c>
      <c r="H1551">
        <v>1341.1343993999999</v>
      </c>
      <c r="I1551">
        <v>1322.8862305</v>
      </c>
      <c r="J1551">
        <v>1319.2813721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1097.1754370000001</v>
      </c>
      <c r="B1552" s="1">
        <f>DATE(2013,5,2) + TIME(4,12,37)</f>
        <v>41396.175428240742</v>
      </c>
      <c r="C1552">
        <v>80</v>
      </c>
      <c r="D1552">
        <v>78.818733214999995</v>
      </c>
      <c r="E1552">
        <v>50</v>
      </c>
      <c r="F1552">
        <v>49.851181029999999</v>
      </c>
      <c r="G1552">
        <v>1345.3856201000001</v>
      </c>
      <c r="H1552">
        <v>1341.1644286999999</v>
      </c>
      <c r="I1552">
        <v>1322.875</v>
      </c>
      <c r="J1552">
        <v>1319.2683105000001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1097.2352530000001</v>
      </c>
      <c r="B1553" s="1">
        <f>DATE(2013,5,2) + TIME(5,38,45)</f>
        <v>41396.235243055555</v>
      </c>
      <c r="C1553">
        <v>80</v>
      </c>
      <c r="D1553">
        <v>78.947265625</v>
      </c>
      <c r="E1553">
        <v>50</v>
      </c>
      <c r="F1553">
        <v>49.846607208000002</v>
      </c>
      <c r="G1553">
        <v>1345.4139404</v>
      </c>
      <c r="H1553">
        <v>1341.1918945</v>
      </c>
      <c r="I1553">
        <v>1322.8658447</v>
      </c>
      <c r="J1553">
        <v>1319.2575684000001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1097.2976040000001</v>
      </c>
      <c r="B1554" s="1">
        <f>DATE(2013,5,2) + TIME(7,8,32)</f>
        <v>41396.297592592593</v>
      </c>
      <c r="C1554">
        <v>80</v>
      </c>
      <c r="D1554">
        <v>79.065856933999996</v>
      </c>
      <c r="E1554">
        <v>50</v>
      </c>
      <c r="F1554">
        <v>49.841880797999998</v>
      </c>
      <c r="G1554">
        <v>1345.4400635</v>
      </c>
      <c r="H1554">
        <v>1341.2170410000001</v>
      </c>
      <c r="I1554">
        <v>1322.8586425999999</v>
      </c>
      <c r="J1554">
        <v>1319.2489014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1097.3626810000001</v>
      </c>
      <c r="B1555" s="1">
        <f>DATE(2013,5,2) + TIME(8,42,15)</f>
        <v>41396.362673611111</v>
      </c>
      <c r="C1555">
        <v>80</v>
      </c>
      <c r="D1555">
        <v>79.174850464000002</v>
      </c>
      <c r="E1555">
        <v>50</v>
      </c>
      <c r="F1555">
        <v>49.836990356000001</v>
      </c>
      <c r="G1555">
        <v>1345.4642334</v>
      </c>
      <c r="H1555">
        <v>1341.2399902</v>
      </c>
      <c r="I1555">
        <v>1322.8530272999999</v>
      </c>
      <c r="J1555">
        <v>1319.2419434000001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1097.4306979999999</v>
      </c>
      <c r="B1556" s="1">
        <f>DATE(2013,5,2) + TIME(10,20,12)</f>
        <v>41396.430694444447</v>
      </c>
      <c r="C1556">
        <v>80</v>
      </c>
      <c r="D1556">
        <v>79.274581909000005</v>
      </c>
      <c r="E1556">
        <v>50</v>
      </c>
      <c r="F1556">
        <v>49.831928253000001</v>
      </c>
      <c r="G1556">
        <v>1345.4864502</v>
      </c>
      <c r="H1556">
        <v>1341.2608643000001</v>
      </c>
      <c r="I1556">
        <v>1322.8487548999999</v>
      </c>
      <c r="J1556">
        <v>1319.2364502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1097.5018909999999</v>
      </c>
      <c r="B1557" s="1">
        <f>DATE(2013,5,2) + TIME(12,2,43)</f>
        <v>41396.501886574071</v>
      </c>
      <c r="C1557">
        <v>80</v>
      </c>
      <c r="D1557">
        <v>79.365425110000004</v>
      </c>
      <c r="E1557">
        <v>50</v>
      </c>
      <c r="F1557">
        <v>49.826679230000003</v>
      </c>
      <c r="G1557">
        <v>1345.5069579999999</v>
      </c>
      <c r="H1557">
        <v>1341.2799072</v>
      </c>
      <c r="I1557">
        <v>1322.8458252</v>
      </c>
      <c r="J1557">
        <v>1319.2322998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1097.576521</v>
      </c>
      <c r="B1558" s="1">
        <f>DATE(2013,5,2) + TIME(13,50,11)</f>
        <v>41396.576516203706</v>
      </c>
      <c r="C1558">
        <v>80</v>
      </c>
      <c r="D1558">
        <v>79.447753906000003</v>
      </c>
      <c r="E1558">
        <v>50</v>
      </c>
      <c r="F1558">
        <v>49.821224213000001</v>
      </c>
      <c r="G1558">
        <v>1345.5256348</v>
      </c>
      <c r="H1558">
        <v>1341.2971190999999</v>
      </c>
      <c r="I1558">
        <v>1322.84375</v>
      </c>
      <c r="J1558">
        <v>1319.229126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1097.6548849999999</v>
      </c>
      <c r="B1559" s="1">
        <f>DATE(2013,5,2) + TIME(15,43,2)</f>
        <v>41396.65488425926</v>
      </c>
      <c r="C1559">
        <v>80</v>
      </c>
      <c r="D1559">
        <v>79.521965026999993</v>
      </c>
      <c r="E1559">
        <v>50</v>
      </c>
      <c r="F1559">
        <v>49.815547942999999</v>
      </c>
      <c r="G1559">
        <v>1345.5427245999999</v>
      </c>
      <c r="H1559">
        <v>1341.3126221</v>
      </c>
      <c r="I1559">
        <v>1322.8426514</v>
      </c>
      <c r="J1559">
        <v>1319.2270507999999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1097.7373130000001</v>
      </c>
      <c r="B1560" s="1">
        <f>DATE(2013,5,2) + TIME(17,41,43)</f>
        <v>41396.737303240741</v>
      </c>
      <c r="C1560">
        <v>80</v>
      </c>
      <c r="D1560">
        <v>79.588485718000001</v>
      </c>
      <c r="E1560">
        <v>50</v>
      </c>
      <c r="F1560">
        <v>49.809631348000003</v>
      </c>
      <c r="G1560">
        <v>1345.5582274999999</v>
      </c>
      <c r="H1560">
        <v>1341.3265381000001</v>
      </c>
      <c r="I1560">
        <v>1322.8422852000001</v>
      </c>
      <c r="J1560">
        <v>1319.2255858999999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1097.8241840000001</v>
      </c>
      <c r="B1561" s="1">
        <f>DATE(2013,5,2) + TIME(19,46,49)</f>
        <v>41396.824178240742</v>
      </c>
      <c r="C1561">
        <v>80</v>
      </c>
      <c r="D1561">
        <v>79.647727966000005</v>
      </c>
      <c r="E1561">
        <v>50</v>
      </c>
      <c r="F1561">
        <v>49.803455352999997</v>
      </c>
      <c r="G1561">
        <v>1345.5721435999999</v>
      </c>
      <c r="H1561">
        <v>1341.3389893000001</v>
      </c>
      <c r="I1561">
        <v>1322.8424072</v>
      </c>
      <c r="J1561">
        <v>1319.2248535000001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1097.915949</v>
      </c>
      <c r="B1562" s="1">
        <f>DATE(2013,5,2) + TIME(21,58,57)</f>
        <v>41396.915937500002</v>
      </c>
      <c r="C1562">
        <v>80</v>
      </c>
      <c r="D1562">
        <v>79.700157165999997</v>
      </c>
      <c r="E1562">
        <v>50</v>
      </c>
      <c r="F1562">
        <v>49.796985626000001</v>
      </c>
      <c r="G1562">
        <v>1345.5845947</v>
      </c>
      <c r="H1562">
        <v>1341.3498535000001</v>
      </c>
      <c r="I1562">
        <v>1322.8428954999999</v>
      </c>
      <c r="J1562">
        <v>1319.2244873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1098.0131240000001</v>
      </c>
      <c r="B1563" s="1">
        <f>DATE(2013,5,3) + TIME(0,18,53)</f>
        <v>41397.013113425928</v>
      </c>
      <c r="C1563">
        <v>80</v>
      </c>
      <c r="D1563">
        <v>79.746215820000003</v>
      </c>
      <c r="E1563">
        <v>50</v>
      </c>
      <c r="F1563">
        <v>49.790203093999999</v>
      </c>
      <c r="G1563">
        <v>1345.5957031</v>
      </c>
      <c r="H1563">
        <v>1341.359375</v>
      </c>
      <c r="I1563">
        <v>1322.84375</v>
      </c>
      <c r="J1563">
        <v>1319.2244873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1098.1162340000001</v>
      </c>
      <c r="B1564" s="1">
        <f>DATE(2013,5,3) + TIME(2,47,22)</f>
        <v>41397.116226851853</v>
      </c>
      <c r="C1564">
        <v>80</v>
      </c>
      <c r="D1564">
        <v>79.786338806000003</v>
      </c>
      <c r="E1564">
        <v>50</v>
      </c>
      <c r="F1564">
        <v>49.783069611000002</v>
      </c>
      <c r="G1564">
        <v>1345.6052245999999</v>
      </c>
      <c r="H1564">
        <v>1341.3675536999999</v>
      </c>
      <c r="I1564">
        <v>1322.8448486</v>
      </c>
      <c r="J1564">
        <v>1319.2247314000001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1098.225416</v>
      </c>
      <c r="B1565" s="1">
        <f>DATE(2013,5,3) + TIME(5,24,35)</f>
        <v>41397.225405092591</v>
      </c>
      <c r="C1565">
        <v>80</v>
      </c>
      <c r="D1565">
        <v>79.820861816000004</v>
      </c>
      <c r="E1565">
        <v>50</v>
      </c>
      <c r="F1565">
        <v>49.775585175000003</v>
      </c>
      <c r="G1565">
        <v>1345.6135254000001</v>
      </c>
      <c r="H1565">
        <v>1341.3743896000001</v>
      </c>
      <c r="I1565">
        <v>1322.8459473</v>
      </c>
      <c r="J1565">
        <v>1319.2250977000001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1098.336078</v>
      </c>
      <c r="B1566" s="1">
        <f>DATE(2013,5,3) + TIME(8,3,57)</f>
        <v>41397.336076388892</v>
      </c>
      <c r="C1566">
        <v>80</v>
      </c>
      <c r="D1566">
        <v>79.849220275999997</v>
      </c>
      <c r="E1566">
        <v>50</v>
      </c>
      <c r="F1566">
        <v>49.768024445000002</v>
      </c>
      <c r="G1566">
        <v>1345.6208495999999</v>
      </c>
      <c r="H1566">
        <v>1341.3801269999999</v>
      </c>
      <c r="I1566">
        <v>1322.8470459</v>
      </c>
      <c r="J1566">
        <v>1319.2254639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1098.4487079999999</v>
      </c>
      <c r="B1567" s="1">
        <f>DATE(2013,5,3) + TIME(10,46,8)</f>
        <v>41397.448703703703</v>
      </c>
      <c r="C1567">
        <v>80</v>
      </c>
      <c r="D1567">
        <v>79.872535705999994</v>
      </c>
      <c r="E1567">
        <v>50</v>
      </c>
      <c r="F1567">
        <v>49.760360718000001</v>
      </c>
      <c r="G1567">
        <v>1345.6264647999999</v>
      </c>
      <c r="H1567">
        <v>1341.3845214999999</v>
      </c>
      <c r="I1567">
        <v>1322.8481445</v>
      </c>
      <c r="J1567">
        <v>1319.2258300999999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1098.5636010000001</v>
      </c>
      <c r="B1568" s="1">
        <f>DATE(2013,5,3) + TIME(13,31,35)</f>
        <v>41397.563599537039</v>
      </c>
      <c r="C1568">
        <v>80</v>
      </c>
      <c r="D1568">
        <v>79.891685486</v>
      </c>
      <c r="E1568">
        <v>50</v>
      </c>
      <c r="F1568">
        <v>49.752574920999997</v>
      </c>
      <c r="G1568">
        <v>1345.6304932</v>
      </c>
      <c r="H1568">
        <v>1341.3875731999999</v>
      </c>
      <c r="I1568">
        <v>1322.8491211</v>
      </c>
      <c r="J1568">
        <v>1319.2260742000001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1098.6810700000001</v>
      </c>
      <c r="B1569" s="1">
        <f>DATE(2013,5,3) + TIME(16,20,44)</f>
        <v>41397.681064814817</v>
      </c>
      <c r="C1569">
        <v>80</v>
      </c>
      <c r="D1569">
        <v>79.907371521000002</v>
      </c>
      <c r="E1569">
        <v>50</v>
      </c>
      <c r="F1569">
        <v>49.744655608999999</v>
      </c>
      <c r="G1569">
        <v>1345.6333007999999</v>
      </c>
      <c r="H1569">
        <v>1341.3895264</v>
      </c>
      <c r="I1569">
        <v>1322.8500977000001</v>
      </c>
      <c r="J1569">
        <v>1319.2263184000001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1098.8002719999999</v>
      </c>
      <c r="B1570" s="1">
        <f>DATE(2013,5,3) + TIME(19,12,23)</f>
        <v>41397.800266203703</v>
      </c>
      <c r="C1570">
        <v>80</v>
      </c>
      <c r="D1570">
        <v>79.920104980000005</v>
      </c>
      <c r="E1570">
        <v>50</v>
      </c>
      <c r="F1570">
        <v>49.736644745</v>
      </c>
      <c r="G1570">
        <v>1345.6348877</v>
      </c>
      <c r="H1570">
        <v>1341.390625</v>
      </c>
      <c r="I1570">
        <v>1322.8508300999999</v>
      </c>
      <c r="J1570">
        <v>1319.2264404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1098.9213239999999</v>
      </c>
      <c r="B1571" s="1">
        <f>DATE(2013,5,3) + TIME(22,6,42)</f>
        <v>41397.921319444446</v>
      </c>
      <c r="C1571">
        <v>80</v>
      </c>
      <c r="D1571">
        <v>79.930419921999999</v>
      </c>
      <c r="E1571">
        <v>50</v>
      </c>
      <c r="F1571">
        <v>49.728538512999997</v>
      </c>
      <c r="G1571">
        <v>1345.635376</v>
      </c>
      <c r="H1571">
        <v>1341.3907471</v>
      </c>
      <c r="I1571">
        <v>1322.8514404</v>
      </c>
      <c r="J1571">
        <v>1319.2264404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1099.044451</v>
      </c>
      <c r="B1572" s="1">
        <f>DATE(2013,5,4) + TIME(1,4,0)</f>
        <v>41398.044444444444</v>
      </c>
      <c r="C1572">
        <v>80</v>
      </c>
      <c r="D1572">
        <v>79.938758849999999</v>
      </c>
      <c r="E1572">
        <v>50</v>
      </c>
      <c r="F1572">
        <v>49.720329284999998</v>
      </c>
      <c r="G1572">
        <v>1345.6348877</v>
      </c>
      <c r="H1572">
        <v>1341.3900146000001</v>
      </c>
      <c r="I1572">
        <v>1322.8519286999999</v>
      </c>
      <c r="J1572">
        <v>1319.2264404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1099.169938</v>
      </c>
      <c r="B1573" s="1">
        <f>DATE(2013,5,4) + TIME(4,4,42)</f>
        <v>41398.169930555552</v>
      </c>
      <c r="C1573">
        <v>80</v>
      </c>
      <c r="D1573">
        <v>79.945503235000004</v>
      </c>
      <c r="E1573">
        <v>50</v>
      </c>
      <c r="F1573">
        <v>49.711994171000001</v>
      </c>
      <c r="G1573">
        <v>1345.6334228999999</v>
      </c>
      <c r="H1573">
        <v>1341.3886719</v>
      </c>
      <c r="I1573">
        <v>1322.8522949000001</v>
      </c>
      <c r="J1573">
        <v>1319.2261963000001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1099.298033</v>
      </c>
      <c r="B1574" s="1">
        <f>DATE(2013,5,4) + TIME(7,9,10)</f>
        <v>41398.298032407409</v>
      </c>
      <c r="C1574">
        <v>80</v>
      </c>
      <c r="D1574">
        <v>79.950935364000003</v>
      </c>
      <c r="E1574">
        <v>50</v>
      </c>
      <c r="F1574">
        <v>49.703525542999998</v>
      </c>
      <c r="G1574">
        <v>1345.6311035000001</v>
      </c>
      <c r="H1574">
        <v>1341.3865966999999</v>
      </c>
      <c r="I1574">
        <v>1322.8525391000001</v>
      </c>
      <c r="J1574">
        <v>1319.2259521000001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1099.428995</v>
      </c>
      <c r="B1575" s="1">
        <f>DATE(2013,5,4) + TIME(10,17,45)</f>
        <v>41398.428993055553</v>
      </c>
      <c r="C1575">
        <v>80</v>
      </c>
      <c r="D1575">
        <v>79.955314635999997</v>
      </c>
      <c r="E1575">
        <v>50</v>
      </c>
      <c r="F1575">
        <v>49.694904327000003</v>
      </c>
      <c r="G1575">
        <v>1345.6280518000001</v>
      </c>
      <c r="H1575">
        <v>1341.3839111</v>
      </c>
      <c r="I1575">
        <v>1322.8526611</v>
      </c>
      <c r="J1575">
        <v>1319.2255858999999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1099.5631229999999</v>
      </c>
      <c r="B1576" s="1">
        <f>DATE(2013,5,4) + TIME(13,30,53)</f>
        <v>41398.563113425924</v>
      </c>
      <c r="C1576">
        <v>80</v>
      </c>
      <c r="D1576">
        <v>79.958831786999994</v>
      </c>
      <c r="E1576">
        <v>50</v>
      </c>
      <c r="F1576">
        <v>49.686115264999998</v>
      </c>
      <c r="G1576">
        <v>1345.6243896000001</v>
      </c>
      <c r="H1576">
        <v>1341.3808594</v>
      </c>
      <c r="I1576">
        <v>1322.8526611</v>
      </c>
      <c r="J1576">
        <v>1319.2250977000001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1099.70074</v>
      </c>
      <c r="B1577" s="1">
        <f>DATE(2013,5,4) + TIME(16,49,3)</f>
        <v>41398.700729166667</v>
      </c>
      <c r="C1577">
        <v>80</v>
      </c>
      <c r="D1577">
        <v>79.961647033999995</v>
      </c>
      <c r="E1577">
        <v>50</v>
      </c>
      <c r="F1577">
        <v>49.677139281999999</v>
      </c>
      <c r="G1577">
        <v>1345.6199951000001</v>
      </c>
      <c r="H1577">
        <v>1341.3771973</v>
      </c>
      <c r="I1577">
        <v>1322.8526611</v>
      </c>
      <c r="J1577">
        <v>1319.2246094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1099.8421960000001</v>
      </c>
      <c r="B1578" s="1">
        <f>DATE(2013,5,4) + TIME(20,12,45)</f>
        <v>41398.842187499999</v>
      </c>
      <c r="C1578">
        <v>80</v>
      </c>
      <c r="D1578">
        <v>79.963905334000003</v>
      </c>
      <c r="E1578">
        <v>50</v>
      </c>
      <c r="F1578">
        <v>49.667961120999998</v>
      </c>
      <c r="G1578">
        <v>1345.6149902</v>
      </c>
      <c r="H1578">
        <v>1341.3730469</v>
      </c>
      <c r="I1578">
        <v>1322.8525391000001</v>
      </c>
      <c r="J1578">
        <v>1319.223999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1099.9878759999999</v>
      </c>
      <c r="B1579" s="1">
        <f>DATE(2013,5,4) + TIME(23,42,32)</f>
        <v>41398.987870370373</v>
      </c>
      <c r="C1579">
        <v>80</v>
      </c>
      <c r="D1579">
        <v>79.965705872000001</v>
      </c>
      <c r="E1579">
        <v>50</v>
      </c>
      <c r="F1579">
        <v>49.658557891999997</v>
      </c>
      <c r="G1579">
        <v>1345.609375</v>
      </c>
      <c r="H1579">
        <v>1341.3685303</v>
      </c>
      <c r="I1579">
        <v>1322.8522949000001</v>
      </c>
      <c r="J1579">
        <v>1319.2232666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1100.1378589999999</v>
      </c>
      <c r="B1580" s="1">
        <f>DATE(2013,5,5) + TIME(3,18,31)</f>
        <v>41399.137858796297</v>
      </c>
      <c r="C1580">
        <v>80</v>
      </c>
      <c r="D1580">
        <v>79.967132567999997</v>
      </c>
      <c r="E1580">
        <v>50</v>
      </c>
      <c r="F1580">
        <v>49.648925781000003</v>
      </c>
      <c r="G1580">
        <v>1345.6032714999999</v>
      </c>
      <c r="H1580">
        <v>1341.3635254000001</v>
      </c>
      <c r="I1580">
        <v>1322.8519286999999</v>
      </c>
      <c r="J1580">
        <v>1319.2225341999999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1100.291215</v>
      </c>
      <c r="B1581" s="1">
        <f>DATE(2013,5,5) + TIME(6,59,20)</f>
        <v>41399.291203703702</v>
      </c>
      <c r="C1581">
        <v>80</v>
      </c>
      <c r="D1581">
        <v>79.968261718999997</v>
      </c>
      <c r="E1581">
        <v>50</v>
      </c>
      <c r="F1581">
        <v>49.639118195000002</v>
      </c>
      <c r="G1581">
        <v>1345.5966797000001</v>
      </c>
      <c r="H1581">
        <v>1341.3582764</v>
      </c>
      <c r="I1581">
        <v>1322.8516846</v>
      </c>
      <c r="J1581">
        <v>1319.2216797000001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1100.4483049999999</v>
      </c>
      <c r="B1582" s="1">
        <f>DATE(2013,5,5) + TIME(10,45,33)</f>
        <v>41399.448298611111</v>
      </c>
      <c r="C1582">
        <v>80</v>
      </c>
      <c r="D1582">
        <v>79.969146729000002</v>
      </c>
      <c r="E1582">
        <v>50</v>
      </c>
      <c r="F1582">
        <v>49.629108428999999</v>
      </c>
      <c r="G1582">
        <v>1345.5897216999999</v>
      </c>
      <c r="H1582">
        <v>1341.3526611</v>
      </c>
      <c r="I1582">
        <v>1322.8511963000001</v>
      </c>
      <c r="J1582">
        <v>1319.2208252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1100.609412</v>
      </c>
      <c r="B1583" s="1">
        <f>DATE(2013,5,5) + TIME(14,37,33)</f>
        <v>41399.609409722223</v>
      </c>
      <c r="C1583">
        <v>80</v>
      </c>
      <c r="D1583">
        <v>79.969848632999998</v>
      </c>
      <c r="E1583">
        <v>50</v>
      </c>
      <c r="F1583">
        <v>49.618888855000002</v>
      </c>
      <c r="G1583">
        <v>1345.5822754000001</v>
      </c>
      <c r="H1583">
        <v>1341.3468018000001</v>
      </c>
      <c r="I1583">
        <v>1322.8507079999999</v>
      </c>
      <c r="J1583">
        <v>1319.2199707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1100.774887</v>
      </c>
      <c r="B1584" s="1">
        <f>DATE(2013,5,5) + TIME(18,35,50)</f>
        <v>41399.774884259263</v>
      </c>
      <c r="C1584">
        <v>80</v>
      </c>
      <c r="D1584">
        <v>79.970397949000002</v>
      </c>
      <c r="E1584">
        <v>50</v>
      </c>
      <c r="F1584">
        <v>49.608440399000003</v>
      </c>
      <c r="G1584">
        <v>1345.5744629000001</v>
      </c>
      <c r="H1584">
        <v>1341.3406981999999</v>
      </c>
      <c r="I1584">
        <v>1322.8502197</v>
      </c>
      <c r="J1584">
        <v>1319.2189940999999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1100.9450750000001</v>
      </c>
      <c r="B1585" s="1">
        <f>DATE(2013,5,5) + TIME(22,40,54)</f>
        <v>41399.945069444446</v>
      </c>
      <c r="C1585">
        <v>80</v>
      </c>
      <c r="D1585">
        <v>79.970832825000002</v>
      </c>
      <c r="E1585">
        <v>50</v>
      </c>
      <c r="F1585">
        <v>49.597743987999998</v>
      </c>
      <c r="G1585">
        <v>1345.5662841999999</v>
      </c>
      <c r="H1585">
        <v>1341.3343506000001</v>
      </c>
      <c r="I1585">
        <v>1322.8496094</v>
      </c>
      <c r="J1585">
        <v>1319.2180175999999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1101.1204</v>
      </c>
      <c r="B1586" s="1">
        <f>DATE(2013,5,6) + TIME(2,53,22)</f>
        <v>41400.120393518519</v>
      </c>
      <c r="C1586">
        <v>80</v>
      </c>
      <c r="D1586">
        <v>79.971176146999994</v>
      </c>
      <c r="E1586">
        <v>50</v>
      </c>
      <c r="F1586">
        <v>49.586780548</v>
      </c>
      <c r="G1586">
        <v>1345.5577393000001</v>
      </c>
      <c r="H1586">
        <v>1341.3276367000001</v>
      </c>
      <c r="I1586">
        <v>1322.8491211</v>
      </c>
      <c r="J1586">
        <v>1319.2169189000001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1101.301324</v>
      </c>
      <c r="B1587" s="1">
        <f>DATE(2013,5,6) + TIME(7,13,54)</f>
        <v>41400.301319444443</v>
      </c>
      <c r="C1587">
        <v>80</v>
      </c>
      <c r="D1587">
        <v>79.971443175999994</v>
      </c>
      <c r="E1587">
        <v>50</v>
      </c>
      <c r="F1587">
        <v>49.575527190999999</v>
      </c>
      <c r="G1587">
        <v>1345.5489502</v>
      </c>
      <c r="H1587">
        <v>1341.3208007999999</v>
      </c>
      <c r="I1587">
        <v>1322.8483887</v>
      </c>
      <c r="J1587">
        <v>1319.2158202999999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1101.4883649999999</v>
      </c>
      <c r="B1588" s="1">
        <f>DATE(2013,5,6) + TIME(11,43,14)</f>
        <v>41400.488356481481</v>
      </c>
      <c r="C1588">
        <v>80</v>
      </c>
      <c r="D1588">
        <v>79.971656799000002</v>
      </c>
      <c r="E1588">
        <v>50</v>
      </c>
      <c r="F1588">
        <v>49.563953400000003</v>
      </c>
      <c r="G1588">
        <v>1345.5396728999999</v>
      </c>
      <c r="H1588">
        <v>1341.3137207</v>
      </c>
      <c r="I1588">
        <v>1322.8477783000001</v>
      </c>
      <c r="J1588">
        <v>1319.2147216999999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1101.682098</v>
      </c>
      <c r="B1589" s="1">
        <f>DATE(2013,5,6) + TIME(16,22,13)</f>
        <v>41400.68209490741</v>
      </c>
      <c r="C1589">
        <v>80</v>
      </c>
      <c r="D1589">
        <v>79.971824646000002</v>
      </c>
      <c r="E1589">
        <v>50</v>
      </c>
      <c r="F1589">
        <v>49.552032470999997</v>
      </c>
      <c r="G1589">
        <v>1345.5301514</v>
      </c>
      <c r="H1589">
        <v>1341.3065185999999</v>
      </c>
      <c r="I1589">
        <v>1322.8470459</v>
      </c>
      <c r="J1589">
        <v>1319.2136230000001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1101.8831709999999</v>
      </c>
      <c r="B1590" s="1">
        <f>DATE(2013,5,6) + TIME(21,11,45)</f>
        <v>41400.883159722223</v>
      </c>
      <c r="C1590">
        <v>80</v>
      </c>
      <c r="D1590">
        <v>79.971961974999999</v>
      </c>
      <c r="E1590">
        <v>50</v>
      </c>
      <c r="F1590">
        <v>49.539730071999998</v>
      </c>
      <c r="G1590">
        <v>1345.5203856999999</v>
      </c>
      <c r="H1590">
        <v>1341.2989502</v>
      </c>
      <c r="I1590">
        <v>1322.8461914</v>
      </c>
      <c r="J1590">
        <v>1319.2124022999999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1102.0923310000001</v>
      </c>
      <c r="B1591" s="1">
        <f>DATE(2013,5,7) + TIME(2,12,57)</f>
        <v>41401.092326388891</v>
      </c>
      <c r="C1591">
        <v>80</v>
      </c>
      <c r="D1591">
        <v>79.972068786999998</v>
      </c>
      <c r="E1591">
        <v>50</v>
      </c>
      <c r="F1591">
        <v>49.527011870999999</v>
      </c>
      <c r="G1591">
        <v>1345.5101318</v>
      </c>
      <c r="H1591">
        <v>1341.2912598</v>
      </c>
      <c r="I1591">
        <v>1322.8454589999999</v>
      </c>
      <c r="J1591">
        <v>1319.2110596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1102.3093650000001</v>
      </c>
      <c r="B1592" s="1">
        <f>DATE(2013,5,7) + TIME(7,25,29)</f>
        <v>41401.309363425928</v>
      </c>
      <c r="C1592">
        <v>80</v>
      </c>
      <c r="D1592">
        <v>79.972152710000003</v>
      </c>
      <c r="E1592">
        <v>50</v>
      </c>
      <c r="F1592">
        <v>49.513885498</v>
      </c>
      <c r="G1592">
        <v>1345.4996338000001</v>
      </c>
      <c r="H1592">
        <v>1341.2833252</v>
      </c>
      <c r="I1592">
        <v>1322.8446045000001</v>
      </c>
      <c r="J1592">
        <v>1319.2097168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1102.5329959999999</v>
      </c>
      <c r="B1593" s="1">
        <f>DATE(2013,5,7) + TIME(12,47,30)</f>
        <v>41401.532986111109</v>
      </c>
      <c r="C1593">
        <v>80</v>
      </c>
      <c r="D1593">
        <v>79.972213745000005</v>
      </c>
      <c r="E1593">
        <v>50</v>
      </c>
      <c r="F1593">
        <v>49.500411987</v>
      </c>
      <c r="G1593">
        <v>1345.4888916</v>
      </c>
      <c r="H1593">
        <v>1341.2751464999999</v>
      </c>
      <c r="I1593">
        <v>1322.8436279</v>
      </c>
      <c r="J1593">
        <v>1319.208374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1102.76376</v>
      </c>
      <c r="B1594" s="1">
        <f>DATE(2013,5,7) + TIME(18,19,48)</f>
        <v>41401.763749999998</v>
      </c>
      <c r="C1594">
        <v>80</v>
      </c>
      <c r="D1594">
        <v>79.972267150999997</v>
      </c>
      <c r="E1594">
        <v>50</v>
      </c>
      <c r="F1594">
        <v>49.486564635999997</v>
      </c>
      <c r="G1594">
        <v>1345.4779053</v>
      </c>
      <c r="H1594">
        <v>1341.2669678</v>
      </c>
      <c r="I1594">
        <v>1322.8427733999999</v>
      </c>
      <c r="J1594">
        <v>1319.2069091999999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1102.9982190000001</v>
      </c>
      <c r="B1595" s="1">
        <f>DATE(2013,5,7) + TIME(23,57,26)</f>
        <v>41401.998217592591</v>
      </c>
      <c r="C1595">
        <v>80</v>
      </c>
      <c r="D1595">
        <v>79.972305297999995</v>
      </c>
      <c r="E1595">
        <v>50</v>
      </c>
      <c r="F1595">
        <v>49.472511292</v>
      </c>
      <c r="G1595">
        <v>1345.4666748</v>
      </c>
      <c r="H1595">
        <v>1341.2585449000001</v>
      </c>
      <c r="I1595">
        <v>1322.8417969</v>
      </c>
      <c r="J1595">
        <v>1319.2054443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1103.2351960000001</v>
      </c>
      <c r="B1596" s="1">
        <f>DATE(2013,5,8) + TIME(5,38,40)</f>
        <v>41402.235185185185</v>
      </c>
      <c r="C1596">
        <v>80</v>
      </c>
      <c r="D1596">
        <v>79.972335814999994</v>
      </c>
      <c r="E1596">
        <v>50</v>
      </c>
      <c r="F1596">
        <v>49.458316803000002</v>
      </c>
      <c r="G1596">
        <v>1345.4554443</v>
      </c>
      <c r="H1596">
        <v>1341.2502440999999</v>
      </c>
      <c r="I1596">
        <v>1322.8408202999999</v>
      </c>
      <c r="J1596">
        <v>1319.2039795000001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1103.47522</v>
      </c>
      <c r="B1597" s="1">
        <f>DATE(2013,5,8) + TIME(11,24,19)</f>
        <v>41402.475219907406</v>
      </c>
      <c r="C1597">
        <v>80</v>
      </c>
      <c r="D1597">
        <v>79.972351074000002</v>
      </c>
      <c r="E1597">
        <v>50</v>
      </c>
      <c r="F1597">
        <v>49.443962096999996</v>
      </c>
      <c r="G1597">
        <v>1345.4443358999999</v>
      </c>
      <c r="H1597">
        <v>1341.2419434000001</v>
      </c>
      <c r="I1597">
        <v>1322.8397216999999</v>
      </c>
      <c r="J1597">
        <v>1319.2025146000001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1103.7188699999999</v>
      </c>
      <c r="B1598" s="1">
        <f>DATE(2013,5,8) + TIME(17,15,10)</f>
        <v>41402.718865740739</v>
      </c>
      <c r="C1598">
        <v>80</v>
      </c>
      <c r="D1598">
        <v>79.972366332999997</v>
      </c>
      <c r="E1598">
        <v>50</v>
      </c>
      <c r="F1598">
        <v>49.429431915000002</v>
      </c>
      <c r="G1598">
        <v>1345.4332274999999</v>
      </c>
      <c r="H1598">
        <v>1341.2336425999999</v>
      </c>
      <c r="I1598">
        <v>1322.8387451000001</v>
      </c>
      <c r="J1598">
        <v>1319.2009277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1103.9667360000001</v>
      </c>
      <c r="B1599" s="1">
        <f>DATE(2013,5,8) + TIME(23,12,5)</f>
        <v>41402.966724537036</v>
      </c>
      <c r="C1599">
        <v>80</v>
      </c>
      <c r="D1599">
        <v>79.972381592000005</v>
      </c>
      <c r="E1599">
        <v>50</v>
      </c>
      <c r="F1599">
        <v>49.414707184000001</v>
      </c>
      <c r="G1599">
        <v>1345.4219971</v>
      </c>
      <c r="H1599">
        <v>1341.2254639</v>
      </c>
      <c r="I1599">
        <v>1322.8376464999999</v>
      </c>
      <c r="J1599">
        <v>1319.1993408000001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1104.2194380000001</v>
      </c>
      <c r="B1600" s="1">
        <f>DATE(2013,5,9) + TIME(5,15,59)</f>
        <v>41403.21943287037</v>
      </c>
      <c r="C1600">
        <v>80</v>
      </c>
      <c r="D1600">
        <v>79.972381592000005</v>
      </c>
      <c r="E1600">
        <v>50</v>
      </c>
      <c r="F1600">
        <v>49.399757385000001</v>
      </c>
      <c r="G1600">
        <v>1345.4108887</v>
      </c>
      <c r="H1600">
        <v>1341.2172852000001</v>
      </c>
      <c r="I1600">
        <v>1322.8366699000001</v>
      </c>
      <c r="J1600">
        <v>1319.1977539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1104.477629</v>
      </c>
      <c r="B1601" s="1">
        <f>DATE(2013,5,9) + TIME(11,27,47)</f>
        <v>41403.477627314816</v>
      </c>
      <c r="C1601">
        <v>80</v>
      </c>
      <c r="D1601">
        <v>79.972389221</v>
      </c>
      <c r="E1601">
        <v>50</v>
      </c>
      <c r="F1601">
        <v>49.384559631000002</v>
      </c>
      <c r="G1601">
        <v>1345.3997803</v>
      </c>
      <c r="H1601">
        <v>1341.2091064000001</v>
      </c>
      <c r="I1601">
        <v>1322.8355713000001</v>
      </c>
      <c r="J1601">
        <v>1319.1961670000001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1104.742015</v>
      </c>
      <c r="B1602" s="1">
        <f>DATE(2013,5,9) + TIME(17,48,30)</f>
        <v>41403.742013888892</v>
      </c>
      <c r="C1602">
        <v>80</v>
      </c>
      <c r="D1602">
        <v>79.972389221</v>
      </c>
      <c r="E1602">
        <v>50</v>
      </c>
      <c r="F1602">
        <v>49.369079589999998</v>
      </c>
      <c r="G1602">
        <v>1345.3885498</v>
      </c>
      <c r="H1602">
        <v>1341.2008057</v>
      </c>
      <c r="I1602">
        <v>1322.8343506000001</v>
      </c>
      <c r="J1602">
        <v>1319.1944579999999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1105.0133599999999</v>
      </c>
      <c r="B1603" s="1">
        <f>DATE(2013,5,10) + TIME(0,19,14)</f>
        <v>41404.013356481482</v>
      </c>
      <c r="C1603">
        <v>80</v>
      </c>
      <c r="D1603">
        <v>79.972381592000005</v>
      </c>
      <c r="E1603">
        <v>50</v>
      </c>
      <c r="F1603">
        <v>49.353282927999999</v>
      </c>
      <c r="G1603">
        <v>1345.3773193</v>
      </c>
      <c r="H1603">
        <v>1341.1926269999999</v>
      </c>
      <c r="I1603">
        <v>1322.8332519999999</v>
      </c>
      <c r="J1603">
        <v>1319.192749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1105.2882709999999</v>
      </c>
      <c r="B1604" s="1">
        <f>DATE(2013,5,10) + TIME(6,55,6)</f>
        <v>41404.288263888891</v>
      </c>
      <c r="C1604">
        <v>80</v>
      </c>
      <c r="D1604">
        <v>79.972381592000005</v>
      </c>
      <c r="E1604">
        <v>50</v>
      </c>
      <c r="F1604">
        <v>49.337314606</v>
      </c>
      <c r="G1604">
        <v>1345.3659668</v>
      </c>
      <c r="H1604">
        <v>1341.1844481999999</v>
      </c>
      <c r="I1604">
        <v>1322.8320312000001</v>
      </c>
      <c r="J1604">
        <v>1319.1910399999999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1105.5670270000001</v>
      </c>
      <c r="B1605" s="1">
        <f>DATE(2013,5,10) + TIME(13,36,31)</f>
        <v>41404.567025462966</v>
      </c>
      <c r="C1605">
        <v>80</v>
      </c>
      <c r="D1605">
        <v>79.972373962000006</v>
      </c>
      <c r="E1605">
        <v>50</v>
      </c>
      <c r="F1605">
        <v>49.321170807000001</v>
      </c>
      <c r="G1605">
        <v>1345.3547363</v>
      </c>
      <c r="H1605">
        <v>1341.1762695</v>
      </c>
      <c r="I1605">
        <v>1322.8308105000001</v>
      </c>
      <c r="J1605">
        <v>1319.1892089999999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1105.850093</v>
      </c>
      <c r="B1606" s="1">
        <f>DATE(2013,5,10) + TIME(20,24,8)</f>
        <v>41404.850092592591</v>
      </c>
      <c r="C1606">
        <v>80</v>
      </c>
      <c r="D1606">
        <v>79.972366332999997</v>
      </c>
      <c r="E1606">
        <v>50</v>
      </c>
      <c r="F1606">
        <v>49.304840087999999</v>
      </c>
      <c r="G1606">
        <v>1345.3436279</v>
      </c>
      <c r="H1606">
        <v>1341.1682129000001</v>
      </c>
      <c r="I1606">
        <v>1322.8295897999999</v>
      </c>
      <c r="J1606">
        <v>1319.1873779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1106.1379870000001</v>
      </c>
      <c r="B1607" s="1">
        <f>DATE(2013,5,11) + TIME(3,18,42)</f>
        <v>41405.137986111113</v>
      </c>
      <c r="C1607">
        <v>80</v>
      </c>
      <c r="D1607">
        <v>79.972358704000001</v>
      </c>
      <c r="E1607">
        <v>50</v>
      </c>
      <c r="F1607">
        <v>49.288303374999998</v>
      </c>
      <c r="G1607">
        <v>1345.3325195</v>
      </c>
      <c r="H1607">
        <v>1341.1601562000001</v>
      </c>
      <c r="I1607">
        <v>1322.8283690999999</v>
      </c>
      <c r="J1607">
        <v>1319.1855469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1106.431315</v>
      </c>
      <c r="B1608" s="1">
        <f>DATE(2013,5,11) + TIME(10,21,5)</f>
        <v>41405.431307870371</v>
      </c>
      <c r="C1608">
        <v>80</v>
      </c>
      <c r="D1608">
        <v>79.972343445000007</v>
      </c>
      <c r="E1608">
        <v>50</v>
      </c>
      <c r="F1608">
        <v>49.271533966</v>
      </c>
      <c r="G1608">
        <v>1345.3214111</v>
      </c>
      <c r="H1608">
        <v>1341.1520995999999</v>
      </c>
      <c r="I1608">
        <v>1322.8270264</v>
      </c>
      <c r="J1608">
        <v>1319.1835937999999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1106.7307229999999</v>
      </c>
      <c r="B1609" s="1">
        <f>DATE(2013,5,11) + TIME(17,32,14)</f>
        <v>41405.730717592596</v>
      </c>
      <c r="C1609">
        <v>80</v>
      </c>
      <c r="D1609">
        <v>79.972335814999994</v>
      </c>
      <c r="E1609">
        <v>50</v>
      </c>
      <c r="F1609">
        <v>49.254505156999997</v>
      </c>
      <c r="G1609">
        <v>1345.3103027</v>
      </c>
      <c r="H1609">
        <v>1341.1441649999999</v>
      </c>
      <c r="I1609">
        <v>1322.8258057</v>
      </c>
      <c r="J1609">
        <v>1319.1817627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1107.036904</v>
      </c>
      <c r="B1610" s="1">
        <f>DATE(2013,5,12) + TIME(0,53,8)</f>
        <v>41406.036898148152</v>
      </c>
      <c r="C1610">
        <v>80</v>
      </c>
      <c r="D1610">
        <v>79.972320557000003</v>
      </c>
      <c r="E1610">
        <v>50</v>
      </c>
      <c r="F1610">
        <v>49.237190247000001</v>
      </c>
      <c r="G1610">
        <v>1345.2991943</v>
      </c>
      <c r="H1610">
        <v>1341.1362305</v>
      </c>
      <c r="I1610">
        <v>1322.8244629000001</v>
      </c>
      <c r="J1610">
        <v>1319.1796875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1107.3506090000001</v>
      </c>
      <c r="B1611" s="1">
        <f>DATE(2013,5,12) + TIME(8,24,52)</f>
        <v>41406.350601851853</v>
      </c>
      <c r="C1611">
        <v>80</v>
      </c>
      <c r="D1611">
        <v>79.972312927000004</v>
      </c>
      <c r="E1611">
        <v>50</v>
      </c>
      <c r="F1611">
        <v>49.219551086000003</v>
      </c>
      <c r="G1611">
        <v>1345.2880858999999</v>
      </c>
      <c r="H1611">
        <v>1341.1282959</v>
      </c>
      <c r="I1611">
        <v>1322.8231201000001</v>
      </c>
      <c r="J1611">
        <v>1319.1777344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1107.67266</v>
      </c>
      <c r="B1612" s="1">
        <f>DATE(2013,5,12) + TIME(16,8,37)</f>
        <v>41406.672650462962</v>
      </c>
      <c r="C1612">
        <v>80</v>
      </c>
      <c r="D1612">
        <v>79.972297667999996</v>
      </c>
      <c r="E1612">
        <v>50</v>
      </c>
      <c r="F1612">
        <v>49.201557158999996</v>
      </c>
      <c r="G1612">
        <v>1345.2768555</v>
      </c>
      <c r="H1612">
        <v>1341.1203613</v>
      </c>
      <c r="I1612">
        <v>1322.8216553</v>
      </c>
      <c r="J1612">
        <v>1319.1756591999999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1108.0039630000001</v>
      </c>
      <c r="B1613" s="1">
        <f>DATE(2013,5,13) + TIME(0,5,42)</f>
        <v>41407.003958333335</v>
      </c>
      <c r="C1613">
        <v>80</v>
      </c>
      <c r="D1613">
        <v>79.972290039000001</v>
      </c>
      <c r="E1613">
        <v>50</v>
      </c>
      <c r="F1613">
        <v>49.183162689</v>
      </c>
      <c r="G1613">
        <v>1345.265625</v>
      </c>
      <c r="H1613">
        <v>1341.1123047000001</v>
      </c>
      <c r="I1613">
        <v>1322.8201904</v>
      </c>
      <c r="J1613">
        <v>1319.1734618999999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1108.345521</v>
      </c>
      <c r="B1614" s="1">
        <f>DATE(2013,5,13) + TIME(8,17,33)</f>
        <v>41407.345520833333</v>
      </c>
      <c r="C1614">
        <v>80</v>
      </c>
      <c r="D1614">
        <v>79.972274780000006</v>
      </c>
      <c r="E1614">
        <v>50</v>
      </c>
      <c r="F1614">
        <v>49.164325714</v>
      </c>
      <c r="G1614">
        <v>1345.2543945</v>
      </c>
      <c r="H1614">
        <v>1341.1042480000001</v>
      </c>
      <c r="I1614">
        <v>1322.8187256000001</v>
      </c>
      <c r="J1614">
        <v>1319.1712646000001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1108.698527</v>
      </c>
      <c r="B1615" s="1">
        <f>DATE(2013,5,13) + TIME(16,45,52)</f>
        <v>41407.698518518519</v>
      </c>
      <c r="C1615">
        <v>80</v>
      </c>
      <c r="D1615">
        <v>79.972259520999998</v>
      </c>
      <c r="E1615">
        <v>50</v>
      </c>
      <c r="F1615">
        <v>49.144989013999997</v>
      </c>
      <c r="G1615">
        <v>1345.2429199000001</v>
      </c>
      <c r="H1615">
        <v>1341.0961914</v>
      </c>
      <c r="I1615">
        <v>1322.8171387</v>
      </c>
      <c r="J1615">
        <v>1319.1689452999999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1109.05783</v>
      </c>
      <c r="B1616" s="1">
        <f>DATE(2013,5,14) + TIME(1,23,16)</f>
        <v>41408.057824074072</v>
      </c>
      <c r="C1616">
        <v>80</v>
      </c>
      <c r="D1616">
        <v>79.972244262999993</v>
      </c>
      <c r="E1616">
        <v>50</v>
      </c>
      <c r="F1616">
        <v>49.125347136999999</v>
      </c>
      <c r="G1616">
        <v>1345.2313231999999</v>
      </c>
      <c r="H1616">
        <v>1341.0880127</v>
      </c>
      <c r="I1616">
        <v>1322.8155518000001</v>
      </c>
      <c r="J1616">
        <v>1319.166626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1109.423558</v>
      </c>
      <c r="B1617" s="1">
        <f>DATE(2013,5,14) + TIME(10,9,55)</f>
        <v>41408.42355324074</v>
      </c>
      <c r="C1617">
        <v>80</v>
      </c>
      <c r="D1617">
        <v>79.972229003999999</v>
      </c>
      <c r="E1617">
        <v>50</v>
      </c>
      <c r="F1617">
        <v>49.105407714999998</v>
      </c>
      <c r="G1617">
        <v>1345.2198486</v>
      </c>
      <c r="H1617">
        <v>1341.0799560999999</v>
      </c>
      <c r="I1617">
        <v>1322.8138428</v>
      </c>
      <c r="J1617">
        <v>1319.1641846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1109.793782</v>
      </c>
      <c r="B1618" s="1">
        <f>DATE(2013,5,14) + TIME(19,3,2)</f>
        <v>41408.793773148151</v>
      </c>
      <c r="C1618">
        <v>80</v>
      </c>
      <c r="D1618">
        <v>79.972213745000005</v>
      </c>
      <c r="E1618">
        <v>50</v>
      </c>
      <c r="F1618">
        <v>49.085262299</v>
      </c>
      <c r="G1618">
        <v>1345.208374</v>
      </c>
      <c r="H1618">
        <v>1341.0718993999999</v>
      </c>
      <c r="I1618">
        <v>1322.8122559000001</v>
      </c>
      <c r="J1618">
        <v>1319.1616211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1110.168582</v>
      </c>
      <c r="B1619" s="1">
        <f>DATE(2013,5,15) + TIME(4,2,45)</f>
        <v>41409.168576388889</v>
      </c>
      <c r="C1619">
        <v>80</v>
      </c>
      <c r="D1619">
        <v>79.972198485999996</v>
      </c>
      <c r="E1619">
        <v>50</v>
      </c>
      <c r="F1619">
        <v>49.064922332999998</v>
      </c>
      <c r="G1619">
        <v>1345.1970214999999</v>
      </c>
      <c r="H1619">
        <v>1341.0638428</v>
      </c>
      <c r="I1619">
        <v>1322.8105469</v>
      </c>
      <c r="J1619">
        <v>1319.1591797000001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1110.5488399999999</v>
      </c>
      <c r="B1620" s="1">
        <f>DATE(2013,5,15) + TIME(13,10,19)</f>
        <v>41409.548831018517</v>
      </c>
      <c r="C1620">
        <v>80</v>
      </c>
      <c r="D1620">
        <v>79.972190857000001</v>
      </c>
      <c r="E1620">
        <v>50</v>
      </c>
      <c r="F1620">
        <v>49.044372559000003</v>
      </c>
      <c r="G1620">
        <v>1345.1856689000001</v>
      </c>
      <c r="H1620">
        <v>1341.0560303</v>
      </c>
      <c r="I1620">
        <v>1322.8087158000001</v>
      </c>
      <c r="J1620">
        <v>1319.1564940999999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1110.935463</v>
      </c>
      <c r="B1621" s="1">
        <f>DATE(2013,5,15) + TIME(22,27,4)</f>
        <v>41409.93546296296</v>
      </c>
      <c r="C1621">
        <v>80</v>
      </c>
      <c r="D1621">
        <v>79.972175598000007</v>
      </c>
      <c r="E1621">
        <v>50</v>
      </c>
      <c r="F1621">
        <v>49.023586272999999</v>
      </c>
      <c r="G1621">
        <v>1345.1744385</v>
      </c>
      <c r="H1621">
        <v>1341.0480957</v>
      </c>
      <c r="I1621">
        <v>1322.8070068</v>
      </c>
      <c r="J1621">
        <v>1319.1539307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1111.3294040000001</v>
      </c>
      <c r="B1622" s="1">
        <f>DATE(2013,5,16) + TIME(7,54,20)</f>
        <v>41410.329398148147</v>
      </c>
      <c r="C1622">
        <v>80</v>
      </c>
      <c r="D1622">
        <v>79.972160338999998</v>
      </c>
      <c r="E1622">
        <v>50</v>
      </c>
      <c r="F1622">
        <v>49.002529144</v>
      </c>
      <c r="G1622">
        <v>1345.1632079999999</v>
      </c>
      <c r="H1622">
        <v>1341.0404053</v>
      </c>
      <c r="I1622">
        <v>1322.8051757999999</v>
      </c>
      <c r="J1622">
        <v>1319.1512451000001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1111.7316800000001</v>
      </c>
      <c r="B1623" s="1">
        <f>DATE(2013,5,16) + TIME(17,33,37)</f>
        <v>41410.731678240743</v>
      </c>
      <c r="C1623">
        <v>80</v>
      </c>
      <c r="D1623">
        <v>79.972145080999994</v>
      </c>
      <c r="E1623">
        <v>50</v>
      </c>
      <c r="F1623">
        <v>48.981159210000001</v>
      </c>
      <c r="G1623">
        <v>1345.1520995999999</v>
      </c>
      <c r="H1623">
        <v>1341.0325928</v>
      </c>
      <c r="I1623">
        <v>1322.8033447</v>
      </c>
      <c r="J1623">
        <v>1319.1484375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1112.14354</v>
      </c>
      <c r="B1624" s="1">
        <f>DATE(2013,5,17) + TIME(3,26,41)</f>
        <v>41411.143530092595</v>
      </c>
      <c r="C1624">
        <v>80</v>
      </c>
      <c r="D1624">
        <v>79.972129821999999</v>
      </c>
      <c r="E1624">
        <v>50</v>
      </c>
      <c r="F1624">
        <v>48.959430695000002</v>
      </c>
      <c r="G1624">
        <v>1345.1408690999999</v>
      </c>
      <c r="H1624">
        <v>1341.0247803</v>
      </c>
      <c r="I1624">
        <v>1322.8013916</v>
      </c>
      <c r="J1624">
        <v>1319.1456298999999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1112.561479</v>
      </c>
      <c r="B1625" s="1">
        <f>DATE(2013,5,17) + TIME(13,28,31)</f>
        <v>41411.561469907407</v>
      </c>
      <c r="C1625">
        <v>80</v>
      </c>
      <c r="D1625">
        <v>79.972114563000005</v>
      </c>
      <c r="E1625">
        <v>50</v>
      </c>
      <c r="F1625">
        <v>48.937458038000003</v>
      </c>
      <c r="G1625">
        <v>1345.1296387</v>
      </c>
      <c r="H1625">
        <v>1341.0170897999999</v>
      </c>
      <c r="I1625">
        <v>1322.7994385</v>
      </c>
      <c r="J1625">
        <v>1319.1427002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1112.9843040000001</v>
      </c>
      <c r="B1626" s="1">
        <f>DATE(2013,5,17) + TIME(23,37,23)</f>
        <v>41411.984293981484</v>
      </c>
      <c r="C1626">
        <v>80</v>
      </c>
      <c r="D1626">
        <v>79.972099303999997</v>
      </c>
      <c r="E1626">
        <v>50</v>
      </c>
      <c r="F1626">
        <v>48.915294647000003</v>
      </c>
      <c r="G1626">
        <v>1345.1185303</v>
      </c>
      <c r="H1626">
        <v>1341.0093993999999</v>
      </c>
      <c r="I1626">
        <v>1322.7974853999999</v>
      </c>
      <c r="J1626">
        <v>1319.1397704999999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1113.4124220000001</v>
      </c>
      <c r="B1627" s="1">
        <f>DATE(2013,5,18) + TIME(9,53,53)</f>
        <v>41412.412418981483</v>
      </c>
      <c r="C1627">
        <v>80</v>
      </c>
      <c r="D1627">
        <v>79.972084045000003</v>
      </c>
      <c r="E1627">
        <v>50</v>
      </c>
      <c r="F1627">
        <v>48.892944335999999</v>
      </c>
      <c r="G1627">
        <v>1345.1074219</v>
      </c>
      <c r="H1627">
        <v>1341.0017089999999</v>
      </c>
      <c r="I1627">
        <v>1322.7954102000001</v>
      </c>
      <c r="J1627">
        <v>1319.1367187999999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1113.8453649999999</v>
      </c>
      <c r="B1628" s="1">
        <f>DATE(2013,5,18) + TIME(20,17,19)</f>
        <v>41412.845358796294</v>
      </c>
      <c r="C1628">
        <v>80</v>
      </c>
      <c r="D1628">
        <v>79.972068786999998</v>
      </c>
      <c r="E1628">
        <v>50</v>
      </c>
      <c r="F1628">
        <v>48.870433806999998</v>
      </c>
      <c r="G1628">
        <v>1345.0964355000001</v>
      </c>
      <c r="H1628">
        <v>1340.9941406</v>
      </c>
      <c r="I1628">
        <v>1322.7933350000001</v>
      </c>
      <c r="J1628">
        <v>1319.1336670000001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1114.284171</v>
      </c>
      <c r="B1629" s="1">
        <f>DATE(2013,5,19) + TIME(6,49,12)</f>
        <v>41413.284166666665</v>
      </c>
      <c r="C1629">
        <v>80</v>
      </c>
      <c r="D1629">
        <v>79.972061156999999</v>
      </c>
      <c r="E1629">
        <v>50</v>
      </c>
      <c r="F1629">
        <v>48.847740172999998</v>
      </c>
      <c r="G1629">
        <v>1345.0854492000001</v>
      </c>
      <c r="H1629">
        <v>1340.9866943</v>
      </c>
      <c r="I1629">
        <v>1322.7912598</v>
      </c>
      <c r="J1629">
        <v>1319.1304932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1114.7295750000001</v>
      </c>
      <c r="B1630" s="1">
        <f>DATE(2013,5,19) + TIME(17,30,35)</f>
        <v>41413.729571759257</v>
      </c>
      <c r="C1630">
        <v>80</v>
      </c>
      <c r="D1630">
        <v>79.972045898000005</v>
      </c>
      <c r="E1630">
        <v>50</v>
      </c>
      <c r="F1630">
        <v>48.824836730999998</v>
      </c>
      <c r="G1630">
        <v>1345.0745850000001</v>
      </c>
      <c r="H1630">
        <v>1340.9792480000001</v>
      </c>
      <c r="I1630">
        <v>1322.7890625</v>
      </c>
      <c r="J1630">
        <v>1319.1273193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1115.182503</v>
      </c>
      <c r="B1631" s="1">
        <f>DATE(2013,5,20) + TIME(4,22,48)</f>
        <v>41414.182500000003</v>
      </c>
      <c r="C1631">
        <v>80</v>
      </c>
      <c r="D1631">
        <v>79.97203064</v>
      </c>
      <c r="E1631">
        <v>50</v>
      </c>
      <c r="F1631">
        <v>48.801692963000001</v>
      </c>
      <c r="G1631">
        <v>1345.0637207</v>
      </c>
      <c r="H1631">
        <v>1340.9718018000001</v>
      </c>
      <c r="I1631">
        <v>1322.7868652</v>
      </c>
      <c r="J1631">
        <v>1319.1240233999999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1115.643947</v>
      </c>
      <c r="B1632" s="1">
        <f>DATE(2013,5,20) + TIME(15,27,16)</f>
        <v>41414.643935185188</v>
      </c>
      <c r="C1632">
        <v>80</v>
      </c>
      <c r="D1632">
        <v>79.972015381000006</v>
      </c>
      <c r="E1632">
        <v>50</v>
      </c>
      <c r="F1632">
        <v>48.778274535999998</v>
      </c>
      <c r="G1632">
        <v>1345.0529785000001</v>
      </c>
      <c r="H1632">
        <v>1340.9643555</v>
      </c>
      <c r="I1632">
        <v>1322.784668</v>
      </c>
      <c r="J1632">
        <v>1319.1207274999999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1116.114969</v>
      </c>
      <c r="B1633" s="1">
        <f>DATE(2013,5,21) + TIME(2,45,33)</f>
        <v>41415.114965277775</v>
      </c>
      <c r="C1633">
        <v>80</v>
      </c>
      <c r="D1633">
        <v>79.972000121999997</v>
      </c>
      <c r="E1633">
        <v>50</v>
      </c>
      <c r="F1633">
        <v>48.75453186</v>
      </c>
      <c r="G1633">
        <v>1345.0421143000001</v>
      </c>
      <c r="H1633">
        <v>1340.9570312000001</v>
      </c>
      <c r="I1633">
        <v>1322.7823486</v>
      </c>
      <c r="J1633">
        <v>1319.1171875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1116.59672</v>
      </c>
      <c r="B1634" s="1">
        <f>DATE(2013,5,21) + TIME(14,19,16)</f>
        <v>41415.596712962964</v>
      </c>
      <c r="C1634">
        <v>80</v>
      </c>
      <c r="D1634">
        <v>79.971984863000003</v>
      </c>
      <c r="E1634">
        <v>50</v>
      </c>
      <c r="F1634">
        <v>48.730426788000003</v>
      </c>
      <c r="G1634">
        <v>1345.03125</v>
      </c>
      <c r="H1634">
        <v>1340.949707</v>
      </c>
      <c r="I1634">
        <v>1322.7799072</v>
      </c>
      <c r="J1634">
        <v>1319.1136475000001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1117.0904410000001</v>
      </c>
      <c r="B1635" s="1">
        <f>DATE(2013,5,22) + TIME(2,10,14)</f>
        <v>41416.090439814812</v>
      </c>
      <c r="C1635">
        <v>80</v>
      </c>
      <c r="D1635">
        <v>79.971977233999993</v>
      </c>
      <c r="E1635">
        <v>50</v>
      </c>
      <c r="F1635">
        <v>48.705905913999999</v>
      </c>
      <c r="G1635">
        <v>1345.0203856999999</v>
      </c>
      <c r="H1635">
        <v>1340.9422606999999</v>
      </c>
      <c r="I1635">
        <v>1322.7774658000001</v>
      </c>
      <c r="J1635">
        <v>1319.1099853999999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1117.5908460000001</v>
      </c>
      <c r="B1636" s="1">
        <f>DATE(2013,5,22) + TIME(14,10,49)</f>
        <v>41416.590844907405</v>
      </c>
      <c r="C1636">
        <v>80</v>
      </c>
      <c r="D1636">
        <v>79.971961974999999</v>
      </c>
      <c r="E1636">
        <v>50</v>
      </c>
      <c r="F1636">
        <v>48.681121826000002</v>
      </c>
      <c r="G1636">
        <v>1345.0093993999999</v>
      </c>
      <c r="H1636">
        <v>1340.9348144999999</v>
      </c>
      <c r="I1636">
        <v>1322.7749022999999</v>
      </c>
      <c r="J1636">
        <v>1319.1062012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1118.0986049999999</v>
      </c>
      <c r="B1637" s="1">
        <f>DATE(2013,5,23) + TIME(2,21,59)</f>
        <v>41417.098599537036</v>
      </c>
      <c r="C1637">
        <v>80</v>
      </c>
      <c r="D1637">
        <v>79.971946716000005</v>
      </c>
      <c r="E1637">
        <v>50</v>
      </c>
      <c r="F1637">
        <v>48.656082153</v>
      </c>
      <c r="G1637">
        <v>1344.9985352000001</v>
      </c>
      <c r="H1637">
        <v>1340.9274902</v>
      </c>
      <c r="I1637">
        <v>1322.7723389</v>
      </c>
      <c r="J1637">
        <v>1319.1024170000001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1118.6153509999999</v>
      </c>
      <c r="B1638" s="1">
        <f>DATE(2013,5,23) + TIME(14,46,6)</f>
        <v>41417.615347222221</v>
      </c>
      <c r="C1638">
        <v>80</v>
      </c>
      <c r="D1638">
        <v>79.971931458</v>
      </c>
      <c r="E1638">
        <v>50</v>
      </c>
      <c r="F1638">
        <v>48.630748748999999</v>
      </c>
      <c r="G1638">
        <v>1344.9876709</v>
      </c>
      <c r="H1638">
        <v>1340.9201660000001</v>
      </c>
      <c r="I1638">
        <v>1322.7697754000001</v>
      </c>
      <c r="J1638">
        <v>1319.0983887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1119.1427269999999</v>
      </c>
      <c r="B1639" s="1">
        <f>DATE(2013,5,24) + TIME(3,25,31)</f>
        <v>41418.14271990741</v>
      </c>
      <c r="C1639">
        <v>80</v>
      </c>
      <c r="D1639">
        <v>79.971916199000006</v>
      </c>
      <c r="E1639">
        <v>50</v>
      </c>
      <c r="F1639">
        <v>48.605075835999997</v>
      </c>
      <c r="G1639">
        <v>1344.9768065999999</v>
      </c>
      <c r="H1639">
        <v>1340.9128418</v>
      </c>
      <c r="I1639">
        <v>1322.7669678</v>
      </c>
      <c r="J1639">
        <v>1319.0943603999999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1119.682292</v>
      </c>
      <c r="B1640" s="1">
        <f>DATE(2013,5,24) + TIME(16,22,30)</f>
        <v>41418.682291666664</v>
      </c>
      <c r="C1640">
        <v>80</v>
      </c>
      <c r="D1640">
        <v>79.971908568999993</v>
      </c>
      <c r="E1640">
        <v>50</v>
      </c>
      <c r="F1640">
        <v>48.579010009999998</v>
      </c>
      <c r="G1640">
        <v>1344.9659423999999</v>
      </c>
      <c r="H1640">
        <v>1340.9055175999999</v>
      </c>
      <c r="I1640">
        <v>1322.7642822</v>
      </c>
      <c r="J1640">
        <v>1319.0902100000001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1120.2340790000001</v>
      </c>
      <c r="B1641" s="1">
        <f>DATE(2013,5,25) + TIME(5,37,4)</f>
        <v>41419.234074074076</v>
      </c>
      <c r="C1641">
        <v>80</v>
      </c>
      <c r="D1641">
        <v>79.971893311000002</v>
      </c>
      <c r="E1641">
        <v>50</v>
      </c>
      <c r="F1641">
        <v>48.552536011000001</v>
      </c>
      <c r="G1641">
        <v>1344.9549560999999</v>
      </c>
      <c r="H1641">
        <v>1340.8981934000001</v>
      </c>
      <c r="I1641">
        <v>1322.7613524999999</v>
      </c>
      <c r="J1641">
        <v>1319.0858154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1120.787431</v>
      </c>
      <c r="B1642" s="1">
        <f>DATE(2013,5,25) + TIME(18,53,54)</f>
        <v>41419.787430555552</v>
      </c>
      <c r="C1642">
        <v>80</v>
      </c>
      <c r="D1642">
        <v>79.971878051999994</v>
      </c>
      <c r="E1642">
        <v>50</v>
      </c>
      <c r="F1642">
        <v>48.525959014999998</v>
      </c>
      <c r="G1642">
        <v>1344.9439697</v>
      </c>
      <c r="H1642">
        <v>1340.8907471</v>
      </c>
      <c r="I1642">
        <v>1322.7584228999999</v>
      </c>
      <c r="J1642">
        <v>1319.0814209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1121.3435239999999</v>
      </c>
      <c r="B1643" s="1">
        <f>DATE(2013,5,26) + TIME(8,14,40)</f>
        <v>41420.343518518515</v>
      </c>
      <c r="C1643">
        <v>80</v>
      </c>
      <c r="D1643">
        <v>79.971862793</v>
      </c>
      <c r="E1643">
        <v>50</v>
      </c>
      <c r="F1643">
        <v>48.499317169000001</v>
      </c>
      <c r="G1643">
        <v>1344.9331055</v>
      </c>
      <c r="H1643">
        <v>1340.8835449000001</v>
      </c>
      <c r="I1643">
        <v>1322.7553711</v>
      </c>
      <c r="J1643">
        <v>1319.0769043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1121.903511</v>
      </c>
      <c r="B1644" s="1">
        <f>DATE(2013,5,26) + TIME(21,41,3)</f>
        <v>41420.903506944444</v>
      </c>
      <c r="C1644">
        <v>80</v>
      </c>
      <c r="D1644">
        <v>79.971847534000005</v>
      </c>
      <c r="E1644">
        <v>50</v>
      </c>
      <c r="F1644">
        <v>48.472614288000003</v>
      </c>
      <c r="G1644">
        <v>1344.9224853999999</v>
      </c>
      <c r="H1644">
        <v>1340.8763428</v>
      </c>
      <c r="I1644">
        <v>1322.7523193</v>
      </c>
      <c r="J1644">
        <v>1319.0722656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1122.468695</v>
      </c>
      <c r="B1645" s="1">
        <f>DATE(2013,5,27) + TIME(11,14,55)</f>
        <v>41421.468692129631</v>
      </c>
      <c r="C1645">
        <v>80</v>
      </c>
      <c r="D1645">
        <v>79.971839904999996</v>
      </c>
      <c r="E1645">
        <v>50</v>
      </c>
      <c r="F1645">
        <v>48.445831298999998</v>
      </c>
      <c r="G1645">
        <v>1344.9118652</v>
      </c>
      <c r="H1645">
        <v>1340.8692627</v>
      </c>
      <c r="I1645">
        <v>1322.7491454999999</v>
      </c>
      <c r="J1645">
        <v>1319.0676269999999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1123.0402349999999</v>
      </c>
      <c r="B1646" s="1">
        <f>DATE(2013,5,28) + TIME(0,57,56)</f>
        <v>41422.040231481478</v>
      </c>
      <c r="C1646">
        <v>80</v>
      </c>
      <c r="D1646">
        <v>79.971824646000002</v>
      </c>
      <c r="E1646">
        <v>50</v>
      </c>
      <c r="F1646">
        <v>48.418930054</v>
      </c>
      <c r="G1646">
        <v>1344.9012451000001</v>
      </c>
      <c r="H1646">
        <v>1340.8623047000001</v>
      </c>
      <c r="I1646">
        <v>1322.7459716999999</v>
      </c>
      <c r="J1646">
        <v>1319.0628661999999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1123.6192229999999</v>
      </c>
      <c r="B1647" s="1">
        <f>DATE(2013,5,28) + TIME(14,51,40)</f>
        <v>41422.619212962964</v>
      </c>
      <c r="C1647">
        <v>80</v>
      </c>
      <c r="D1647">
        <v>79.971809386999993</v>
      </c>
      <c r="E1647">
        <v>50</v>
      </c>
      <c r="F1647">
        <v>48.391880035</v>
      </c>
      <c r="G1647">
        <v>1344.8908690999999</v>
      </c>
      <c r="H1647">
        <v>1340.8553466999999</v>
      </c>
      <c r="I1647">
        <v>1322.7427978999999</v>
      </c>
      <c r="J1647">
        <v>1319.0579834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1124.2069120000001</v>
      </c>
      <c r="B1648" s="1">
        <f>DATE(2013,5,29) + TIME(4,57,57)</f>
        <v>41423.206909722219</v>
      </c>
      <c r="C1648">
        <v>80</v>
      </c>
      <c r="D1648">
        <v>79.971801757999998</v>
      </c>
      <c r="E1648">
        <v>50</v>
      </c>
      <c r="F1648">
        <v>48.364631653000004</v>
      </c>
      <c r="G1648">
        <v>1344.8803711</v>
      </c>
      <c r="H1648">
        <v>1340.8483887</v>
      </c>
      <c r="I1648">
        <v>1322.7393798999999</v>
      </c>
      <c r="J1648">
        <v>1319.0529785000001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1124.804619</v>
      </c>
      <c r="B1649" s="1">
        <f>DATE(2013,5,29) + TIME(19,18,39)</f>
        <v>41423.804618055554</v>
      </c>
      <c r="C1649">
        <v>80</v>
      </c>
      <c r="D1649">
        <v>79.971786499000004</v>
      </c>
      <c r="E1649">
        <v>50</v>
      </c>
      <c r="F1649">
        <v>48.337139129999997</v>
      </c>
      <c r="G1649">
        <v>1344.8699951000001</v>
      </c>
      <c r="H1649">
        <v>1340.8414307</v>
      </c>
      <c r="I1649">
        <v>1322.7360839999999</v>
      </c>
      <c r="J1649">
        <v>1319.0478516000001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1125.4137499999999</v>
      </c>
      <c r="B1650" s="1">
        <f>DATE(2013,5,30) + TIME(9,55,47)</f>
        <v>41424.413738425923</v>
      </c>
      <c r="C1650">
        <v>80</v>
      </c>
      <c r="D1650">
        <v>79.971778869999994</v>
      </c>
      <c r="E1650">
        <v>50</v>
      </c>
      <c r="F1650">
        <v>48.309345245000003</v>
      </c>
      <c r="G1650">
        <v>1344.8594971</v>
      </c>
      <c r="H1650">
        <v>1340.8344727000001</v>
      </c>
      <c r="I1650">
        <v>1322.7325439000001</v>
      </c>
      <c r="J1650">
        <v>1319.0424805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1126.035844</v>
      </c>
      <c r="B1651" s="1">
        <f>DATE(2013,5,31) + TIME(0,51,36)</f>
        <v>41425.035833333335</v>
      </c>
      <c r="C1651">
        <v>80</v>
      </c>
      <c r="D1651">
        <v>79.971763611</v>
      </c>
      <c r="E1651">
        <v>50</v>
      </c>
      <c r="F1651">
        <v>48.281196594000001</v>
      </c>
      <c r="G1651">
        <v>1344.848999</v>
      </c>
      <c r="H1651">
        <v>1340.8275146000001</v>
      </c>
      <c r="I1651">
        <v>1322.7288818</v>
      </c>
      <c r="J1651">
        <v>1319.0371094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1126.6733119999999</v>
      </c>
      <c r="B1652" s="1">
        <f>DATE(2013,5,31) + TIME(16,9,34)</f>
        <v>41425.673310185186</v>
      </c>
      <c r="C1652">
        <v>80</v>
      </c>
      <c r="D1652">
        <v>79.971748352000006</v>
      </c>
      <c r="E1652">
        <v>50</v>
      </c>
      <c r="F1652">
        <v>48.252613068000002</v>
      </c>
      <c r="G1652">
        <v>1344.838501</v>
      </c>
      <c r="H1652">
        <v>1340.8205565999999</v>
      </c>
      <c r="I1652">
        <v>1322.7252197</v>
      </c>
      <c r="J1652">
        <v>1319.0314940999999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1127</v>
      </c>
      <c r="B1653" s="1">
        <f>DATE(2013,6,1) + TIME(0,0,0)</f>
        <v>41426</v>
      </c>
      <c r="C1653">
        <v>80</v>
      </c>
      <c r="D1653">
        <v>79.971733092999997</v>
      </c>
      <c r="E1653">
        <v>50</v>
      </c>
      <c r="F1653">
        <v>48.23405838</v>
      </c>
      <c r="G1653">
        <v>1344.8287353999999</v>
      </c>
      <c r="H1653">
        <v>1340.8142089999999</v>
      </c>
      <c r="I1653">
        <v>1322.7214355000001</v>
      </c>
      <c r="J1653">
        <v>1319.0262451000001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1127.654937</v>
      </c>
      <c r="B1654" s="1">
        <f>DATE(2013,6,1) + TIME(15,43,6)</f>
        <v>41426.654930555553</v>
      </c>
      <c r="C1654">
        <v>80</v>
      </c>
      <c r="D1654">
        <v>79.971733092999997</v>
      </c>
      <c r="E1654">
        <v>50</v>
      </c>
      <c r="F1654">
        <v>48.206657409999998</v>
      </c>
      <c r="G1654">
        <v>1344.8222656</v>
      </c>
      <c r="H1654">
        <v>1340.8098144999999</v>
      </c>
      <c r="I1654">
        <v>1322.7191161999999</v>
      </c>
      <c r="J1654">
        <v>1319.0223389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1128.3272320000001</v>
      </c>
      <c r="B1655" s="1">
        <f>DATE(2013,6,2) + TIME(7,51,12)</f>
        <v>41427.327222222222</v>
      </c>
      <c r="C1655">
        <v>80</v>
      </c>
      <c r="D1655">
        <v>79.971717834000003</v>
      </c>
      <c r="E1655">
        <v>50</v>
      </c>
      <c r="F1655">
        <v>48.178031920999999</v>
      </c>
      <c r="G1655">
        <v>1344.8117675999999</v>
      </c>
      <c r="H1655">
        <v>1340.8029785000001</v>
      </c>
      <c r="I1655">
        <v>1322.7152100000001</v>
      </c>
      <c r="J1655">
        <v>1319.0162353999999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1129.01064</v>
      </c>
      <c r="B1656" s="1">
        <f>DATE(2013,6,3) + TIME(0,15,19)</f>
        <v>41428.010636574072</v>
      </c>
      <c r="C1656">
        <v>80</v>
      </c>
      <c r="D1656">
        <v>79.971710204999994</v>
      </c>
      <c r="E1656">
        <v>50</v>
      </c>
      <c r="F1656">
        <v>48.148612976000003</v>
      </c>
      <c r="G1656">
        <v>1344.8011475000001</v>
      </c>
      <c r="H1656">
        <v>1340.7958983999999</v>
      </c>
      <c r="I1656">
        <v>1322.7109375</v>
      </c>
      <c r="J1656">
        <v>1319.0100098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1129.7071430000001</v>
      </c>
      <c r="B1657" s="1">
        <f>DATE(2013,6,3) + TIME(16,58,17)</f>
        <v>41428.707141203704</v>
      </c>
      <c r="C1657">
        <v>80</v>
      </c>
      <c r="D1657">
        <v>79.971694946</v>
      </c>
      <c r="E1657">
        <v>50</v>
      </c>
      <c r="F1657">
        <v>48.118576050000001</v>
      </c>
      <c r="G1657">
        <v>1344.7904053</v>
      </c>
      <c r="H1657">
        <v>1340.7888184000001</v>
      </c>
      <c r="I1657">
        <v>1322.7066649999999</v>
      </c>
      <c r="J1657">
        <v>1319.003418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1130.410005</v>
      </c>
      <c r="B1658" s="1">
        <f>DATE(2013,6,4) + TIME(9,50,24)</f>
        <v>41429.410000000003</v>
      </c>
      <c r="C1658">
        <v>80</v>
      </c>
      <c r="D1658">
        <v>79.971687317000004</v>
      </c>
      <c r="E1658">
        <v>50</v>
      </c>
      <c r="F1658">
        <v>48.088191985999998</v>
      </c>
      <c r="G1658">
        <v>1344.7796631000001</v>
      </c>
      <c r="H1658">
        <v>1340.7817382999999</v>
      </c>
      <c r="I1658">
        <v>1322.7021483999999</v>
      </c>
      <c r="J1658">
        <v>1318.9967041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1131.1149720000001</v>
      </c>
      <c r="B1659" s="1">
        <f>DATE(2013,6,5) + TIME(2,45,33)</f>
        <v>41430.114965277775</v>
      </c>
      <c r="C1659">
        <v>80</v>
      </c>
      <c r="D1659">
        <v>79.971672057999996</v>
      </c>
      <c r="E1659">
        <v>50</v>
      </c>
      <c r="F1659">
        <v>48.057689666999998</v>
      </c>
      <c r="G1659">
        <v>1344.7689209</v>
      </c>
      <c r="H1659">
        <v>1340.7746582</v>
      </c>
      <c r="I1659">
        <v>1322.6976318</v>
      </c>
      <c r="J1659">
        <v>1318.9897461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1131.8236240000001</v>
      </c>
      <c r="B1660" s="1">
        <f>DATE(2013,6,5) + TIME(19,46,1)</f>
        <v>41430.823622685188</v>
      </c>
      <c r="C1660">
        <v>80</v>
      </c>
      <c r="D1660">
        <v>79.971664429</v>
      </c>
      <c r="E1660">
        <v>50</v>
      </c>
      <c r="F1660">
        <v>48.027137756000002</v>
      </c>
      <c r="G1660">
        <v>1344.7583007999999</v>
      </c>
      <c r="H1660">
        <v>1340.7677002</v>
      </c>
      <c r="I1660">
        <v>1322.6928711</v>
      </c>
      <c r="J1660">
        <v>1318.9826660000001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1132.5377639999999</v>
      </c>
      <c r="B1661" s="1">
        <f>DATE(2013,6,6) + TIME(12,54,22)</f>
        <v>41431.537754629629</v>
      </c>
      <c r="C1661">
        <v>80</v>
      </c>
      <c r="D1661">
        <v>79.971649170000006</v>
      </c>
      <c r="E1661">
        <v>50</v>
      </c>
      <c r="F1661">
        <v>47.996547698999997</v>
      </c>
      <c r="G1661">
        <v>1344.7478027</v>
      </c>
      <c r="H1661">
        <v>1340.7608643000001</v>
      </c>
      <c r="I1661">
        <v>1322.6881103999999</v>
      </c>
      <c r="J1661">
        <v>1318.9754639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1133.2588410000001</v>
      </c>
      <c r="B1662" s="1">
        <f>DATE(2013,6,7) + TIME(6,12,43)</f>
        <v>41432.258831018517</v>
      </c>
      <c r="C1662">
        <v>80</v>
      </c>
      <c r="D1662">
        <v>79.971641540999997</v>
      </c>
      <c r="E1662">
        <v>50</v>
      </c>
      <c r="F1662">
        <v>47.965892791999998</v>
      </c>
      <c r="G1662">
        <v>1344.7374268000001</v>
      </c>
      <c r="H1662">
        <v>1340.7540283000001</v>
      </c>
      <c r="I1662">
        <v>1322.6832274999999</v>
      </c>
      <c r="J1662">
        <v>1318.9680175999999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1133.988376</v>
      </c>
      <c r="B1663" s="1">
        <f>DATE(2013,6,7) + TIME(23,43,15)</f>
        <v>41432.988368055558</v>
      </c>
      <c r="C1663">
        <v>80</v>
      </c>
      <c r="D1663">
        <v>79.971626282000003</v>
      </c>
      <c r="E1663">
        <v>50</v>
      </c>
      <c r="F1663">
        <v>47.935134888</v>
      </c>
      <c r="G1663">
        <v>1344.7270507999999</v>
      </c>
      <c r="H1663">
        <v>1340.7471923999999</v>
      </c>
      <c r="I1663">
        <v>1322.6782227000001</v>
      </c>
      <c r="J1663">
        <v>1318.9604492000001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1134.728069</v>
      </c>
      <c r="B1664" s="1">
        <f>DATE(2013,6,8) + TIME(17,28,25)</f>
        <v>41433.728067129632</v>
      </c>
      <c r="C1664">
        <v>80</v>
      </c>
      <c r="D1664">
        <v>79.971618652000004</v>
      </c>
      <c r="E1664">
        <v>50</v>
      </c>
      <c r="F1664">
        <v>47.904224395999996</v>
      </c>
      <c r="G1664">
        <v>1344.7166748</v>
      </c>
      <c r="H1664">
        <v>1340.7404785000001</v>
      </c>
      <c r="I1664">
        <v>1322.6730957</v>
      </c>
      <c r="J1664">
        <v>1318.9526367000001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1135.4796610000001</v>
      </c>
      <c r="B1665" s="1">
        <f>DATE(2013,6,9) + TIME(11,30,42)</f>
        <v>41434.47965277778</v>
      </c>
      <c r="C1665">
        <v>80</v>
      </c>
      <c r="D1665">
        <v>79.971603393999999</v>
      </c>
      <c r="E1665">
        <v>50</v>
      </c>
      <c r="F1665">
        <v>47.873096466</v>
      </c>
      <c r="G1665">
        <v>1344.7064209</v>
      </c>
      <c r="H1665">
        <v>1340.7336425999999</v>
      </c>
      <c r="I1665">
        <v>1322.6678466999999</v>
      </c>
      <c r="J1665">
        <v>1318.9445800999999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1136.245921</v>
      </c>
      <c r="B1666" s="1">
        <f>DATE(2013,6,10) + TIME(5,54,7)</f>
        <v>41435.24591435185</v>
      </c>
      <c r="C1666">
        <v>80</v>
      </c>
      <c r="D1666">
        <v>79.971595764</v>
      </c>
      <c r="E1666">
        <v>50</v>
      </c>
      <c r="F1666">
        <v>47.841678619</v>
      </c>
      <c r="G1666">
        <v>1344.6960449000001</v>
      </c>
      <c r="H1666">
        <v>1340.7269286999999</v>
      </c>
      <c r="I1666">
        <v>1322.6624756000001</v>
      </c>
      <c r="J1666">
        <v>1318.9362793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1137.029299</v>
      </c>
      <c r="B1667" s="1">
        <f>DATE(2013,6,11) + TIME(0,42,11)</f>
        <v>41436.029293981483</v>
      </c>
      <c r="C1667">
        <v>80</v>
      </c>
      <c r="D1667">
        <v>79.971588135000005</v>
      </c>
      <c r="E1667">
        <v>50</v>
      </c>
      <c r="F1667">
        <v>47.809886931999998</v>
      </c>
      <c r="G1667">
        <v>1344.6856689000001</v>
      </c>
      <c r="H1667">
        <v>1340.7200928</v>
      </c>
      <c r="I1667">
        <v>1322.6568603999999</v>
      </c>
      <c r="J1667">
        <v>1318.9277344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1137.8265469999999</v>
      </c>
      <c r="B1668" s="1">
        <f>DATE(2013,6,11) + TIME(19,50,13)</f>
        <v>41436.826539351852</v>
      </c>
      <c r="C1668">
        <v>80</v>
      </c>
      <c r="D1668">
        <v>79.971572875999996</v>
      </c>
      <c r="E1668">
        <v>50</v>
      </c>
      <c r="F1668">
        <v>47.777751922999997</v>
      </c>
      <c r="G1668">
        <v>1344.6751709</v>
      </c>
      <c r="H1668">
        <v>1340.7132568</v>
      </c>
      <c r="I1668">
        <v>1322.651001</v>
      </c>
      <c r="J1668">
        <v>1318.9188231999999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1138.6373900000001</v>
      </c>
      <c r="B1669" s="1">
        <f>DATE(2013,6,12) + TIME(15,17,50)</f>
        <v>41437.637384259258</v>
      </c>
      <c r="C1669">
        <v>80</v>
      </c>
      <c r="D1669">
        <v>79.971565247000001</v>
      </c>
      <c r="E1669">
        <v>50</v>
      </c>
      <c r="F1669">
        <v>47.745296478</v>
      </c>
      <c r="G1669">
        <v>1344.6646728999999</v>
      </c>
      <c r="H1669">
        <v>1340.7062988</v>
      </c>
      <c r="I1669">
        <v>1322.6450195</v>
      </c>
      <c r="J1669">
        <v>1318.909668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1139.4637760000001</v>
      </c>
      <c r="B1670" s="1">
        <f>DATE(2013,6,13) + TIME(11,7,50)</f>
        <v>41438.463773148149</v>
      </c>
      <c r="C1670">
        <v>80</v>
      </c>
      <c r="D1670">
        <v>79.971557617000002</v>
      </c>
      <c r="E1670">
        <v>50</v>
      </c>
      <c r="F1670">
        <v>47.712501525999997</v>
      </c>
      <c r="G1670">
        <v>1344.6540527</v>
      </c>
      <c r="H1670">
        <v>1340.6994629000001</v>
      </c>
      <c r="I1670">
        <v>1322.6387939000001</v>
      </c>
      <c r="J1670">
        <v>1318.9001464999999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1140.3090380000001</v>
      </c>
      <c r="B1671" s="1">
        <f>DATE(2013,6,14) + TIME(7,25,0)</f>
        <v>41439.309027777781</v>
      </c>
      <c r="C1671">
        <v>80</v>
      </c>
      <c r="D1671">
        <v>79.971542357999994</v>
      </c>
      <c r="E1671">
        <v>50</v>
      </c>
      <c r="F1671">
        <v>47.679294585999997</v>
      </c>
      <c r="G1671">
        <v>1344.6434326000001</v>
      </c>
      <c r="H1671">
        <v>1340.6925048999999</v>
      </c>
      <c r="I1671">
        <v>1322.6323242000001</v>
      </c>
      <c r="J1671">
        <v>1318.8903809000001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1141.1750870000001</v>
      </c>
      <c r="B1672" s="1">
        <f>DATE(2013,6,15) + TIME(4,12,7)</f>
        <v>41440.175081018519</v>
      </c>
      <c r="C1672">
        <v>80</v>
      </c>
      <c r="D1672">
        <v>79.971534728999998</v>
      </c>
      <c r="E1672">
        <v>50</v>
      </c>
      <c r="F1672">
        <v>47.645622252999999</v>
      </c>
      <c r="G1672">
        <v>1344.6328125</v>
      </c>
      <c r="H1672">
        <v>1340.6855469</v>
      </c>
      <c r="I1672">
        <v>1322.6256103999999</v>
      </c>
      <c r="J1672">
        <v>1318.8801269999999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1142.046713</v>
      </c>
      <c r="B1673" s="1">
        <f>DATE(2013,6,16) + TIME(1,7,16)</f>
        <v>41441.046712962961</v>
      </c>
      <c r="C1673">
        <v>80</v>
      </c>
      <c r="D1673">
        <v>79.971527100000003</v>
      </c>
      <c r="E1673">
        <v>50</v>
      </c>
      <c r="F1673">
        <v>47.611740112</v>
      </c>
      <c r="G1673">
        <v>1344.6220702999999</v>
      </c>
      <c r="H1673">
        <v>1340.6784668</v>
      </c>
      <c r="I1673">
        <v>1322.6186522999999</v>
      </c>
      <c r="J1673">
        <v>1318.8695068</v>
      </c>
      <c r="K1673">
        <v>2400</v>
      </c>
      <c r="L1673">
        <v>0</v>
      </c>
      <c r="M1673">
        <v>0</v>
      </c>
      <c r="N1673">
        <v>2400</v>
      </c>
    </row>
    <row r="1674" spans="1:14" x14ac:dyDescent="0.25">
      <c r="A1674">
        <v>1142.9211499999999</v>
      </c>
      <c r="B1674" s="1">
        <f>DATE(2013,6,16) + TIME(22,6,27)</f>
        <v>41441.92114583333</v>
      </c>
      <c r="C1674">
        <v>80</v>
      </c>
      <c r="D1674">
        <v>79.971519470000004</v>
      </c>
      <c r="E1674">
        <v>50</v>
      </c>
      <c r="F1674">
        <v>47.577854156000001</v>
      </c>
      <c r="G1674">
        <v>1344.6113281</v>
      </c>
      <c r="H1674">
        <v>1340.6715088000001</v>
      </c>
      <c r="I1674">
        <v>1322.6115723</v>
      </c>
      <c r="J1674">
        <v>1318.8586425999999</v>
      </c>
      <c r="K1674">
        <v>2400</v>
      </c>
      <c r="L1674">
        <v>0</v>
      </c>
      <c r="M1674">
        <v>0</v>
      </c>
      <c r="N1674">
        <v>2400</v>
      </c>
    </row>
    <row r="1675" spans="1:14" x14ac:dyDescent="0.25">
      <c r="A1675">
        <v>1143.8006330000001</v>
      </c>
      <c r="B1675" s="1">
        <f>DATE(2013,6,17) + TIME(19,12,54)</f>
        <v>41442.800625000003</v>
      </c>
      <c r="C1675">
        <v>80</v>
      </c>
      <c r="D1675">
        <v>79.971504210999996</v>
      </c>
      <c r="E1675">
        <v>50</v>
      </c>
      <c r="F1675">
        <v>47.544013976999999</v>
      </c>
      <c r="G1675">
        <v>1344.6007079999999</v>
      </c>
      <c r="H1675">
        <v>1340.6645507999999</v>
      </c>
      <c r="I1675">
        <v>1322.6043701000001</v>
      </c>
      <c r="J1675">
        <v>1318.8475341999999</v>
      </c>
      <c r="K1675">
        <v>2400</v>
      </c>
      <c r="L1675">
        <v>0</v>
      </c>
      <c r="M1675">
        <v>0</v>
      </c>
      <c r="N1675">
        <v>2400</v>
      </c>
    </row>
    <row r="1676" spans="1:14" x14ac:dyDescent="0.25">
      <c r="A1676">
        <v>1144.6874270000001</v>
      </c>
      <c r="B1676" s="1">
        <f>DATE(2013,6,18) + TIME(16,29,53)</f>
        <v>41443.687418981484</v>
      </c>
      <c r="C1676">
        <v>80</v>
      </c>
      <c r="D1676">
        <v>79.971496582</v>
      </c>
      <c r="E1676">
        <v>50</v>
      </c>
      <c r="F1676">
        <v>47.510211945000002</v>
      </c>
      <c r="G1676">
        <v>1344.5902100000001</v>
      </c>
      <c r="H1676">
        <v>1340.6577147999999</v>
      </c>
      <c r="I1676">
        <v>1322.5969238</v>
      </c>
      <c r="J1676">
        <v>1318.8360596</v>
      </c>
      <c r="K1676">
        <v>2400</v>
      </c>
      <c r="L1676">
        <v>0</v>
      </c>
      <c r="M1676">
        <v>0</v>
      </c>
      <c r="N1676">
        <v>2400</v>
      </c>
    </row>
    <row r="1677" spans="1:14" x14ac:dyDescent="0.25">
      <c r="A1677">
        <v>1145.583357</v>
      </c>
      <c r="B1677" s="1">
        <f>DATE(2013,6,19) + TIME(14,0,2)</f>
        <v>41444.583356481482</v>
      </c>
      <c r="C1677">
        <v>80</v>
      </c>
      <c r="D1677">
        <v>79.971488953000005</v>
      </c>
      <c r="E1677">
        <v>50</v>
      </c>
      <c r="F1677">
        <v>47.476409912000001</v>
      </c>
      <c r="G1677">
        <v>1344.5798339999999</v>
      </c>
      <c r="H1677">
        <v>1340.6508789</v>
      </c>
      <c r="I1677">
        <v>1322.5893555</v>
      </c>
      <c r="J1677">
        <v>1318.8244629000001</v>
      </c>
      <c r="K1677">
        <v>2400</v>
      </c>
      <c r="L1677">
        <v>0</v>
      </c>
      <c r="M1677">
        <v>0</v>
      </c>
      <c r="N1677">
        <v>2400</v>
      </c>
    </row>
    <row r="1678" spans="1:14" x14ac:dyDescent="0.25">
      <c r="A1678">
        <v>1146.486944</v>
      </c>
      <c r="B1678" s="1">
        <f>DATE(2013,6,20) + TIME(11,41,11)</f>
        <v>41445.486932870372</v>
      </c>
      <c r="C1678">
        <v>80</v>
      </c>
      <c r="D1678">
        <v>79.971481323000006</v>
      </c>
      <c r="E1678">
        <v>50</v>
      </c>
      <c r="F1678">
        <v>47.442623138000002</v>
      </c>
      <c r="G1678">
        <v>1344.5693358999999</v>
      </c>
      <c r="H1678">
        <v>1340.644043</v>
      </c>
      <c r="I1678">
        <v>1322.581543</v>
      </c>
      <c r="J1678">
        <v>1318.8125</v>
      </c>
      <c r="K1678">
        <v>2400</v>
      </c>
      <c r="L1678">
        <v>0</v>
      </c>
      <c r="M1678">
        <v>0</v>
      </c>
      <c r="N1678">
        <v>2400</v>
      </c>
    </row>
    <row r="1679" spans="1:14" x14ac:dyDescent="0.25">
      <c r="A1679">
        <v>1147.398385</v>
      </c>
      <c r="B1679" s="1">
        <f>DATE(2013,6,21) + TIME(9,33,40)</f>
        <v>41446.398379629631</v>
      </c>
      <c r="C1679">
        <v>80</v>
      </c>
      <c r="D1679">
        <v>79.971473693999997</v>
      </c>
      <c r="E1679">
        <v>50</v>
      </c>
      <c r="F1679">
        <v>47.408855438000003</v>
      </c>
      <c r="G1679">
        <v>1344.5589600000001</v>
      </c>
      <c r="H1679">
        <v>1340.6373291</v>
      </c>
      <c r="I1679">
        <v>1322.5736084</v>
      </c>
      <c r="J1679">
        <v>1318.8001709</v>
      </c>
      <c r="K1679">
        <v>2400</v>
      </c>
      <c r="L1679">
        <v>0</v>
      </c>
      <c r="M1679">
        <v>0</v>
      </c>
      <c r="N1679">
        <v>2400</v>
      </c>
    </row>
    <row r="1680" spans="1:14" x14ac:dyDescent="0.25">
      <c r="A1680">
        <v>1148.3197869999999</v>
      </c>
      <c r="B1680" s="1">
        <f>DATE(2013,6,22) + TIME(7,40,29)</f>
        <v>41447.319780092592</v>
      </c>
      <c r="C1680">
        <v>80</v>
      </c>
      <c r="D1680">
        <v>79.971466063999998</v>
      </c>
      <c r="E1680">
        <v>50</v>
      </c>
      <c r="F1680">
        <v>47.375083922999998</v>
      </c>
      <c r="G1680">
        <v>1344.5487060999999</v>
      </c>
      <c r="H1680">
        <v>1340.6304932</v>
      </c>
      <c r="I1680">
        <v>1322.5654297000001</v>
      </c>
      <c r="J1680">
        <v>1318.7875977000001</v>
      </c>
      <c r="K1680">
        <v>2400</v>
      </c>
      <c r="L1680">
        <v>0</v>
      </c>
      <c r="M1680">
        <v>0</v>
      </c>
      <c r="N1680">
        <v>2400</v>
      </c>
    </row>
    <row r="1681" spans="1:14" x14ac:dyDescent="0.25">
      <c r="A1681">
        <v>1149.2529569999999</v>
      </c>
      <c r="B1681" s="1">
        <f>DATE(2013,6,23) + TIME(6,4,15)</f>
        <v>41448.252951388888</v>
      </c>
      <c r="C1681">
        <v>80</v>
      </c>
      <c r="D1681">
        <v>79.971458435000002</v>
      </c>
      <c r="E1681">
        <v>50</v>
      </c>
      <c r="F1681">
        <v>47.341262817</v>
      </c>
      <c r="G1681">
        <v>1344.5383300999999</v>
      </c>
      <c r="H1681">
        <v>1340.6237793</v>
      </c>
      <c r="I1681">
        <v>1322.5570068</v>
      </c>
      <c r="J1681">
        <v>1318.7746582</v>
      </c>
      <c r="K1681">
        <v>2400</v>
      </c>
      <c r="L1681">
        <v>0</v>
      </c>
      <c r="M1681">
        <v>0</v>
      </c>
      <c r="N1681">
        <v>2400</v>
      </c>
    </row>
    <row r="1682" spans="1:14" x14ac:dyDescent="0.25">
      <c r="A1682">
        <v>1150.2000370000001</v>
      </c>
      <c r="B1682" s="1">
        <f>DATE(2013,6,24) + TIME(4,48,3)</f>
        <v>41449.20003472222</v>
      </c>
      <c r="C1682">
        <v>80</v>
      </c>
      <c r="D1682">
        <v>79.971450806000007</v>
      </c>
      <c r="E1682">
        <v>50</v>
      </c>
      <c r="F1682">
        <v>47.307346344000003</v>
      </c>
      <c r="G1682">
        <v>1344.5280762</v>
      </c>
      <c r="H1682">
        <v>1340.6170654</v>
      </c>
      <c r="I1682">
        <v>1322.5483397999999</v>
      </c>
      <c r="J1682">
        <v>1318.7613524999999</v>
      </c>
      <c r="K1682">
        <v>2400</v>
      </c>
      <c r="L1682">
        <v>0</v>
      </c>
      <c r="M1682">
        <v>0</v>
      </c>
      <c r="N1682">
        <v>2400</v>
      </c>
    </row>
    <row r="1683" spans="1:14" x14ac:dyDescent="0.25">
      <c r="A1683">
        <v>1151.164374</v>
      </c>
      <c r="B1683" s="1">
        <f>DATE(2013,6,25) + TIME(3,56,41)</f>
        <v>41450.164363425924</v>
      </c>
      <c r="C1683">
        <v>80</v>
      </c>
      <c r="D1683">
        <v>79.971443175999994</v>
      </c>
      <c r="E1683">
        <v>50</v>
      </c>
      <c r="F1683">
        <v>47.273262023999997</v>
      </c>
      <c r="G1683">
        <v>1344.5177002</v>
      </c>
      <c r="H1683">
        <v>1340.6102295000001</v>
      </c>
      <c r="I1683">
        <v>1322.5395507999999</v>
      </c>
      <c r="J1683">
        <v>1318.7476807</v>
      </c>
      <c r="K1683">
        <v>2400</v>
      </c>
      <c r="L1683">
        <v>0</v>
      </c>
      <c r="M1683">
        <v>0</v>
      </c>
      <c r="N1683">
        <v>2400</v>
      </c>
    </row>
    <row r="1684" spans="1:14" x14ac:dyDescent="0.25">
      <c r="A1684">
        <v>1152.149533</v>
      </c>
      <c r="B1684" s="1">
        <f>DATE(2013,6,26) + TIME(3,35,19)</f>
        <v>41451.149525462963</v>
      </c>
      <c r="C1684">
        <v>80</v>
      </c>
      <c r="D1684">
        <v>79.971435546999999</v>
      </c>
      <c r="E1684">
        <v>50</v>
      </c>
      <c r="F1684">
        <v>47.238914489999999</v>
      </c>
      <c r="G1684">
        <v>1344.5073242000001</v>
      </c>
      <c r="H1684">
        <v>1340.6035156</v>
      </c>
      <c r="I1684">
        <v>1322.5303954999999</v>
      </c>
      <c r="J1684">
        <v>1318.7335204999999</v>
      </c>
      <c r="K1684">
        <v>2400</v>
      </c>
      <c r="L1684">
        <v>0</v>
      </c>
      <c r="M1684">
        <v>0</v>
      </c>
      <c r="N1684">
        <v>2400</v>
      </c>
    </row>
    <row r="1685" spans="1:14" x14ac:dyDescent="0.25">
      <c r="A1685">
        <v>1153.158353</v>
      </c>
      <c r="B1685" s="1">
        <f>DATE(2013,6,27) + TIME(3,48,1)</f>
        <v>41452.15834490741</v>
      </c>
      <c r="C1685">
        <v>80</v>
      </c>
      <c r="D1685">
        <v>79.971427917</v>
      </c>
      <c r="E1685">
        <v>50</v>
      </c>
      <c r="F1685">
        <v>47.204235077</v>
      </c>
      <c r="G1685">
        <v>1344.4969481999999</v>
      </c>
      <c r="H1685">
        <v>1340.5965576000001</v>
      </c>
      <c r="I1685">
        <v>1322.520874</v>
      </c>
      <c r="J1685">
        <v>1318.7188721</v>
      </c>
      <c r="K1685">
        <v>2400</v>
      </c>
      <c r="L1685">
        <v>0</v>
      </c>
      <c r="M1685">
        <v>0</v>
      </c>
      <c r="N1685">
        <v>2400</v>
      </c>
    </row>
    <row r="1686" spans="1:14" x14ac:dyDescent="0.25">
      <c r="A1686">
        <v>1154.1939950000001</v>
      </c>
      <c r="B1686" s="1">
        <f>DATE(2013,6,28) + TIME(4,39,21)</f>
        <v>41453.193993055553</v>
      </c>
      <c r="C1686">
        <v>80</v>
      </c>
      <c r="D1686">
        <v>79.971420288000004</v>
      </c>
      <c r="E1686">
        <v>50</v>
      </c>
      <c r="F1686">
        <v>47.169139862000002</v>
      </c>
      <c r="G1686">
        <v>1344.4863281</v>
      </c>
      <c r="H1686">
        <v>1340.5897216999999</v>
      </c>
      <c r="I1686">
        <v>1322.5109863</v>
      </c>
      <c r="J1686">
        <v>1318.7036132999999</v>
      </c>
      <c r="K1686">
        <v>2400</v>
      </c>
      <c r="L1686">
        <v>0</v>
      </c>
      <c r="M1686">
        <v>0</v>
      </c>
      <c r="N1686">
        <v>2400</v>
      </c>
    </row>
    <row r="1687" spans="1:14" x14ac:dyDescent="0.25">
      <c r="A1687">
        <v>1154.7233100000001</v>
      </c>
      <c r="B1687" s="1">
        <f>DATE(2013,6,28) + TIME(17,21,34)</f>
        <v>41453.723310185182</v>
      </c>
      <c r="C1687">
        <v>80</v>
      </c>
      <c r="D1687">
        <v>79.971405028999996</v>
      </c>
      <c r="E1687">
        <v>50</v>
      </c>
      <c r="F1687">
        <v>47.144561768000003</v>
      </c>
      <c r="G1687">
        <v>1344.4765625</v>
      </c>
      <c r="H1687">
        <v>1340.583374</v>
      </c>
      <c r="I1687">
        <v>1322.5014647999999</v>
      </c>
      <c r="J1687">
        <v>1318.6892089999999</v>
      </c>
      <c r="K1687">
        <v>2400</v>
      </c>
      <c r="L1687">
        <v>0</v>
      </c>
      <c r="M1687">
        <v>0</v>
      </c>
      <c r="N1687">
        <v>2400</v>
      </c>
    </row>
    <row r="1688" spans="1:14" x14ac:dyDescent="0.25">
      <c r="A1688">
        <v>1155.252626</v>
      </c>
      <c r="B1688" s="1">
        <f>DATE(2013,6,29) + TIME(6,3,46)</f>
        <v>41454.252615740741</v>
      </c>
      <c r="C1688">
        <v>80</v>
      </c>
      <c r="D1688">
        <v>79.971397400000001</v>
      </c>
      <c r="E1688">
        <v>50</v>
      </c>
      <c r="F1688">
        <v>47.122619628999999</v>
      </c>
      <c r="G1688">
        <v>1344.4704589999999</v>
      </c>
      <c r="H1688">
        <v>1340.5793457</v>
      </c>
      <c r="I1688">
        <v>1322.4954834</v>
      </c>
      <c r="J1688">
        <v>1318.6798096</v>
      </c>
      <c r="K1688">
        <v>2400</v>
      </c>
      <c r="L1688">
        <v>0</v>
      </c>
      <c r="M1688">
        <v>0</v>
      </c>
      <c r="N1688">
        <v>2400</v>
      </c>
    </row>
    <row r="1689" spans="1:14" x14ac:dyDescent="0.25">
      <c r="A1689">
        <v>1155.7819420000001</v>
      </c>
      <c r="B1689" s="1">
        <f>DATE(2013,6,29) + TIME(18,45,59)</f>
        <v>41454.78193287037</v>
      </c>
      <c r="C1689">
        <v>80</v>
      </c>
      <c r="D1689">
        <v>79.971397400000001</v>
      </c>
      <c r="E1689">
        <v>50</v>
      </c>
      <c r="F1689">
        <v>47.102333068999997</v>
      </c>
      <c r="G1689">
        <v>1344.4649658000001</v>
      </c>
      <c r="H1689">
        <v>1340.5756836</v>
      </c>
      <c r="I1689">
        <v>1322.4897461</v>
      </c>
      <c r="J1689">
        <v>1318.6707764</v>
      </c>
      <c r="K1689">
        <v>2400</v>
      </c>
      <c r="L1689">
        <v>0</v>
      </c>
      <c r="M1689">
        <v>0</v>
      </c>
      <c r="N1689">
        <v>2400</v>
      </c>
    </row>
    <row r="1690" spans="1:14" x14ac:dyDescent="0.25">
      <c r="A1690">
        <v>1156.311258</v>
      </c>
      <c r="B1690" s="1">
        <f>DATE(2013,6,30) + TIME(7,28,12)</f>
        <v>41455.311249999999</v>
      </c>
      <c r="C1690">
        <v>80</v>
      </c>
      <c r="D1690">
        <v>79.971389771000005</v>
      </c>
      <c r="E1690">
        <v>50</v>
      </c>
      <c r="F1690">
        <v>47.083118439000003</v>
      </c>
      <c r="G1690">
        <v>1344.4594727000001</v>
      </c>
      <c r="H1690">
        <v>1340.5720214999999</v>
      </c>
      <c r="I1690">
        <v>1322.4841309000001</v>
      </c>
      <c r="J1690">
        <v>1318.6619873</v>
      </c>
      <c r="K1690">
        <v>2400</v>
      </c>
      <c r="L1690">
        <v>0</v>
      </c>
      <c r="M1690">
        <v>0</v>
      </c>
      <c r="N1690">
        <v>2400</v>
      </c>
    </row>
    <row r="1691" spans="1:14" x14ac:dyDescent="0.25">
      <c r="A1691">
        <v>1157</v>
      </c>
      <c r="B1691" s="1">
        <f>DATE(2013,7,1) + TIME(0,0,0)</f>
        <v>41456</v>
      </c>
      <c r="C1691">
        <v>80</v>
      </c>
      <c r="D1691">
        <v>79.971389771000005</v>
      </c>
      <c r="E1691">
        <v>50</v>
      </c>
      <c r="F1691">
        <v>47.061542510999999</v>
      </c>
      <c r="G1691">
        <v>1344.4539795000001</v>
      </c>
      <c r="H1691">
        <v>1340.5683594</v>
      </c>
      <c r="I1691">
        <v>1322.4782714999999</v>
      </c>
      <c r="J1691">
        <v>1318.6527100000001</v>
      </c>
      <c r="K1691">
        <v>2400</v>
      </c>
      <c r="L1691">
        <v>0</v>
      </c>
      <c r="M1691">
        <v>0</v>
      </c>
      <c r="N1691">
        <v>2400</v>
      </c>
    </row>
    <row r="1692" spans="1:14" x14ac:dyDescent="0.25">
      <c r="A1692">
        <v>1158.0586310000001</v>
      </c>
      <c r="B1692" s="1">
        <f>DATE(2013,7,2) + TIME(1,24,25)</f>
        <v>41457.058622685188</v>
      </c>
      <c r="C1692">
        <v>80</v>
      </c>
      <c r="D1692">
        <v>79.971397400000001</v>
      </c>
      <c r="E1692">
        <v>50</v>
      </c>
      <c r="F1692">
        <v>47.034343718999999</v>
      </c>
      <c r="G1692">
        <v>1344.4467772999999</v>
      </c>
      <c r="H1692">
        <v>1340.5635986</v>
      </c>
      <c r="I1692">
        <v>1322.4708252</v>
      </c>
      <c r="J1692">
        <v>1318.6411132999999</v>
      </c>
      <c r="K1692">
        <v>2400</v>
      </c>
      <c r="L1692">
        <v>0</v>
      </c>
      <c r="M1692">
        <v>0</v>
      </c>
      <c r="N1692">
        <v>2400</v>
      </c>
    </row>
    <row r="1693" spans="1:14" x14ac:dyDescent="0.25">
      <c r="A1693">
        <v>1159.1201129999999</v>
      </c>
      <c r="B1693" s="1">
        <f>DATE(2013,7,3) + TIME(2,52,57)</f>
        <v>41458.120104166665</v>
      </c>
      <c r="C1693">
        <v>80</v>
      </c>
      <c r="D1693">
        <v>79.971389771000005</v>
      </c>
      <c r="E1693">
        <v>50</v>
      </c>
      <c r="F1693">
        <v>47.003253936999997</v>
      </c>
      <c r="G1693">
        <v>1344.4367675999999</v>
      </c>
      <c r="H1693">
        <v>1340.5570068</v>
      </c>
      <c r="I1693">
        <v>1322.4604492000001</v>
      </c>
      <c r="J1693">
        <v>1318.625</v>
      </c>
      <c r="K1693">
        <v>2400</v>
      </c>
      <c r="L1693">
        <v>0</v>
      </c>
      <c r="M1693">
        <v>0</v>
      </c>
      <c r="N1693">
        <v>2400</v>
      </c>
    </row>
    <row r="1694" spans="1:14" x14ac:dyDescent="0.25">
      <c r="A1694">
        <v>1160.189171</v>
      </c>
      <c r="B1694" s="1">
        <f>DATE(2013,7,4) + TIME(4,32,24)</f>
        <v>41459.189166666663</v>
      </c>
      <c r="C1694">
        <v>80</v>
      </c>
      <c r="D1694">
        <v>79.971382141000007</v>
      </c>
      <c r="E1694">
        <v>50</v>
      </c>
      <c r="F1694">
        <v>46.970615387000002</v>
      </c>
      <c r="G1694">
        <v>1344.4265137</v>
      </c>
      <c r="H1694">
        <v>1340.550293</v>
      </c>
      <c r="I1694">
        <v>1322.4495850000001</v>
      </c>
      <c r="J1694">
        <v>1318.6080322</v>
      </c>
      <c r="K1694">
        <v>2400</v>
      </c>
      <c r="L1694">
        <v>0</v>
      </c>
      <c r="M1694">
        <v>0</v>
      </c>
      <c r="N1694">
        <v>2400</v>
      </c>
    </row>
    <row r="1695" spans="1:14" x14ac:dyDescent="0.25">
      <c r="A1695">
        <v>1161.268744</v>
      </c>
      <c r="B1695" s="1">
        <f>DATE(2013,7,5) + TIME(6,26,59)</f>
        <v>41460.268738425926</v>
      </c>
      <c r="C1695">
        <v>80</v>
      </c>
      <c r="D1695">
        <v>79.971382141000007</v>
      </c>
      <c r="E1695">
        <v>50</v>
      </c>
      <c r="F1695">
        <v>46.937423705999997</v>
      </c>
      <c r="G1695">
        <v>1344.4161377</v>
      </c>
      <c r="H1695">
        <v>1340.543457</v>
      </c>
      <c r="I1695">
        <v>1322.4382324000001</v>
      </c>
      <c r="J1695">
        <v>1318.590332</v>
      </c>
      <c r="K1695">
        <v>2400</v>
      </c>
      <c r="L1695">
        <v>0</v>
      </c>
      <c r="M1695">
        <v>0</v>
      </c>
      <c r="N1695">
        <v>2400</v>
      </c>
    </row>
    <row r="1696" spans="1:14" x14ac:dyDescent="0.25">
      <c r="A1696">
        <v>1162.3608529999999</v>
      </c>
      <c r="B1696" s="1">
        <f>DATE(2013,7,6) + TIME(8,39,37)</f>
        <v>41461.360844907409</v>
      </c>
      <c r="C1696">
        <v>80</v>
      </c>
      <c r="D1696">
        <v>79.971374511999997</v>
      </c>
      <c r="E1696">
        <v>50</v>
      </c>
      <c r="F1696">
        <v>46.904102324999997</v>
      </c>
      <c r="G1696">
        <v>1344.4058838000001</v>
      </c>
      <c r="H1696">
        <v>1340.5367432</v>
      </c>
      <c r="I1696">
        <v>1322.4265137</v>
      </c>
      <c r="J1696">
        <v>1318.5720214999999</v>
      </c>
      <c r="K1696">
        <v>2400</v>
      </c>
      <c r="L1696">
        <v>0</v>
      </c>
      <c r="M1696">
        <v>0</v>
      </c>
      <c r="N1696">
        <v>2400</v>
      </c>
    </row>
    <row r="1697" spans="1:14" x14ac:dyDescent="0.25">
      <c r="A1697">
        <v>1163.4687899999999</v>
      </c>
      <c r="B1697" s="1">
        <f>DATE(2013,7,7) + TIME(11,15,3)</f>
        <v>41462.468784722223</v>
      </c>
      <c r="C1697">
        <v>80</v>
      </c>
      <c r="D1697">
        <v>79.971366881999998</v>
      </c>
      <c r="E1697">
        <v>50</v>
      </c>
      <c r="F1697">
        <v>46.870800017999997</v>
      </c>
      <c r="G1697">
        <v>1344.3956298999999</v>
      </c>
      <c r="H1697">
        <v>1340.5299072</v>
      </c>
      <c r="I1697">
        <v>1322.4145507999999</v>
      </c>
      <c r="J1697">
        <v>1318.5533447</v>
      </c>
      <c r="K1697">
        <v>2400</v>
      </c>
      <c r="L1697">
        <v>0</v>
      </c>
      <c r="M1697">
        <v>0</v>
      </c>
      <c r="N1697">
        <v>2400</v>
      </c>
    </row>
    <row r="1698" spans="1:14" x14ac:dyDescent="0.25">
      <c r="A1698">
        <v>1164.597225</v>
      </c>
      <c r="B1698" s="1">
        <f>DATE(2013,7,8) + TIME(14,20,0)</f>
        <v>41463.597222222219</v>
      </c>
      <c r="C1698">
        <v>80</v>
      </c>
      <c r="D1698">
        <v>79.971366881999998</v>
      </c>
      <c r="E1698">
        <v>50</v>
      </c>
      <c r="F1698">
        <v>46.837547301999997</v>
      </c>
      <c r="G1698">
        <v>1344.3852539</v>
      </c>
      <c r="H1698">
        <v>1340.5230713000001</v>
      </c>
      <c r="I1698">
        <v>1322.4022216999999</v>
      </c>
      <c r="J1698">
        <v>1318.5340576000001</v>
      </c>
      <c r="K1698">
        <v>2400</v>
      </c>
      <c r="L1698">
        <v>0</v>
      </c>
      <c r="M1698">
        <v>0</v>
      </c>
      <c r="N1698">
        <v>2400</v>
      </c>
    </row>
    <row r="1699" spans="1:14" x14ac:dyDescent="0.25">
      <c r="A1699">
        <v>1165.7492689999999</v>
      </c>
      <c r="B1699" s="1">
        <f>DATE(2013,7,9) + TIME(17,58,56)</f>
        <v>41464.749259259261</v>
      </c>
      <c r="C1699">
        <v>80</v>
      </c>
      <c r="D1699">
        <v>79.971359253000003</v>
      </c>
      <c r="E1699">
        <v>50</v>
      </c>
      <c r="F1699">
        <v>46.804325104</v>
      </c>
      <c r="G1699">
        <v>1344.3748779</v>
      </c>
      <c r="H1699">
        <v>1340.5162353999999</v>
      </c>
      <c r="I1699">
        <v>1322.3895264</v>
      </c>
      <c r="J1699">
        <v>1318.5141602000001</v>
      </c>
      <c r="K1699">
        <v>2400</v>
      </c>
      <c r="L1699">
        <v>0</v>
      </c>
      <c r="M1699">
        <v>0</v>
      </c>
      <c r="N1699">
        <v>2400</v>
      </c>
    </row>
    <row r="1700" spans="1:14" x14ac:dyDescent="0.25">
      <c r="A1700">
        <v>1166.928361</v>
      </c>
      <c r="B1700" s="1">
        <f>DATE(2013,7,10) + TIME(22,16,50)</f>
        <v>41465.928356481483</v>
      </c>
      <c r="C1700">
        <v>80</v>
      </c>
      <c r="D1700">
        <v>79.971351623999993</v>
      </c>
      <c r="E1700">
        <v>50</v>
      </c>
      <c r="F1700">
        <v>46.771110534999998</v>
      </c>
      <c r="G1700">
        <v>1344.3645019999999</v>
      </c>
      <c r="H1700">
        <v>1340.5092772999999</v>
      </c>
      <c r="I1700">
        <v>1322.3764647999999</v>
      </c>
      <c r="J1700">
        <v>1318.4935303</v>
      </c>
      <c r="K1700">
        <v>2400</v>
      </c>
      <c r="L1700">
        <v>0</v>
      </c>
      <c r="M1700">
        <v>0</v>
      </c>
      <c r="N1700">
        <v>2400</v>
      </c>
    </row>
    <row r="1701" spans="1:14" x14ac:dyDescent="0.25">
      <c r="A1701">
        <v>1168.138293</v>
      </c>
      <c r="B1701" s="1">
        <f>DATE(2013,7,12) + TIME(3,19,8)</f>
        <v>41467.138287037036</v>
      </c>
      <c r="C1701">
        <v>80</v>
      </c>
      <c r="D1701">
        <v>79.971351623999993</v>
      </c>
      <c r="E1701">
        <v>50</v>
      </c>
      <c r="F1701">
        <v>46.737884520999998</v>
      </c>
      <c r="G1701">
        <v>1344.3538818</v>
      </c>
      <c r="H1701">
        <v>1340.5023193</v>
      </c>
      <c r="I1701">
        <v>1322.3629149999999</v>
      </c>
      <c r="J1701">
        <v>1318.472168</v>
      </c>
      <c r="K1701">
        <v>2400</v>
      </c>
      <c r="L1701">
        <v>0</v>
      </c>
      <c r="M1701">
        <v>0</v>
      </c>
      <c r="N1701">
        <v>2400</v>
      </c>
    </row>
    <row r="1702" spans="1:14" x14ac:dyDescent="0.25">
      <c r="A1702">
        <v>1169.371024</v>
      </c>
      <c r="B1702" s="1">
        <f>DATE(2013,7,13) + TIME(8,54,16)</f>
        <v>41468.371018518519</v>
      </c>
      <c r="C1702">
        <v>80</v>
      </c>
      <c r="D1702">
        <v>79.971343993999994</v>
      </c>
      <c r="E1702">
        <v>50</v>
      </c>
      <c r="F1702">
        <v>46.704753875999998</v>
      </c>
      <c r="G1702">
        <v>1344.3431396000001</v>
      </c>
      <c r="H1702">
        <v>1340.4951172000001</v>
      </c>
      <c r="I1702">
        <v>1322.3488769999999</v>
      </c>
      <c r="J1702">
        <v>1318.4500731999999</v>
      </c>
      <c r="K1702">
        <v>2400</v>
      </c>
      <c r="L1702">
        <v>0</v>
      </c>
      <c r="M1702">
        <v>0</v>
      </c>
      <c r="N1702">
        <v>2400</v>
      </c>
    </row>
    <row r="1703" spans="1:14" x14ac:dyDescent="0.25">
      <c r="A1703">
        <v>1170.618927</v>
      </c>
      <c r="B1703" s="1">
        <f>DATE(2013,7,14) + TIME(14,51,15)</f>
        <v>41469.618923611109</v>
      </c>
      <c r="C1703">
        <v>80</v>
      </c>
      <c r="D1703">
        <v>79.971343993999994</v>
      </c>
      <c r="E1703">
        <v>50</v>
      </c>
      <c r="F1703">
        <v>46.671932220000002</v>
      </c>
      <c r="G1703">
        <v>1344.3323975000001</v>
      </c>
      <c r="H1703">
        <v>1340.4880370999999</v>
      </c>
      <c r="I1703">
        <v>1322.3343506000001</v>
      </c>
      <c r="J1703">
        <v>1318.4272461</v>
      </c>
      <c r="K1703">
        <v>2400</v>
      </c>
      <c r="L1703">
        <v>0</v>
      </c>
      <c r="M1703">
        <v>0</v>
      </c>
      <c r="N1703">
        <v>2400</v>
      </c>
    </row>
    <row r="1704" spans="1:14" x14ac:dyDescent="0.25">
      <c r="A1704">
        <v>1171.86733</v>
      </c>
      <c r="B1704" s="1">
        <f>DATE(2013,7,15) + TIME(20,48,57)</f>
        <v>41470.867326388892</v>
      </c>
      <c r="C1704">
        <v>80</v>
      </c>
      <c r="D1704">
        <v>79.971343993999994</v>
      </c>
      <c r="E1704">
        <v>50</v>
      </c>
      <c r="F1704">
        <v>46.639739990000002</v>
      </c>
      <c r="G1704">
        <v>1344.3215332</v>
      </c>
      <c r="H1704">
        <v>1340.4808350000001</v>
      </c>
      <c r="I1704">
        <v>1322.3195800999999</v>
      </c>
      <c r="J1704">
        <v>1318.4039307</v>
      </c>
      <c r="K1704">
        <v>2400</v>
      </c>
      <c r="L1704">
        <v>0</v>
      </c>
      <c r="M1704">
        <v>0</v>
      </c>
      <c r="N1704">
        <v>2400</v>
      </c>
    </row>
    <row r="1705" spans="1:14" x14ac:dyDescent="0.25">
      <c r="A1705">
        <v>1173.1193450000001</v>
      </c>
      <c r="B1705" s="1">
        <f>DATE(2013,7,17) + TIME(2,51,51)</f>
        <v>41472.119340277779</v>
      </c>
      <c r="C1705">
        <v>80</v>
      </c>
      <c r="D1705">
        <v>79.971336364999999</v>
      </c>
      <c r="E1705">
        <v>50</v>
      </c>
      <c r="F1705">
        <v>46.608379364000001</v>
      </c>
      <c r="G1705">
        <v>1344.3109131000001</v>
      </c>
      <c r="H1705">
        <v>1340.4736327999999</v>
      </c>
      <c r="I1705">
        <v>1322.3045654</v>
      </c>
      <c r="J1705">
        <v>1318.380249</v>
      </c>
      <c r="K1705">
        <v>2400</v>
      </c>
      <c r="L1705">
        <v>0</v>
      </c>
      <c r="M1705">
        <v>0</v>
      </c>
      <c r="N1705">
        <v>2400</v>
      </c>
    </row>
    <row r="1706" spans="1:14" x14ac:dyDescent="0.25">
      <c r="A1706">
        <v>1174.3780220000001</v>
      </c>
      <c r="B1706" s="1">
        <f>DATE(2013,7,18) + TIME(9,4,21)</f>
        <v>41473.378020833334</v>
      </c>
      <c r="C1706">
        <v>80</v>
      </c>
      <c r="D1706">
        <v>79.971336364999999</v>
      </c>
      <c r="E1706">
        <v>50</v>
      </c>
      <c r="F1706">
        <v>46.577911377</v>
      </c>
      <c r="G1706">
        <v>1344.300293</v>
      </c>
      <c r="H1706">
        <v>1340.4665527</v>
      </c>
      <c r="I1706">
        <v>1322.2893065999999</v>
      </c>
      <c r="J1706">
        <v>1318.3562012</v>
      </c>
      <c r="K1706">
        <v>2400</v>
      </c>
      <c r="L1706">
        <v>0</v>
      </c>
      <c r="M1706">
        <v>0</v>
      </c>
      <c r="N1706">
        <v>2400</v>
      </c>
    </row>
    <row r="1707" spans="1:14" x14ac:dyDescent="0.25">
      <c r="A1707">
        <v>1175.646831</v>
      </c>
      <c r="B1707" s="1">
        <f>DATE(2013,7,19) + TIME(15,31,26)</f>
        <v>41474.646828703706</v>
      </c>
      <c r="C1707">
        <v>80</v>
      </c>
      <c r="D1707">
        <v>79.971328735</v>
      </c>
      <c r="E1707">
        <v>50</v>
      </c>
      <c r="F1707">
        <v>46.548355102999999</v>
      </c>
      <c r="G1707">
        <v>1344.2897949000001</v>
      </c>
      <c r="H1707">
        <v>1340.4595947</v>
      </c>
      <c r="I1707">
        <v>1322.2739257999999</v>
      </c>
      <c r="J1707">
        <v>1318.3316649999999</v>
      </c>
      <c r="K1707">
        <v>2400</v>
      </c>
      <c r="L1707">
        <v>0</v>
      </c>
      <c r="M1707">
        <v>0</v>
      </c>
      <c r="N1707">
        <v>2400</v>
      </c>
    </row>
    <row r="1708" spans="1:14" x14ac:dyDescent="0.25">
      <c r="A1708">
        <v>1176.928985</v>
      </c>
      <c r="B1708" s="1">
        <f>DATE(2013,7,20) + TIME(22,17,44)</f>
        <v>41475.928981481484</v>
      </c>
      <c r="C1708">
        <v>80</v>
      </c>
      <c r="D1708">
        <v>79.971328735</v>
      </c>
      <c r="E1708">
        <v>50</v>
      </c>
      <c r="F1708">
        <v>46.519710541000002</v>
      </c>
      <c r="G1708">
        <v>1344.2792969</v>
      </c>
      <c r="H1708">
        <v>1340.4525146000001</v>
      </c>
      <c r="I1708">
        <v>1322.2583007999999</v>
      </c>
      <c r="J1708">
        <v>1318.3067627</v>
      </c>
      <c r="K1708">
        <v>2400</v>
      </c>
      <c r="L1708">
        <v>0</v>
      </c>
      <c r="M1708">
        <v>0</v>
      </c>
      <c r="N1708">
        <v>2400</v>
      </c>
    </row>
    <row r="1709" spans="1:14" x14ac:dyDescent="0.25">
      <c r="A1709">
        <v>1178.2300009999999</v>
      </c>
      <c r="B1709" s="1">
        <f>DATE(2013,7,22) + TIME(5,31,12)</f>
        <v>41477.230000000003</v>
      </c>
      <c r="C1709">
        <v>80</v>
      </c>
      <c r="D1709">
        <v>79.971328735</v>
      </c>
      <c r="E1709">
        <v>50</v>
      </c>
      <c r="F1709">
        <v>46.491985321000001</v>
      </c>
      <c r="G1709">
        <v>1344.2687988</v>
      </c>
      <c r="H1709">
        <v>1340.4454346</v>
      </c>
      <c r="I1709">
        <v>1322.2423096</v>
      </c>
      <c r="J1709">
        <v>1318.2813721</v>
      </c>
      <c r="K1709">
        <v>2400</v>
      </c>
      <c r="L1709">
        <v>0</v>
      </c>
      <c r="M1709">
        <v>0</v>
      </c>
      <c r="N1709">
        <v>2400</v>
      </c>
    </row>
    <row r="1710" spans="1:14" x14ac:dyDescent="0.25">
      <c r="A1710">
        <v>1179.5540860000001</v>
      </c>
      <c r="B1710" s="1">
        <f>DATE(2013,7,23) + TIME(13,17,52)</f>
        <v>41478.554074074076</v>
      </c>
      <c r="C1710">
        <v>80</v>
      </c>
      <c r="D1710">
        <v>79.971328735</v>
      </c>
      <c r="E1710">
        <v>50</v>
      </c>
      <c r="F1710">
        <v>46.465183258000003</v>
      </c>
      <c r="G1710">
        <v>1344.2583007999999</v>
      </c>
      <c r="H1710">
        <v>1340.4384766000001</v>
      </c>
      <c r="I1710">
        <v>1322.2260742000001</v>
      </c>
      <c r="J1710">
        <v>1318.2554932</v>
      </c>
      <c r="K1710">
        <v>2400</v>
      </c>
      <c r="L1710">
        <v>0</v>
      </c>
      <c r="M1710">
        <v>0</v>
      </c>
      <c r="N1710">
        <v>2400</v>
      </c>
    </row>
    <row r="1711" spans="1:14" x14ac:dyDescent="0.25">
      <c r="A1711">
        <v>1180.90509</v>
      </c>
      <c r="B1711" s="1">
        <f>DATE(2013,7,24) + TIME(21,43,19)</f>
        <v>41479.905081018522</v>
      </c>
      <c r="C1711">
        <v>80</v>
      </c>
      <c r="D1711">
        <v>79.971321106000005</v>
      </c>
      <c r="E1711">
        <v>50</v>
      </c>
      <c r="F1711">
        <v>46.439338683999999</v>
      </c>
      <c r="G1711">
        <v>1344.2478027</v>
      </c>
      <c r="H1711">
        <v>1340.4312743999999</v>
      </c>
      <c r="I1711">
        <v>1322.2093506000001</v>
      </c>
      <c r="J1711">
        <v>1318.2287598</v>
      </c>
      <c r="K1711">
        <v>2400</v>
      </c>
      <c r="L1711">
        <v>0</v>
      </c>
      <c r="M1711">
        <v>0</v>
      </c>
      <c r="N1711">
        <v>2400</v>
      </c>
    </row>
    <row r="1712" spans="1:14" x14ac:dyDescent="0.25">
      <c r="A1712">
        <v>1182.2730590000001</v>
      </c>
      <c r="B1712" s="1">
        <f>DATE(2013,7,26) + TIME(6,33,12)</f>
        <v>41481.273055555554</v>
      </c>
      <c r="C1712">
        <v>80</v>
      </c>
      <c r="D1712">
        <v>79.971321106000005</v>
      </c>
      <c r="E1712">
        <v>50</v>
      </c>
      <c r="F1712">
        <v>46.414604187000002</v>
      </c>
      <c r="G1712">
        <v>1344.2370605000001</v>
      </c>
      <c r="H1712">
        <v>1340.4240723</v>
      </c>
      <c r="I1712">
        <v>1322.1922606999999</v>
      </c>
      <c r="J1712">
        <v>1318.2014160000001</v>
      </c>
      <c r="K1712">
        <v>2400</v>
      </c>
      <c r="L1712">
        <v>0</v>
      </c>
      <c r="M1712">
        <v>0</v>
      </c>
      <c r="N1712">
        <v>2400</v>
      </c>
    </row>
    <row r="1713" spans="1:14" x14ac:dyDescent="0.25">
      <c r="A1713">
        <v>1183.659003</v>
      </c>
      <c r="B1713" s="1">
        <f>DATE(2013,7,27) + TIME(15,48,57)</f>
        <v>41482.658993055556</v>
      </c>
      <c r="C1713">
        <v>80</v>
      </c>
      <c r="D1713">
        <v>79.971321106000005</v>
      </c>
      <c r="E1713">
        <v>50</v>
      </c>
      <c r="F1713">
        <v>46.391159058</v>
      </c>
      <c r="G1713">
        <v>1344.2264404</v>
      </c>
      <c r="H1713">
        <v>1340.4168701000001</v>
      </c>
      <c r="I1713">
        <v>1322.1748047000001</v>
      </c>
      <c r="J1713">
        <v>1318.1735839999999</v>
      </c>
      <c r="K1713">
        <v>2400</v>
      </c>
      <c r="L1713">
        <v>0</v>
      </c>
      <c r="M1713">
        <v>0</v>
      </c>
      <c r="N1713">
        <v>2400</v>
      </c>
    </row>
    <row r="1714" spans="1:14" x14ac:dyDescent="0.25">
      <c r="A1714">
        <v>1185.067736</v>
      </c>
      <c r="B1714" s="1">
        <f>DATE(2013,7,29) + TIME(1,37,32)</f>
        <v>41484.067731481482</v>
      </c>
      <c r="C1714">
        <v>80</v>
      </c>
      <c r="D1714">
        <v>79.971321106000005</v>
      </c>
      <c r="E1714">
        <v>50</v>
      </c>
      <c r="F1714">
        <v>46.369129180999998</v>
      </c>
      <c r="G1714">
        <v>1344.2156981999999</v>
      </c>
      <c r="H1714">
        <v>1340.409668</v>
      </c>
      <c r="I1714">
        <v>1322.1569824000001</v>
      </c>
      <c r="J1714">
        <v>1318.1450195</v>
      </c>
      <c r="K1714">
        <v>2400</v>
      </c>
      <c r="L1714">
        <v>0</v>
      </c>
      <c r="M1714">
        <v>0</v>
      </c>
      <c r="N1714">
        <v>2400</v>
      </c>
    </row>
    <row r="1715" spans="1:14" x14ac:dyDescent="0.25">
      <c r="A1715">
        <v>1186.5053379999999</v>
      </c>
      <c r="B1715" s="1">
        <f>DATE(2013,7,30) + TIME(12,7,41)</f>
        <v>41485.505335648151</v>
      </c>
      <c r="C1715">
        <v>80</v>
      </c>
      <c r="D1715">
        <v>79.971321106000005</v>
      </c>
      <c r="E1715">
        <v>50</v>
      </c>
      <c r="F1715">
        <v>46.348621368000003</v>
      </c>
      <c r="G1715">
        <v>1344.2049560999999</v>
      </c>
      <c r="H1715">
        <v>1340.4023437999999</v>
      </c>
      <c r="I1715">
        <v>1322.1387939000001</v>
      </c>
      <c r="J1715">
        <v>1318.1158447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1187.252669</v>
      </c>
      <c r="B1716" s="1">
        <f>DATE(2013,7,31) + TIME(6,3,50)</f>
        <v>41486.252662037034</v>
      </c>
      <c r="C1716">
        <v>80</v>
      </c>
      <c r="D1716">
        <v>79.971313476999995</v>
      </c>
      <c r="E1716">
        <v>50</v>
      </c>
      <c r="F1716">
        <v>46.334583281999997</v>
      </c>
      <c r="G1716">
        <v>1344.1950684000001</v>
      </c>
      <c r="H1716">
        <v>1340.3957519999999</v>
      </c>
      <c r="I1716">
        <v>1322.1218262</v>
      </c>
      <c r="J1716">
        <v>1318.0883789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1188</v>
      </c>
      <c r="B1717" s="1">
        <f>DATE(2013,8,1) + TIME(0,0,0)</f>
        <v>41487</v>
      </c>
      <c r="C1717">
        <v>80</v>
      </c>
      <c r="D1717">
        <v>79.971305846999996</v>
      </c>
      <c r="E1717">
        <v>50</v>
      </c>
      <c r="F1717">
        <v>46.323421478</v>
      </c>
      <c r="G1717">
        <v>1344.1888428</v>
      </c>
      <c r="H1717">
        <v>1340.3914795000001</v>
      </c>
      <c r="I1717">
        <v>1322.1103516000001</v>
      </c>
      <c r="J1717">
        <v>1318.0700684000001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1189.4633779999999</v>
      </c>
      <c r="B1718" s="1">
        <f>DATE(2013,8,2) + TIME(11,7,15)</f>
        <v>41488.463368055556</v>
      </c>
      <c r="C1718">
        <v>80</v>
      </c>
      <c r="D1718">
        <v>79.971321106000005</v>
      </c>
      <c r="E1718">
        <v>50</v>
      </c>
      <c r="F1718">
        <v>46.310867309999999</v>
      </c>
      <c r="G1718">
        <v>1344.1823730000001</v>
      </c>
      <c r="H1718">
        <v>1340.3868408000001</v>
      </c>
      <c r="I1718">
        <v>1322.0983887</v>
      </c>
      <c r="J1718">
        <v>1318.0510254000001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1190.938848</v>
      </c>
      <c r="B1719" s="1">
        <f>DATE(2013,8,3) + TIME(22,31,56)</f>
        <v>41489.938842592594</v>
      </c>
      <c r="C1719">
        <v>80</v>
      </c>
      <c r="D1719">
        <v>79.971321106000005</v>
      </c>
      <c r="E1719">
        <v>50</v>
      </c>
      <c r="F1719">
        <v>46.297870635999999</v>
      </c>
      <c r="G1719">
        <v>1344.1719971</v>
      </c>
      <c r="H1719">
        <v>1340.3798827999999</v>
      </c>
      <c r="I1719">
        <v>1322.0809326000001</v>
      </c>
      <c r="J1719">
        <v>1318.0225829999999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1192.427089</v>
      </c>
      <c r="B1720" s="1">
        <f>DATE(2013,8,5) + TIME(10,15,0)</f>
        <v>41491.427083333336</v>
      </c>
      <c r="C1720">
        <v>80</v>
      </c>
      <c r="D1720">
        <v>79.971321106000005</v>
      </c>
      <c r="E1720">
        <v>50</v>
      </c>
      <c r="F1720">
        <v>46.286308288999997</v>
      </c>
      <c r="G1720">
        <v>1344.1613769999999</v>
      </c>
      <c r="H1720">
        <v>1340.3725586</v>
      </c>
      <c r="I1720">
        <v>1322.0621338000001</v>
      </c>
      <c r="J1720">
        <v>1317.9921875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1193.9355479999999</v>
      </c>
      <c r="B1721" s="1">
        <f>DATE(2013,8,6) + TIME(22,27,11)</f>
        <v>41492.935543981483</v>
      </c>
      <c r="C1721">
        <v>80</v>
      </c>
      <c r="D1721">
        <v>79.971321106000005</v>
      </c>
      <c r="E1721">
        <v>50</v>
      </c>
      <c r="F1721">
        <v>46.276958466000004</v>
      </c>
      <c r="G1721">
        <v>1344.1506348</v>
      </c>
      <c r="H1721">
        <v>1340.3652344</v>
      </c>
      <c r="I1721">
        <v>1322.0428466999999</v>
      </c>
      <c r="J1721">
        <v>1317.9609375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1195.468873</v>
      </c>
      <c r="B1722" s="1">
        <f>DATE(2013,8,8) + TIME(11,15,10)</f>
        <v>41494.468865740739</v>
      </c>
      <c r="C1722">
        <v>80</v>
      </c>
      <c r="D1722">
        <v>79.971328735</v>
      </c>
      <c r="E1722">
        <v>50</v>
      </c>
      <c r="F1722">
        <v>46.27022934</v>
      </c>
      <c r="G1722">
        <v>1344.1397704999999</v>
      </c>
      <c r="H1722">
        <v>1340.3577881000001</v>
      </c>
      <c r="I1722">
        <v>1322.0231934000001</v>
      </c>
      <c r="J1722">
        <v>1317.9290771000001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1197.0143760000001</v>
      </c>
      <c r="B1723" s="1">
        <f>DATE(2013,8,10) + TIME(0,20,42)</f>
        <v>41496.014374999999</v>
      </c>
      <c r="C1723">
        <v>80</v>
      </c>
      <c r="D1723">
        <v>79.971328735</v>
      </c>
      <c r="E1723">
        <v>50</v>
      </c>
      <c r="F1723">
        <v>46.266452788999999</v>
      </c>
      <c r="G1723">
        <v>1344.1289062000001</v>
      </c>
      <c r="H1723">
        <v>1340.3503418</v>
      </c>
      <c r="I1723">
        <v>1322.0031738</v>
      </c>
      <c r="J1723">
        <v>1317.8964844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1198.5746220000001</v>
      </c>
      <c r="B1724" s="1">
        <f>DATE(2013,8,11) + TIME(13,47,27)</f>
        <v>41497.574618055558</v>
      </c>
      <c r="C1724">
        <v>80</v>
      </c>
      <c r="D1724">
        <v>79.971328735</v>
      </c>
      <c r="E1724">
        <v>50</v>
      </c>
      <c r="F1724">
        <v>46.265903473000002</v>
      </c>
      <c r="G1724">
        <v>1344.1181641000001</v>
      </c>
      <c r="H1724">
        <v>1340.3428954999999</v>
      </c>
      <c r="I1724">
        <v>1321.9830322</v>
      </c>
      <c r="J1724">
        <v>1317.8636475000001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1200.1541769999999</v>
      </c>
      <c r="B1725" s="1">
        <f>DATE(2013,8,13) + TIME(3,42,0)</f>
        <v>41499.154166666667</v>
      </c>
      <c r="C1725">
        <v>80</v>
      </c>
      <c r="D1725">
        <v>79.971336364999999</v>
      </c>
      <c r="E1725">
        <v>50</v>
      </c>
      <c r="F1725">
        <v>46.268871306999998</v>
      </c>
      <c r="G1725">
        <v>1344.1072998</v>
      </c>
      <c r="H1725">
        <v>1340.3354492000001</v>
      </c>
      <c r="I1725">
        <v>1321.9626464999999</v>
      </c>
      <c r="J1725">
        <v>1317.8304443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1201.7597229999999</v>
      </c>
      <c r="B1726" s="1">
        <f>DATE(2013,8,14) + TIME(18,14,0)</f>
        <v>41500.759722222225</v>
      </c>
      <c r="C1726">
        <v>80</v>
      </c>
      <c r="D1726">
        <v>79.971336364999999</v>
      </c>
      <c r="E1726">
        <v>50</v>
      </c>
      <c r="F1726">
        <v>46.275650024000001</v>
      </c>
      <c r="G1726">
        <v>1344.0964355000001</v>
      </c>
      <c r="H1726">
        <v>1340.3278809000001</v>
      </c>
      <c r="I1726">
        <v>1321.9420166</v>
      </c>
      <c r="J1726">
        <v>1317.796875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1203.397463</v>
      </c>
      <c r="B1727" s="1">
        <f>DATE(2013,8,16) + TIME(9,32,20)</f>
        <v>41502.397453703707</v>
      </c>
      <c r="C1727">
        <v>80</v>
      </c>
      <c r="D1727">
        <v>79.971336364999999</v>
      </c>
      <c r="E1727">
        <v>50</v>
      </c>
      <c r="F1727">
        <v>46.286605835000003</v>
      </c>
      <c r="G1727">
        <v>1344.0855713000001</v>
      </c>
      <c r="H1727">
        <v>1340.3203125</v>
      </c>
      <c r="I1727">
        <v>1321.9211425999999</v>
      </c>
      <c r="J1727">
        <v>1317.7628173999999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1205.0648269999999</v>
      </c>
      <c r="B1728" s="1">
        <f>DATE(2013,8,18) + TIME(1,33,21)</f>
        <v>41504.064826388887</v>
      </c>
      <c r="C1728">
        <v>80</v>
      </c>
      <c r="D1728">
        <v>79.971343993999994</v>
      </c>
      <c r="E1728">
        <v>50</v>
      </c>
      <c r="F1728">
        <v>46.302158356</v>
      </c>
      <c r="G1728">
        <v>1344.0745850000001</v>
      </c>
      <c r="H1728">
        <v>1340.3127440999999</v>
      </c>
      <c r="I1728">
        <v>1321.9000243999999</v>
      </c>
      <c r="J1728">
        <v>1317.7282714999999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1206.7482319999999</v>
      </c>
      <c r="B1729" s="1">
        <f>DATE(2013,8,19) + TIME(17,57,27)</f>
        <v>41505.748229166667</v>
      </c>
      <c r="C1729">
        <v>80</v>
      </c>
      <c r="D1729">
        <v>79.971343993999994</v>
      </c>
      <c r="E1729">
        <v>50</v>
      </c>
      <c r="F1729">
        <v>46.322700500000003</v>
      </c>
      <c r="G1729">
        <v>1344.0634766000001</v>
      </c>
      <c r="H1729">
        <v>1340.3049315999999</v>
      </c>
      <c r="I1729">
        <v>1321.8786620999999</v>
      </c>
      <c r="J1729">
        <v>1317.6932373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1208.4523300000001</v>
      </c>
      <c r="B1730" s="1">
        <f>DATE(2013,8,21) + TIME(10,51,21)</f>
        <v>41507.452326388891</v>
      </c>
      <c r="C1730">
        <v>80</v>
      </c>
      <c r="D1730">
        <v>79.971351623999993</v>
      </c>
      <c r="E1730">
        <v>50</v>
      </c>
      <c r="F1730">
        <v>46.348583220999998</v>
      </c>
      <c r="G1730">
        <v>1344.0523682</v>
      </c>
      <c r="H1730">
        <v>1340.2972411999999</v>
      </c>
      <c r="I1730">
        <v>1321.8571777</v>
      </c>
      <c r="J1730">
        <v>1317.6579589999999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1210.1823549999999</v>
      </c>
      <c r="B1731" s="1">
        <f>DATE(2013,8,23) + TIME(4,22,35)</f>
        <v>41509.182349537034</v>
      </c>
      <c r="C1731">
        <v>80</v>
      </c>
      <c r="D1731">
        <v>79.971351623999993</v>
      </c>
      <c r="E1731">
        <v>50</v>
      </c>
      <c r="F1731">
        <v>46.380256653000004</v>
      </c>
      <c r="G1731">
        <v>1344.0412598</v>
      </c>
      <c r="H1731">
        <v>1340.2894286999999</v>
      </c>
      <c r="I1731">
        <v>1321.8355713000001</v>
      </c>
      <c r="J1731">
        <v>1317.6225586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1211.9252899999999</v>
      </c>
      <c r="B1732" s="1">
        <f>DATE(2013,8,24) + TIME(22,12,25)</f>
        <v>41510.92528935185</v>
      </c>
      <c r="C1732">
        <v>80</v>
      </c>
      <c r="D1732">
        <v>79.971359253000003</v>
      </c>
      <c r="E1732">
        <v>50</v>
      </c>
      <c r="F1732">
        <v>46.418159484999997</v>
      </c>
      <c r="G1732">
        <v>1344.0301514</v>
      </c>
      <c r="H1732">
        <v>1340.2816161999999</v>
      </c>
      <c r="I1732">
        <v>1321.8138428</v>
      </c>
      <c r="J1732">
        <v>1317.5869141000001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1213.6876319999999</v>
      </c>
      <c r="B1733" s="1">
        <f>DATE(2013,8,26) + TIME(16,30,11)</f>
        <v>41512.687627314815</v>
      </c>
      <c r="C1733">
        <v>80</v>
      </c>
      <c r="D1733">
        <v>79.971366881999998</v>
      </c>
      <c r="E1733">
        <v>50</v>
      </c>
      <c r="F1733">
        <v>46.462661742999998</v>
      </c>
      <c r="G1733">
        <v>1344.0189209</v>
      </c>
      <c r="H1733">
        <v>1340.2736815999999</v>
      </c>
      <c r="I1733">
        <v>1321.7921143000001</v>
      </c>
      <c r="J1733">
        <v>1317.5512695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1215.4644639999999</v>
      </c>
      <c r="B1734" s="1">
        <f>DATE(2013,8,28) + TIME(11,8,49)</f>
        <v>41514.464456018519</v>
      </c>
      <c r="C1734">
        <v>80</v>
      </c>
      <c r="D1734">
        <v>79.971366881999998</v>
      </c>
      <c r="E1734">
        <v>50</v>
      </c>
      <c r="F1734">
        <v>46.514213562000002</v>
      </c>
      <c r="G1734">
        <v>1344.0078125</v>
      </c>
      <c r="H1734">
        <v>1340.2658690999999</v>
      </c>
      <c r="I1734">
        <v>1321.7705077999999</v>
      </c>
      <c r="J1734">
        <v>1317.5157471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1217.2582729999999</v>
      </c>
      <c r="B1735" s="1">
        <f>DATE(2013,8,30) + TIME(6,11,54)</f>
        <v>41516.258263888885</v>
      </c>
      <c r="C1735">
        <v>80</v>
      </c>
      <c r="D1735">
        <v>79.971374511999997</v>
      </c>
      <c r="E1735">
        <v>50</v>
      </c>
      <c r="F1735">
        <v>46.573230743000003</v>
      </c>
      <c r="G1735">
        <v>1343.9967041</v>
      </c>
      <c r="H1735">
        <v>1340.2579346</v>
      </c>
      <c r="I1735">
        <v>1321.7487793</v>
      </c>
      <c r="J1735">
        <v>1317.4802245999999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1219</v>
      </c>
      <c r="B1736" s="1">
        <f>DATE(2013,9,1) + TIME(0,0,0)</f>
        <v>41518</v>
      </c>
      <c r="C1736">
        <v>80</v>
      </c>
      <c r="D1736">
        <v>79.971382141000007</v>
      </c>
      <c r="E1736">
        <v>50</v>
      </c>
      <c r="F1736">
        <v>46.639438628999997</v>
      </c>
      <c r="G1736">
        <v>1343.9855957</v>
      </c>
      <c r="H1736">
        <v>1340.2501221</v>
      </c>
      <c r="I1736">
        <v>1321.7274170000001</v>
      </c>
      <c r="J1736">
        <v>1317.4451904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1220.8170319999999</v>
      </c>
      <c r="B1737" s="1">
        <f>DATE(2013,9,2) + TIME(19,36,31)</f>
        <v>41519.817025462966</v>
      </c>
      <c r="C1737">
        <v>80</v>
      </c>
      <c r="D1737">
        <v>79.971389771000005</v>
      </c>
      <c r="E1737">
        <v>50</v>
      </c>
      <c r="F1737">
        <v>46.713172913000001</v>
      </c>
      <c r="G1737">
        <v>1343.9747314000001</v>
      </c>
      <c r="H1737">
        <v>1340.2424315999999</v>
      </c>
      <c r="I1737">
        <v>1321.706543</v>
      </c>
      <c r="J1737">
        <v>1317.4110106999999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1222.704393</v>
      </c>
      <c r="B1738" s="1">
        <f>DATE(2013,9,4) + TIME(16,54,19)</f>
        <v>41521.704386574071</v>
      </c>
      <c r="C1738">
        <v>80</v>
      </c>
      <c r="D1738">
        <v>79.971397400000001</v>
      </c>
      <c r="E1738">
        <v>50</v>
      </c>
      <c r="F1738">
        <v>46.797107697000001</v>
      </c>
      <c r="G1738">
        <v>1343.9637451000001</v>
      </c>
      <c r="H1738">
        <v>1340.2344971</v>
      </c>
      <c r="I1738">
        <v>1321.6853027</v>
      </c>
      <c r="J1738">
        <v>1317.3765868999999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1224.624699</v>
      </c>
      <c r="B1739" s="1">
        <f>DATE(2013,9,6) + TIME(14,59,34)</f>
        <v>41523.624699074076</v>
      </c>
      <c r="C1739">
        <v>80</v>
      </c>
      <c r="D1739">
        <v>79.971405028999996</v>
      </c>
      <c r="E1739">
        <v>50</v>
      </c>
      <c r="F1739">
        <v>46.892303466999998</v>
      </c>
      <c r="G1739">
        <v>1343.9523925999999</v>
      </c>
      <c r="H1739">
        <v>1340.2263184000001</v>
      </c>
      <c r="I1739">
        <v>1321.6639404</v>
      </c>
      <c r="J1739">
        <v>1317.3416748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1226.57025</v>
      </c>
      <c r="B1740" s="1">
        <f>DATE(2013,9,8) + TIME(13,41,9)</f>
        <v>41525.570243055554</v>
      </c>
      <c r="C1740">
        <v>80</v>
      </c>
      <c r="D1740">
        <v>79.971412658999995</v>
      </c>
      <c r="E1740">
        <v>50</v>
      </c>
      <c r="F1740">
        <v>46.998748779000003</v>
      </c>
      <c r="G1740">
        <v>1343.940918</v>
      </c>
      <c r="H1740">
        <v>1340.2181396000001</v>
      </c>
      <c r="I1740">
        <v>1321.6424560999999</v>
      </c>
      <c r="J1740">
        <v>1317.3067627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1228.5219790000001</v>
      </c>
      <c r="B1741" s="1">
        <f>DATE(2013,9,10) + TIME(12,31,38)</f>
        <v>41527.521967592591</v>
      </c>
      <c r="C1741">
        <v>80</v>
      </c>
      <c r="D1741">
        <v>79.971420288000004</v>
      </c>
      <c r="E1741">
        <v>50</v>
      </c>
      <c r="F1741">
        <v>47.116352081000002</v>
      </c>
      <c r="G1741">
        <v>1343.9294434000001</v>
      </c>
      <c r="H1741">
        <v>1340.2098389</v>
      </c>
      <c r="I1741">
        <v>1321.6212158000001</v>
      </c>
      <c r="J1741">
        <v>1317.2723389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1230.4882970000001</v>
      </c>
      <c r="B1742" s="1">
        <f>DATE(2013,9,12) + TIME(11,43,8)</f>
        <v>41529.488287037035</v>
      </c>
      <c r="C1742">
        <v>80</v>
      </c>
      <c r="D1742">
        <v>79.971427917</v>
      </c>
      <c r="E1742">
        <v>50</v>
      </c>
      <c r="F1742">
        <v>47.244922637999998</v>
      </c>
      <c r="G1742">
        <v>1343.9179687999999</v>
      </c>
      <c r="H1742">
        <v>1340.2015381000001</v>
      </c>
      <c r="I1742">
        <v>1321.6002197</v>
      </c>
      <c r="J1742">
        <v>1317.2386475000001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1232.4797160000001</v>
      </c>
      <c r="B1743" s="1">
        <f>DATE(2013,9,14) + TIME(11,30,47)</f>
        <v>41531.479710648149</v>
      </c>
      <c r="C1743">
        <v>80</v>
      </c>
      <c r="D1743">
        <v>79.971435546999999</v>
      </c>
      <c r="E1743">
        <v>50</v>
      </c>
      <c r="F1743">
        <v>47.385059357000003</v>
      </c>
      <c r="G1743">
        <v>1343.9064940999999</v>
      </c>
      <c r="H1743">
        <v>1340.1932373</v>
      </c>
      <c r="I1743">
        <v>1321.5795897999999</v>
      </c>
      <c r="J1743">
        <v>1317.2056885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1234.5015370000001</v>
      </c>
      <c r="B1744" s="1">
        <f>DATE(2013,9,16) + TIME(12,2,12)</f>
        <v>41533.501527777778</v>
      </c>
      <c r="C1744">
        <v>80</v>
      </c>
      <c r="D1744">
        <v>79.971443175999994</v>
      </c>
      <c r="E1744">
        <v>50</v>
      </c>
      <c r="F1744">
        <v>47.537612914999997</v>
      </c>
      <c r="G1744">
        <v>1343.8951416</v>
      </c>
      <c r="H1744">
        <v>1340.1849365</v>
      </c>
      <c r="I1744">
        <v>1321.5593262</v>
      </c>
      <c r="J1744">
        <v>1317.1735839999999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1236.5590219999999</v>
      </c>
      <c r="B1745" s="1">
        <f>DATE(2013,9,18) + TIME(13,24,59)</f>
        <v>41535.559016203704</v>
      </c>
      <c r="C1745">
        <v>80</v>
      </c>
      <c r="D1745">
        <v>79.971458435000002</v>
      </c>
      <c r="E1745">
        <v>50</v>
      </c>
      <c r="F1745">
        <v>47.703365325999997</v>
      </c>
      <c r="G1745">
        <v>1343.8835449000001</v>
      </c>
      <c r="H1745">
        <v>1340.1765137</v>
      </c>
      <c r="I1745">
        <v>1321.5393065999999</v>
      </c>
      <c r="J1745">
        <v>1317.1420897999999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1238.638455</v>
      </c>
      <c r="B1746" s="1">
        <f>DATE(2013,9,20) + TIME(15,19,22)</f>
        <v>41537.638449074075</v>
      </c>
      <c r="C1746">
        <v>80</v>
      </c>
      <c r="D1746">
        <v>79.971466063999998</v>
      </c>
      <c r="E1746">
        <v>50</v>
      </c>
      <c r="F1746">
        <v>47.882686614999997</v>
      </c>
      <c r="G1746">
        <v>1343.8719481999999</v>
      </c>
      <c r="H1746">
        <v>1340.1680908000001</v>
      </c>
      <c r="I1746">
        <v>1321.5196533000001</v>
      </c>
      <c r="J1746">
        <v>1317.1113281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1240.7537050000001</v>
      </c>
      <c r="B1747" s="1">
        <f>DATE(2013,9,22) + TIME(18,5,20)</f>
        <v>41539.753703703704</v>
      </c>
      <c r="C1747">
        <v>80</v>
      </c>
      <c r="D1747">
        <v>79.971473693999997</v>
      </c>
      <c r="E1747">
        <v>50</v>
      </c>
      <c r="F1747">
        <v>48.075473785</v>
      </c>
      <c r="G1747">
        <v>1343.8603516000001</v>
      </c>
      <c r="H1747">
        <v>1340.1595459</v>
      </c>
      <c r="I1747">
        <v>1321.5003661999999</v>
      </c>
      <c r="J1747">
        <v>1317.0816649999999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1242.912466</v>
      </c>
      <c r="B1748" s="1">
        <f>DATE(2013,9,24) + TIME(21,53,57)</f>
        <v>41541.912465277775</v>
      </c>
      <c r="C1748">
        <v>80</v>
      </c>
      <c r="D1748">
        <v>79.971488953000005</v>
      </c>
      <c r="E1748">
        <v>50</v>
      </c>
      <c r="F1748">
        <v>48.282550811999997</v>
      </c>
      <c r="G1748">
        <v>1343.8486327999999</v>
      </c>
      <c r="H1748">
        <v>1340.151001</v>
      </c>
      <c r="I1748">
        <v>1321.4814452999999</v>
      </c>
      <c r="J1748">
        <v>1317.0528564000001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1245.1023319999999</v>
      </c>
      <c r="B1749" s="1">
        <f>DATE(2013,9,27) + TIME(2,27,21)</f>
        <v>41544.102326388886</v>
      </c>
      <c r="C1749">
        <v>80</v>
      </c>
      <c r="D1749">
        <v>79.971496582</v>
      </c>
      <c r="E1749">
        <v>50</v>
      </c>
      <c r="F1749">
        <v>48.504211425999998</v>
      </c>
      <c r="G1749">
        <v>1343.8369141000001</v>
      </c>
      <c r="H1749">
        <v>1340.1423339999999</v>
      </c>
      <c r="I1749">
        <v>1321.4628906</v>
      </c>
      <c r="J1749">
        <v>1317.0250243999999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1247.302811</v>
      </c>
      <c r="B1750" s="1">
        <f>DATE(2013,9,29) + TIME(7,16,2)</f>
        <v>41546.302800925929</v>
      </c>
      <c r="C1750">
        <v>80</v>
      </c>
      <c r="D1750">
        <v>79.971511840999995</v>
      </c>
      <c r="E1750">
        <v>50</v>
      </c>
      <c r="F1750">
        <v>48.739166259999998</v>
      </c>
      <c r="G1750">
        <v>1343.8249512</v>
      </c>
      <c r="H1750">
        <v>1340.1335449000001</v>
      </c>
      <c r="I1750">
        <v>1321.4449463000001</v>
      </c>
      <c r="J1750">
        <v>1316.9984131000001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1249</v>
      </c>
      <c r="B1751" s="1">
        <f>DATE(2013,10,1) + TIME(0,0,0)</f>
        <v>41548</v>
      </c>
      <c r="C1751">
        <v>80</v>
      </c>
      <c r="D1751">
        <v>79.971511840999995</v>
      </c>
      <c r="E1751">
        <v>50</v>
      </c>
      <c r="F1751">
        <v>48.968761444000002</v>
      </c>
      <c r="G1751">
        <v>1343.8135986</v>
      </c>
      <c r="H1751">
        <v>1340.1252440999999</v>
      </c>
      <c r="I1751">
        <v>1321.4290771000001</v>
      </c>
      <c r="J1751">
        <v>1316.9742432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1251.2140690000001</v>
      </c>
      <c r="B1752" s="1">
        <f>DATE(2013,10,3) + TIME(5,8,15)</f>
        <v>41550.214062500003</v>
      </c>
      <c r="C1752">
        <v>80</v>
      </c>
      <c r="D1752">
        <v>79.971534728999998</v>
      </c>
      <c r="E1752">
        <v>50</v>
      </c>
      <c r="F1752">
        <v>49.191986084</v>
      </c>
      <c r="G1752">
        <v>1343.8039550999999</v>
      </c>
      <c r="H1752">
        <v>1340.1179199000001</v>
      </c>
      <c r="I1752">
        <v>1321.4138184000001</v>
      </c>
      <c r="J1752">
        <v>1316.9543457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1253.4808379999999</v>
      </c>
      <c r="B1753" s="1">
        <f>DATE(2013,10,5) + TIME(11,32,24)</f>
        <v>41552.480833333335</v>
      </c>
      <c r="C1753">
        <v>80</v>
      </c>
      <c r="D1753">
        <v>79.971542357999994</v>
      </c>
      <c r="E1753">
        <v>50</v>
      </c>
      <c r="F1753">
        <v>49.448589325</v>
      </c>
      <c r="G1753">
        <v>1343.7924805</v>
      </c>
      <c r="H1753">
        <v>1340.1094971</v>
      </c>
      <c r="I1753">
        <v>1321.3985596</v>
      </c>
      <c r="J1753">
        <v>1316.9324951000001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1255.786548</v>
      </c>
      <c r="B1754" s="1">
        <f>DATE(2013,10,7) + TIME(18,52,37)</f>
        <v>41554.786539351851</v>
      </c>
      <c r="C1754">
        <v>80</v>
      </c>
      <c r="D1754">
        <v>79.971557617000002</v>
      </c>
      <c r="E1754">
        <v>50</v>
      </c>
      <c r="F1754">
        <v>49.722911834999998</v>
      </c>
      <c r="G1754">
        <v>1343.7807617000001</v>
      </c>
      <c r="H1754">
        <v>1340.1007079999999</v>
      </c>
      <c r="I1754">
        <v>1321.3833007999999</v>
      </c>
      <c r="J1754">
        <v>1316.9116211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1258.1102100000001</v>
      </c>
      <c r="B1755" s="1">
        <f>DATE(2013,10,10) + TIME(2,38,42)</f>
        <v>41557.110208333332</v>
      </c>
      <c r="C1755">
        <v>80</v>
      </c>
      <c r="D1755">
        <v>79.971572875999996</v>
      </c>
      <c r="E1755">
        <v>50</v>
      </c>
      <c r="F1755">
        <v>50.008895873999997</v>
      </c>
      <c r="G1755">
        <v>1343.7689209</v>
      </c>
      <c r="H1755">
        <v>1340.0919189000001</v>
      </c>
      <c r="I1755">
        <v>1321.3687743999999</v>
      </c>
      <c r="J1755">
        <v>1316.8920897999999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1260.4567569999999</v>
      </c>
      <c r="B1756" s="1">
        <f>DATE(2013,10,12) + TIME(10,57,43)</f>
        <v>41559.456747685188</v>
      </c>
      <c r="C1756">
        <v>80</v>
      </c>
      <c r="D1756">
        <v>79.971588135000005</v>
      </c>
      <c r="E1756">
        <v>50</v>
      </c>
      <c r="F1756">
        <v>50.302566528</v>
      </c>
      <c r="G1756">
        <v>1343.7570800999999</v>
      </c>
      <c r="H1756">
        <v>1340.0831298999999</v>
      </c>
      <c r="I1756">
        <v>1321.3548584</v>
      </c>
      <c r="J1756">
        <v>1316.8740233999999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1262.85025</v>
      </c>
      <c r="B1757" s="1">
        <f>DATE(2013,10,14) + TIME(20,24,21)</f>
        <v>41561.850243055553</v>
      </c>
      <c r="C1757">
        <v>80</v>
      </c>
      <c r="D1757">
        <v>79.971595764</v>
      </c>
      <c r="E1757">
        <v>50</v>
      </c>
      <c r="F1757">
        <v>50.603378296000002</v>
      </c>
      <c r="G1757">
        <v>1343.7452393000001</v>
      </c>
      <c r="H1757">
        <v>1340.0743408000001</v>
      </c>
      <c r="I1757">
        <v>1321.3416748</v>
      </c>
      <c r="J1757">
        <v>1316.8575439000001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1264.0762090000001</v>
      </c>
      <c r="B1758" s="1">
        <f>DATE(2013,10,16) + TIME(1,49,44)</f>
        <v>41563.076203703706</v>
      </c>
      <c r="C1758">
        <v>80</v>
      </c>
      <c r="D1758">
        <v>79.971595764</v>
      </c>
      <c r="E1758">
        <v>50</v>
      </c>
      <c r="F1758">
        <v>50.857597351000003</v>
      </c>
      <c r="G1758">
        <v>1343.734375</v>
      </c>
      <c r="H1758">
        <v>1340.0664062000001</v>
      </c>
      <c r="I1758">
        <v>1321.333374</v>
      </c>
      <c r="J1758">
        <v>1316.8446045000001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1265.3021670000001</v>
      </c>
      <c r="B1759" s="1">
        <f>DATE(2013,10,17) + TIME(7,15,7)</f>
        <v>41564.302164351851</v>
      </c>
      <c r="C1759">
        <v>80</v>
      </c>
      <c r="D1759">
        <v>79.971603393999999</v>
      </c>
      <c r="E1759">
        <v>50</v>
      </c>
      <c r="F1759">
        <v>51.050094604000002</v>
      </c>
      <c r="G1759">
        <v>1343.7275391000001</v>
      </c>
      <c r="H1759">
        <v>1340.0611572</v>
      </c>
      <c r="I1759">
        <v>1321.3255615</v>
      </c>
      <c r="J1759">
        <v>1316.8376464999999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1266.5281259999999</v>
      </c>
      <c r="B1760" s="1">
        <f>DATE(2013,10,18) + TIME(12,40,30)</f>
        <v>41565.528124999997</v>
      </c>
      <c r="C1760">
        <v>80</v>
      </c>
      <c r="D1760">
        <v>79.971611022999994</v>
      </c>
      <c r="E1760">
        <v>50</v>
      </c>
      <c r="F1760">
        <v>51.220531463999997</v>
      </c>
      <c r="G1760">
        <v>1343.7214355000001</v>
      </c>
      <c r="H1760">
        <v>1340.0563964999999</v>
      </c>
      <c r="I1760">
        <v>1321.3192139</v>
      </c>
      <c r="J1760">
        <v>1316.8310547000001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1267.754085</v>
      </c>
      <c r="B1761" s="1">
        <f>DATE(2013,10,19) + TIME(18,5,52)</f>
        <v>41566.754074074073</v>
      </c>
      <c r="C1761">
        <v>80</v>
      </c>
      <c r="D1761">
        <v>79.971618652000004</v>
      </c>
      <c r="E1761">
        <v>50</v>
      </c>
      <c r="F1761">
        <v>51.382892609000002</v>
      </c>
      <c r="G1761">
        <v>1343.7154541</v>
      </c>
      <c r="H1761">
        <v>1340.0518798999999</v>
      </c>
      <c r="I1761">
        <v>1321.3134766000001</v>
      </c>
      <c r="J1761">
        <v>1316.8250731999999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1270.206003</v>
      </c>
      <c r="B1762" s="1">
        <f>DATE(2013,10,22) + TIME(4,56,38)</f>
        <v>41569.205995370372</v>
      </c>
      <c r="C1762">
        <v>80</v>
      </c>
      <c r="D1762">
        <v>79.971641540999997</v>
      </c>
      <c r="E1762">
        <v>50</v>
      </c>
      <c r="F1762">
        <v>51.575954437</v>
      </c>
      <c r="G1762">
        <v>1343.7088623</v>
      </c>
      <c r="H1762">
        <v>1340.046875</v>
      </c>
      <c r="I1762">
        <v>1321.3059082</v>
      </c>
      <c r="J1762">
        <v>1316.8183594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1272.6658030000001</v>
      </c>
      <c r="B1763" s="1">
        <f>DATE(2013,10,24) + TIME(15,58,45)</f>
        <v>41571.665798611109</v>
      </c>
      <c r="C1763">
        <v>80</v>
      </c>
      <c r="D1763">
        <v>79.971656799000002</v>
      </c>
      <c r="E1763">
        <v>50</v>
      </c>
      <c r="F1763">
        <v>51.863380432</v>
      </c>
      <c r="G1763">
        <v>1343.6976318</v>
      </c>
      <c r="H1763">
        <v>1340.0385742000001</v>
      </c>
      <c r="I1763">
        <v>1321.2976074000001</v>
      </c>
      <c r="J1763">
        <v>1316.8077393000001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1275.171241</v>
      </c>
      <c r="B1764" s="1">
        <f>DATE(2013,10,27) + TIME(4,6,35)</f>
        <v>41574.171238425923</v>
      </c>
      <c r="C1764">
        <v>80</v>
      </c>
      <c r="D1764">
        <v>79.971672057999996</v>
      </c>
      <c r="E1764">
        <v>50</v>
      </c>
      <c r="F1764">
        <v>52.170703887999998</v>
      </c>
      <c r="G1764">
        <v>1343.6861572</v>
      </c>
      <c r="H1764">
        <v>1340.0300293</v>
      </c>
      <c r="I1764">
        <v>1321.2893065999999</v>
      </c>
      <c r="J1764">
        <v>1316.7993164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1277.7375930000001</v>
      </c>
      <c r="B1765" s="1">
        <f>DATE(2013,10,29) + TIME(17,42,8)</f>
        <v>41576.737592592595</v>
      </c>
      <c r="C1765">
        <v>80</v>
      </c>
      <c r="D1765">
        <v>79.971694946</v>
      </c>
      <c r="E1765">
        <v>50</v>
      </c>
      <c r="F1765">
        <v>52.483402251999998</v>
      </c>
      <c r="G1765">
        <v>1343.6744385</v>
      </c>
      <c r="H1765">
        <v>1340.0212402</v>
      </c>
      <c r="I1765">
        <v>1321.2816161999999</v>
      </c>
      <c r="J1765">
        <v>1316.7922363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1280</v>
      </c>
      <c r="B1766" s="1">
        <f>DATE(2013,11,1) + TIME(0,0,0)</f>
        <v>41579</v>
      </c>
      <c r="C1766">
        <v>80</v>
      </c>
      <c r="D1766">
        <v>79.971702575999998</v>
      </c>
      <c r="E1766">
        <v>50</v>
      </c>
      <c r="F1766">
        <v>52.789196013999998</v>
      </c>
      <c r="G1766">
        <v>1343.6628418</v>
      </c>
      <c r="H1766">
        <v>1340.0125731999999</v>
      </c>
      <c r="I1766">
        <v>1321.2752685999999</v>
      </c>
      <c r="J1766">
        <v>1316.7868652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1280.0000010000001</v>
      </c>
      <c r="B1767" s="1">
        <f>DATE(2013,11,1) + TIME(0,0,0)</f>
        <v>41579</v>
      </c>
      <c r="C1767">
        <v>80</v>
      </c>
      <c r="D1767">
        <v>79.971672057999996</v>
      </c>
      <c r="E1767">
        <v>50</v>
      </c>
      <c r="F1767">
        <v>52.789215087999999</v>
      </c>
      <c r="G1767">
        <v>1340.0025635</v>
      </c>
      <c r="H1767">
        <v>1338.5888672000001</v>
      </c>
      <c r="I1767">
        <v>1325.9299315999999</v>
      </c>
      <c r="J1767">
        <v>1321.2875977000001</v>
      </c>
      <c r="K1767">
        <v>0</v>
      </c>
      <c r="L1767">
        <v>2400</v>
      </c>
      <c r="M1767">
        <v>2400</v>
      </c>
      <c r="N1767">
        <v>0</v>
      </c>
    </row>
    <row r="1768" spans="1:14" x14ac:dyDescent="0.25">
      <c r="A1768">
        <v>1280.000004</v>
      </c>
      <c r="B1768" s="1">
        <f>DATE(2013,11,1) + TIME(0,0,0)</f>
        <v>41579</v>
      </c>
      <c r="C1768">
        <v>80</v>
      </c>
      <c r="D1768">
        <v>79.971572875999996</v>
      </c>
      <c r="E1768">
        <v>50</v>
      </c>
      <c r="F1768">
        <v>52.789264678999999</v>
      </c>
      <c r="G1768">
        <v>1339.9730225000001</v>
      </c>
      <c r="H1768">
        <v>1338.5592041</v>
      </c>
      <c r="I1768">
        <v>1325.9600829999999</v>
      </c>
      <c r="J1768">
        <v>1321.3239745999999</v>
      </c>
      <c r="K1768">
        <v>0</v>
      </c>
      <c r="L1768">
        <v>2400</v>
      </c>
      <c r="M1768">
        <v>2400</v>
      </c>
      <c r="N1768">
        <v>0</v>
      </c>
    </row>
    <row r="1769" spans="1:14" x14ac:dyDescent="0.25">
      <c r="A1769">
        <v>1280.0000130000001</v>
      </c>
      <c r="B1769" s="1">
        <f>DATE(2013,11,1) + TIME(0,0,1)</f>
        <v>41579.000011574077</v>
      </c>
      <c r="C1769">
        <v>80</v>
      </c>
      <c r="D1769">
        <v>79.971298218000001</v>
      </c>
      <c r="E1769">
        <v>50</v>
      </c>
      <c r="F1769">
        <v>52.789417266999997</v>
      </c>
      <c r="G1769">
        <v>1339.8868408000001</v>
      </c>
      <c r="H1769">
        <v>1338.4731445</v>
      </c>
      <c r="I1769">
        <v>1326.0488281</v>
      </c>
      <c r="J1769">
        <v>1321.4309082</v>
      </c>
      <c r="K1769">
        <v>0</v>
      </c>
      <c r="L1769">
        <v>2400</v>
      </c>
      <c r="M1769">
        <v>2400</v>
      </c>
      <c r="N1769">
        <v>0</v>
      </c>
    </row>
    <row r="1770" spans="1:14" x14ac:dyDescent="0.25">
      <c r="A1770">
        <v>1280.0000399999999</v>
      </c>
      <c r="B1770" s="1">
        <f>DATE(2013,11,1) + TIME(0,0,3)</f>
        <v>41579.000034722223</v>
      </c>
      <c r="C1770">
        <v>80</v>
      </c>
      <c r="D1770">
        <v>79.970535278</v>
      </c>
      <c r="E1770">
        <v>50</v>
      </c>
      <c r="F1770">
        <v>52.789833068999997</v>
      </c>
      <c r="G1770">
        <v>1339.6507568</v>
      </c>
      <c r="H1770">
        <v>1338.2369385</v>
      </c>
      <c r="I1770">
        <v>1326.3009033000001</v>
      </c>
      <c r="J1770">
        <v>1321.7305908000001</v>
      </c>
      <c r="K1770">
        <v>0</v>
      </c>
      <c r="L1770">
        <v>2400</v>
      </c>
      <c r="M1770">
        <v>2400</v>
      </c>
      <c r="N1770">
        <v>0</v>
      </c>
    </row>
    <row r="1771" spans="1:14" x14ac:dyDescent="0.25">
      <c r="A1771">
        <v>1280.000121</v>
      </c>
      <c r="B1771" s="1">
        <f>DATE(2013,11,1) + TIME(0,0,10)</f>
        <v>41579.000115740739</v>
      </c>
      <c r="C1771">
        <v>80</v>
      </c>
      <c r="D1771">
        <v>79.968727111999996</v>
      </c>
      <c r="E1771">
        <v>50</v>
      </c>
      <c r="F1771">
        <v>52.790847778</v>
      </c>
      <c r="G1771">
        <v>1339.0887451000001</v>
      </c>
      <c r="H1771">
        <v>1337.6746826000001</v>
      </c>
      <c r="I1771">
        <v>1326.9547118999999</v>
      </c>
      <c r="J1771">
        <v>1322.4835204999999</v>
      </c>
      <c r="K1771">
        <v>0</v>
      </c>
      <c r="L1771">
        <v>2400</v>
      </c>
      <c r="M1771">
        <v>2400</v>
      </c>
      <c r="N1771">
        <v>0</v>
      </c>
    </row>
    <row r="1772" spans="1:14" x14ac:dyDescent="0.25">
      <c r="A1772">
        <v>1280.000364</v>
      </c>
      <c r="B1772" s="1">
        <f>DATE(2013,11,1) + TIME(0,0,31)</f>
        <v>41579.000358796293</v>
      </c>
      <c r="C1772">
        <v>80</v>
      </c>
      <c r="D1772">
        <v>79.965408324999999</v>
      </c>
      <c r="E1772">
        <v>50</v>
      </c>
      <c r="F1772">
        <v>52.792575835999997</v>
      </c>
      <c r="G1772">
        <v>1338.0614014</v>
      </c>
      <c r="H1772">
        <v>1336.6469727000001</v>
      </c>
      <c r="I1772">
        <v>1328.3466797000001</v>
      </c>
      <c r="J1772">
        <v>1323.9932861</v>
      </c>
      <c r="K1772">
        <v>0</v>
      </c>
      <c r="L1772">
        <v>2400</v>
      </c>
      <c r="M1772">
        <v>2400</v>
      </c>
      <c r="N1772">
        <v>0</v>
      </c>
    </row>
    <row r="1773" spans="1:14" x14ac:dyDescent="0.25">
      <c r="A1773">
        <v>1280.0010930000001</v>
      </c>
      <c r="B1773" s="1">
        <f>DATE(2013,11,1) + TIME(0,1,34)</f>
        <v>41579.001087962963</v>
      </c>
      <c r="C1773">
        <v>80</v>
      </c>
      <c r="D1773">
        <v>79.960990906000006</v>
      </c>
      <c r="E1773">
        <v>50</v>
      </c>
      <c r="F1773">
        <v>52.793365479000002</v>
      </c>
      <c r="G1773">
        <v>1336.7038574000001</v>
      </c>
      <c r="H1773">
        <v>1335.2886963000001</v>
      </c>
      <c r="I1773">
        <v>1330.5275879000001</v>
      </c>
      <c r="J1773">
        <v>1326.2062988</v>
      </c>
      <c r="K1773">
        <v>0</v>
      </c>
      <c r="L1773">
        <v>2400</v>
      </c>
      <c r="M1773">
        <v>2400</v>
      </c>
      <c r="N1773">
        <v>0</v>
      </c>
    </row>
    <row r="1774" spans="1:14" x14ac:dyDescent="0.25">
      <c r="A1774">
        <v>1280.0032799999999</v>
      </c>
      <c r="B1774" s="1">
        <f>DATE(2013,11,1) + TIME(0,4,43)</f>
        <v>41579.003275462965</v>
      </c>
      <c r="C1774">
        <v>80</v>
      </c>
      <c r="D1774">
        <v>79.956138611</v>
      </c>
      <c r="E1774">
        <v>50</v>
      </c>
      <c r="F1774">
        <v>52.788578033</v>
      </c>
      <c r="G1774">
        <v>1335.2576904</v>
      </c>
      <c r="H1774">
        <v>1333.8393555</v>
      </c>
      <c r="I1774">
        <v>1333.097168</v>
      </c>
      <c r="J1774">
        <v>1328.7410889</v>
      </c>
      <c r="K1774">
        <v>0</v>
      </c>
      <c r="L1774">
        <v>2400</v>
      </c>
      <c r="M1774">
        <v>2400</v>
      </c>
      <c r="N1774">
        <v>0</v>
      </c>
    </row>
    <row r="1775" spans="1:14" x14ac:dyDescent="0.25">
      <c r="A1775">
        <v>1280.0098410000001</v>
      </c>
      <c r="B1775" s="1">
        <f>DATE(2013,11,1) + TIME(0,14,10)</f>
        <v>41579.009837962964</v>
      </c>
      <c r="C1775">
        <v>80</v>
      </c>
      <c r="D1775">
        <v>79.950767517000003</v>
      </c>
      <c r="E1775">
        <v>50</v>
      </c>
      <c r="F1775">
        <v>52.765628814999999</v>
      </c>
      <c r="G1775">
        <v>1333.7911377</v>
      </c>
      <c r="H1775">
        <v>1332.3570557</v>
      </c>
      <c r="I1775">
        <v>1335.7451172000001</v>
      </c>
      <c r="J1775">
        <v>1331.3564452999999</v>
      </c>
      <c r="K1775">
        <v>0</v>
      </c>
      <c r="L1775">
        <v>2400</v>
      </c>
      <c r="M1775">
        <v>2400</v>
      </c>
      <c r="N1775">
        <v>0</v>
      </c>
    </row>
    <row r="1776" spans="1:14" x14ac:dyDescent="0.25">
      <c r="A1776">
        <v>1280.029524</v>
      </c>
      <c r="B1776" s="1">
        <f>DATE(2013,11,1) + TIME(0,42,30)</f>
        <v>41579.029513888891</v>
      </c>
      <c r="C1776">
        <v>80</v>
      </c>
      <c r="D1776">
        <v>79.943840026999993</v>
      </c>
      <c r="E1776">
        <v>50</v>
      </c>
      <c r="F1776">
        <v>52.689617157000001</v>
      </c>
      <c r="G1776">
        <v>1332.2639160000001</v>
      </c>
      <c r="H1776">
        <v>1330.7740478999999</v>
      </c>
      <c r="I1776">
        <v>1338.4223632999999</v>
      </c>
      <c r="J1776">
        <v>1334.0029297000001</v>
      </c>
      <c r="K1776">
        <v>0</v>
      </c>
      <c r="L1776">
        <v>2400</v>
      </c>
      <c r="M1776">
        <v>2400</v>
      </c>
      <c r="N1776">
        <v>0</v>
      </c>
    </row>
    <row r="1777" spans="1:14" x14ac:dyDescent="0.25">
      <c r="A1777">
        <v>1280.077323</v>
      </c>
      <c r="B1777" s="1">
        <f>DATE(2013,11,1) + TIME(1,51,20)</f>
        <v>41579.077314814815</v>
      </c>
      <c r="C1777">
        <v>80</v>
      </c>
      <c r="D1777">
        <v>79.934249878000003</v>
      </c>
      <c r="E1777">
        <v>50</v>
      </c>
      <c r="F1777">
        <v>52.509994507000002</v>
      </c>
      <c r="G1777">
        <v>1330.831543</v>
      </c>
      <c r="H1777">
        <v>1329.2327881000001</v>
      </c>
      <c r="I1777">
        <v>1340.7907714999999</v>
      </c>
      <c r="J1777">
        <v>1336.3328856999999</v>
      </c>
      <c r="K1777">
        <v>0</v>
      </c>
      <c r="L1777">
        <v>2400</v>
      </c>
      <c r="M1777">
        <v>2400</v>
      </c>
      <c r="N1777">
        <v>0</v>
      </c>
    </row>
    <row r="1778" spans="1:14" x14ac:dyDescent="0.25">
      <c r="A1778">
        <v>1280.1276009999999</v>
      </c>
      <c r="B1778" s="1">
        <f>DATE(2013,11,1) + TIME(3,3,44)</f>
        <v>41579.127592592595</v>
      </c>
      <c r="C1778">
        <v>80</v>
      </c>
      <c r="D1778">
        <v>79.926223754999995</v>
      </c>
      <c r="E1778">
        <v>50</v>
      </c>
      <c r="F1778">
        <v>52.332057953000003</v>
      </c>
      <c r="G1778">
        <v>1330.0175781</v>
      </c>
      <c r="H1778">
        <v>1328.3366699000001</v>
      </c>
      <c r="I1778">
        <v>1342.0745850000001</v>
      </c>
      <c r="J1778">
        <v>1337.5875243999999</v>
      </c>
      <c r="K1778">
        <v>0</v>
      </c>
      <c r="L1778">
        <v>2400</v>
      </c>
      <c r="M1778">
        <v>2400</v>
      </c>
      <c r="N1778">
        <v>0</v>
      </c>
    </row>
    <row r="1779" spans="1:14" x14ac:dyDescent="0.25">
      <c r="A1779">
        <v>1280.180413</v>
      </c>
      <c r="B1779" s="1">
        <f>DATE(2013,11,1) + TIME(4,19,47)</f>
        <v>41579.180405092593</v>
      </c>
      <c r="C1779">
        <v>80</v>
      </c>
      <c r="D1779">
        <v>79.918731688999998</v>
      </c>
      <c r="E1779">
        <v>50</v>
      </c>
      <c r="F1779">
        <v>52.158027648999997</v>
      </c>
      <c r="G1779">
        <v>1329.4788818</v>
      </c>
      <c r="H1779">
        <v>1327.7388916</v>
      </c>
      <c r="I1779">
        <v>1342.887207</v>
      </c>
      <c r="J1779">
        <v>1338.3797606999999</v>
      </c>
      <c r="K1779">
        <v>0</v>
      </c>
      <c r="L1779">
        <v>2400</v>
      </c>
      <c r="M1779">
        <v>2400</v>
      </c>
      <c r="N1779">
        <v>0</v>
      </c>
    </row>
    <row r="1780" spans="1:14" x14ac:dyDescent="0.25">
      <c r="A1780">
        <v>1280.2358400000001</v>
      </c>
      <c r="B1780" s="1">
        <f>DATE(2013,11,1) + TIME(5,39,36)</f>
        <v>41579.235833333332</v>
      </c>
      <c r="C1780">
        <v>80</v>
      </c>
      <c r="D1780">
        <v>79.911407471000004</v>
      </c>
      <c r="E1780">
        <v>50</v>
      </c>
      <c r="F1780">
        <v>51.989151001000003</v>
      </c>
      <c r="G1780">
        <v>1329.0921631000001</v>
      </c>
      <c r="H1780">
        <v>1327.3101807</v>
      </c>
      <c r="I1780">
        <v>1343.4461670000001</v>
      </c>
      <c r="J1780">
        <v>1338.9243164</v>
      </c>
      <c r="K1780">
        <v>0</v>
      </c>
      <c r="L1780">
        <v>2400</v>
      </c>
      <c r="M1780">
        <v>2400</v>
      </c>
      <c r="N1780">
        <v>0</v>
      </c>
    </row>
    <row r="1781" spans="1:14" x14ac:dyDescent="0.25">
      <c r="A1781">
        <v>1280.2940289999999</v>
      </c>
      <c r="B1781" s="1">
        <f>DATE(2013,11,1) + TIME(7,3,24)</f>
        <v>41579.294027777774</v>
      </c>
      <c r="C1781">
        <v>80</v>
      </c>
      <c r="D1781">
        <v>79.904098511000001</v>
      </c>
      <c r="E1781">
        <v>50</v>
      </c>
      <c r="F1781">
        <v>51.826133728000002</v>
      </c>
      <c r="G1781">
        <v>1328.8001709</v>
      </c>
      <c r="H1781">
        <v>1326.9882812000001</v>
      </c>
      <c r="I1781">
        <v>1343.8500977000001</v>
      </c>
      <c r="J1781">
        <v>1339.3178711</v>
      </c>
      <c r="K1781">
        <v>0</v>
      </c>
      <c r="L1781">
        <v>2400</v>
      </c>
      <c r="M1781">
        <v>2400</v>
      </c>
      <c r="N1781">
        <v>0</v>
      </c>
    </row>
    <row r="1782" spans="1:14" x14ac:dyDescent="0.25">
      <c r="A1782">
        <v>1280.355176</v>
      </c>
      <c r="B1782" s="1">
        <f>DATE(2013,11,1) + TIME(8,31,27)</f>
        <v>41579.355173611111</v>
      </c>
      <c r="C1782">
        <v>80</v>
      </c>
      <c r="D1782">
        <v>79.896697997999993</v>
      </c>
      <c r="E1782">
        <v>50</v>
      </c>
      <c r="F1782">
        <v>51.669418335000003</v>
      </c>
      <c r="G1782">
        <v>1328.5723877</v>
      </c>
      <c r="H1782">
        <v>1326.7387695</v>
      </c>
      <c r="I1782">
        <v>1344.1512451000001</v>
      </c>
      <c r="J1782">
        <v>1339.6113281</v>
      </c>
      <c r="K1782">
        <v>0</v>
      </c>
      <c r="L1782">
        <v>2400</v>
      </c>
      <c r="M1782">
        <v>2400</v>
      </c>
      <c r="N1782">
        <v>0</v>
      </c>
    </row>
    <row r="1783" spans="1:14" x14ac:dyDescent="0.25">
      <c r="A1783">
        <v>1280.4195360000001</v>
      </c>
      <c r="B1783" s="1">
        <f>DATE(2013,11,1) + TIME(10,4,7)</f>
        <v>41579.419525462959</v>
      </c>
      <c r="C1783">
        <v>80</v>
      </c>
      <c r="D1783">
        <v>79.889137267999999</v>
      </c>
      <c r="E1783">
        <v>50</v>
      </c>
      <c r="F1783">
        <v>51.519256591999998</v>
      </c>
      <c r="G1783">
        <v>1328.3907471</v>
      </c>
      <c r="H1783">
        <v>1326.5412598</v>
      </c>
      <c r="I1783">
        <v>1344.3798827999999</v>
      </c>
      <c r="J1783">
        <v>1339.8343506000001</v>
      </c>
      <c r="K1783">
        <v>0</v>
      </c>
      <c r="L1783">
        <v>2400</v>
      </c>
      <c r="M1783">
        <v>2400</v>
      </c>
      <c r="N1783">
        <v>0</v>
      </c>
    </row>
    <row r="1784" spans="1:14" x14ac:dyDescent="0.25">
      <c r="A1784">
        <v>1280.487427</v>
      </c>
      <c r="B1784" s="1">
        <f>DATE(2013,11,1) + TIME(11,41,53)</f>
        <v>41579.48741898148</v>
      </c>
      <c r="C1784">
        <v>80</v>
      </c>
      <c r="D1784">
        <v>79.881370544000006</v>
      </c>
      <c r="E1784">
        <v>50</v>
      </c>
      <c r="F1784">
        <v>51.375797272</v>
      </c>
      <c r="G1784">
        <v>1328.2440185999999</v>
      </c>
      <c r="H1784">
        <v>1326.3825684000001</v>
      </c>
      <c r="I1784">
        <v>1344.5552978999999</v>
      </c>
      <c r="J1784">
        <v>1340.0056152</v>
      </c>
      <c r="K1784">
        <v>0</v>
      </c>
      <c r="L1784">
        <v>2400</v>
      </c>
      <c r="M1784">
        <v>2400</v>
      </c>
      <c r="N1784">
        <v>0</v>
      </c>
    </row>
    <row r="1785" spans="1:14" x14ac:dyDescent="0.25">
      <c r="A1785">
        <v>1280.559221</v>
      </c>
      <c r="B1785" s="1">
        <f>DATE(2013,11,1) + TIME(13,25,16)</f>
        <v>41579.559212962966</v>
      </c>
      <c r="C1785">
        <v>80</v>
      </c>
      <c r="D1785">
        <v>79.873344420999999</v>
      </c>
      <c r="E1785">
        <v>50</v>
      </c>
      <c r="F1785">
        <v>51.239143372000001</v>
      </c>
      <c r="G1785">
        <v>1328.1246338000001</v>
      </c>
      <c r="H1785">
        <v>1326.2537841999999</v>
      </c>
      <c r="I1785">
        <v>1344.6900635</v>
      </c>
      <c r="J1785">
        <v>1340.137207</v>
      </c>
      <c r="K1785">
        <v>0</v>
      </c>
      <c r="L1785">
        <v>2400</v>
      </c>
      <c r="M1785">
        <v>2400</v>
      </c>
      <c r="N1785">
        <v>0</v>
      </c>
    </row>
    <row r="1786" spans="1:14" x14ac:dyDescent="0.25">
      <c r="A1786">
        <v>1280.6353650000001</v>
      </c>
      <c r="B1786" s="1">
        <f>DATE(2013,11,1) + TIME(15,14,55)</f>
        <v>41579.635358796295</v>
      </c>
      <c r="C1786">
        <v>80</v>
      </c>
      <c r="D1786">
        <v>79.865013122999997</v>
      </c>
      <c r="E1786">
        <v>50</v>
      </c>
      <c r="F1786">
        <v>51.109367370999998</v>
      </c>
      <c r="G1786">
        <v>1328.0269774999999</v>
      </c>
      <c r="H1786">
        <v>1326.1490478999999</v>
      </c>
      <c r="I1786">
        <v>1344.7929687999999</v>
      </c>
      <c r="J1786">
        <v>1340.2380370999999</v>
      </c>
      <c r="K1786">
        <v>0</v>
      </c>
      <c r="L1786">
        <v>2400</v>
      </c>
      <c r="M1786">
        <v>2400</v>
      </c>
      <c r="N1786">
        <v>0</v>
      </c>
    </row>
    <row r="1787" spans="1:14" x14ac:dyDescent="0.25">
      <c r="A1787">
        <v>1280.7163869999999</v>
      </c>
      <c r="B1787" s="1">
        <f>DATE(2013,11,1) + TIME(17,11,35)</f>
        <v>41579.716377314813</v>
      </c>
      <c r="C1787">
        <v>80</v>
      </c>
      <c r="D1787">
        <v>79.856323242000002</v>
      </c>
      <c r="E1787">
        <v>50</v>
      </c>
      <c r="F1787">
        <v>50.986518859999997</v>
      </c>
      <c r="G1787">
        <v>1327.9471435999999</v>
      </c>
      <c r="H1787">
        <v>1326.0635986</v>
      </c>
      <c r="I1787">
        <v>1344.8702393000001</v>
      </c>
      <c r="J1787">
        <v>1340.3140868999999</v>
      </c>
      <c r="K1787">
        <v>0</v>
      </c>
      <c r="L1787">
        <v>2400</v>
      </c>
      <c r="M1787">
        <v>2400</v>
      </c>
      <c r="N1787">
        <v>0</v>
      </c>
    </row>
    <row r="1788" spans="1:14" x14ac:dyDescent="0.25">
      <c r="A1788">
        <v>1280.8029220000001</v>
      </c>
      <c r="B1788" s="1">
        <f>DATE(2013,11,1) + TIME(19,16,12)</f>
        <v>41579.802916666667</v>
      </c>
      <c r="C1788">
        <v>80</v>
      </c>
      <c r="D1788">
        <v>79.847213745000005</v>
      </c>
      <c r="E1788">
        <v>50</v>
      </c>
      <c r="F1788">
        <v>50.870643616000002</v>
      </c>
      <c r="G1788">
        <v>1327.8822021000001</v>
      </c>
      <c r="H1788">
        <v>1325.9940185999999</v>
      </c>
      <c r="I1788">
        <v>1344.9268798999999</v>
      </c>
      <c r="J1788">
        <v>1340.3703613</v>
      </c>
      <c r="K1788">
        <v>0</v>
      </c>
      <c r="L1788">
        <v>2400</v>
      </c>
      <c r="M1788">
        <v>2400</v>
      </c>
      <c r="N1788">
        <v>0</v>
      </c>
    </row>
    <row r="1789" spans="1:14" x14ac:dyDescent="0.25">
      <c r="A1789">
        <v>1280.8957399999999</v>
      </c>
      <c r="B1789" s="1">
        <f>DATE(2013,11,1) + TIME(21,29,51)</f>
        <v>41579.895729166667</v>
      </c>
      <c r="C1789">
        <v>80</v>
      </c>
      <c r="D1789">
        <v>79.837623596</v>
      </c>
      <c r="E1789">
        <v>50</v>
      </c>
      <c r="F1789">
        <v>50.761768341</v>
      </c>
      <c r="G1789">
        <v>1327.8293457</v>
      </c>
      <c r="H1789">
        <v>1325.9376221</v>
      </c>
      <c r="I1789">
        <v>1344.9667969</v>
      </c>
      <c r="J1789">
        <v>1340.4105225000001</v>
      </c>
      <c r="K1789">
        <v>0</v>
      </c>
      <c r="L1789">
        <v>2400</v>
      </c>
      <c r="M1789">
        <v>2400</v>
      </c>
      <c r="N1789">
        <v>0</v>
      </c>
    </row>
    <row r="1790" spans="1:14" x14ac:dyDescent="0.25">
      <c r="A1790">
        <v>1280.9957770000001</v>
      </c>
      <c r="B1790" s="1">
        <f>DATE(2013,11,1) + TIME(23,53,55)</f>
        <v>41579.995775462965</v>
      </c>
      <c r="C1790">
        <v>80</v>
      </c>
      <c r="D1790">
        <v>79.827468871999997</v>
      </c>
      <c r="E1790">
        <v>50</v>
      </c>
      <c r="F1790">
        <v>50.659931182999998</v>
      </c>
      <c r="G1790">
        <v>1327.7866211</v>
      </c>
      <c r="H1790">
        <v>1325.8922118999999</v>
      </c>
      <c r="I1790">
        <v>1344.9927978999999</v>
      </c>
      <c r="J1790">
        <v>1340.4376221</v>
      </c>
      <c r="K1790">
        <v>0</v>
      </c>
      <c r="L1790">
        <v>2400</v>
      </c>
      <c r="M1790">
        <v>2400</v>
      </c>
      <c r="N1790">
        <v>0</v>
      </c>
    </row>
    <row r="1791" spans="1:14" x14ac:dyDescent="0.25">
      <c r="A1791">
        <v>1281.104196</v>
      </c>
      <c r="B1791" s="1">
        <f>DATE(2013,11,2) + TIME(2,30,2)</f>
        <v>41580.104189814818</v>
      </c>
      <c r="C1791">
        <v>80</v>
      </c>
      <c r="D1791">
        <v>79.816665649000001</v>
      </c>
      <c r="E1791">
        <v>50</v>
      </c>
      <c r="F1791">
        <v>50.565155029000003</v>
      </c>
      <c r="G1791">
        <v>1327.7523193</v>
      </c>
      <c r="H1791">
        <v>1325.8557129000001</v>
      </c>
      <c r="I1791">
        <v>1345.0076904</v>
      </c>
      <c r="J1791">
        <v>1340.4542236</v>
      </c>
      <c r="K1791">
        <v>0</v>
      </c>
      <c r="L1791">
        <v>2400</v>
      </c>
      <c r="M1791">
        <v>2400</v>
      </c>
      <c r="N1791">
        <v>0</v>
      </c>
    </row>
    <row r="1792" spans="1:14" x14ac:dyDescent="0.25">
      <c r="A1792">
        <v>1281.222456</v>
      </c>
      <c r="B1792" s="1">
        <f>DATE(2013,11,2) + TIME(5,20,20)</f>
        <v>41580.222453703704</v>
      </c>
      <c r="C1792">
        <v>80</v>
      </c>
      <c r="D1792">
        <v>79.805091857999997</v>
      </c>
      <c r="E1792">
        <v>50</v>
      </c>
      <c r="F1792">
        <v>50.477470398000001</v>
      </c>
      <c r="G1792">
        <v>1327.7249756000001</v>
      </c>
      <c r="H1792">
        <v>1325.8264160000001</v>
      </c>
      <c r="I1792">
        <v>1345.0135498</v>
      </c>
      <c r="J1792">
        <v>1340.4624022999999</v>
      </c>
      <c r="K1792">
        <v>0</v>
      </c>
      <c r="L1792">
        <v>2400</v>
      </c>
      <c r="M1792">
        <v>2400</v>
      </c>
      <c r="N1792">
        <v>0</v>
      </c>
    </row>
    <row r="1793" spans="1:14" x14ac:dyDescent="0.25">
      <c r="A1793">
        <v>1281.352396</v>
      </c>
      <c r="B1793" s="1">
        <f>DATE(2013,11,2) + TIME(8,27,27)</f>
        <v>41580.352395833332</v>
      </c>
      <c r="C1793">
        <v>80</v>
      </c>
      <c r="D1793">
        <v>79.792610167999996</v>
      </c>
      <c r="E1793">
        <v>50</v>
      </c>
      <c r="F1793">
        <v>50.396919250000003</v>
      </c>
      <c r="G1793">
        <v>1327.703125</v>
      </c>
      <c r="H1793">
        <v>1325.8032227000001</v>
      </c>
      <c r="I1793">
        <v>1345.0123291</v>
      </c>
      <c r="J1793">
        <v>1340.4638672000001</v>
      </c>
      <c r="K1793">
        <v>0</v>
      </c>
      <c r="L1793">
        <v>2400</v>
      </c>
      <c r="M1793">
        <v>2400</v>
      </c>
      <c r="N1793">
        <v>0</v>
      </c>
    </row>
    <row r="1794" spans="1:14" x14ac:dyDescent="0.25">
      <c r="A1794">
        <v>1281.4964660000001</v>
      </c>
      <c r="B1794" s="1">
        <f>DATE(2013,11,2) + TIME(11,54,54)</f>
        <v>41580.496458333335</v>
      </c>
      <c r="C1794">
        <v>80</v>
      </c>
      <c r="D1794">
        <v>79.779037475999999</v>
      </c>
      <c r="E1794">
        <v>50</v>
      </c>
      <c r="F1794">
        <v>50.323516845999997</v>
      </c>
      <c r="G1794">
        <v>1327.6856689000001</v>
      </c>
      <c r="H1794">
        <v>1325.7845459</v>
      </c>
      <c r="I1794">
        <v>1345.0053711</v>
      </c>
      <c r="J1794">
        <v>1340.4603271000001</v>
      </c>
      <c r="K1794">
        <v>0</v>
      </c>
      <c r="L1794">
        <v>2400</v>
      </c>
      <c r="M1794">
        <v>2400</v>
      </c>
      <c r="N1794">
        <v>0</v>
      </c>
    </row>
    <row r="1795" spans="1:14" x14ac:dyDescent="0.25">
      <c r="A1795">
        <v>1281.657919</v>
      </c>
      <c r="B1795" s="1">
        <f>DATE(2013,11,2) + TIME(15,47,24)</f>
        <v>41580.657916666663</v>
      </c>
      <c r="C1795">
        <v>80</v>
      </c>
      <c r="D1795">
        <v>79.764144896999994</v>
      </c>
      <c r="E1795">
        <v>50</v>
      </c>
      <c r="F1795">
        <v>50.257289886000002</v>
      </c>
      <c r="G1795">
        <v>1327.6717529</v>
      </c>
      <c r="H1795">
        <v>1325.7696533000001</v>
      </c>
      <c r="I1795">
        <v>1344.9940185999999</v>
      </c>
      <c r="J1795">
        <v>1340.4530029</v>
      </c>
      <c r="K1795">
        <v>0</v>
      </c>
      <c r="L1795">
        <v>2400</v>
      </c>
      <c r="M1795">
        <v>2400</v>
      </c>
      <c r="N1795">
        <v>0</v>
      </c>
    </row>
    <row r="1796" spans="1:14" x14ac:dyDescent="0.25">
      <c r="A1796">
        <v>1281.841216</v>
      </c>
      <c r="B1796" s="1">
        <f>DATE(2013,11,2) + TIME(20,11,21)</f>
        <v>41580.841215277775</v>
      </c>
      <c r="C1796">
        <v>80</v>
      </c>
      <c r="D1796">
        <v>79.747604370000005</v>
      </c>
      <c r="E1796">
        <v>50</v>
      </c>
      <c r="F1796">
        <v>50.198265075999998</v>
      </c>
      <c r="G1796">
        <v>1327.6602783000001</v>
      </c>
      <c r="H1796">
        <v>1325.7573242000001</v>
      </c>
      <c r="I1796">
        <v>1344.9793701000001</v>
      </c>
      <c r="J1796">
        <v>1340.442749</v>
      </c>
      <c r="K1796">
        <v>0</v>
      </c>
      <c r="L1796">
        <v>2400</v>
      </c>
      <c r="M1796">
        <v>2400</v>
      </c>
      <c r="N1796">
        <v>0</v>
      </c>
    </row>
    <row r="1797" spans="1:14" x14ac:dyDescent="0.25">
      <c r="A1797">
        <v>1282.0526910000001</v>
      </c>
      <c r="B1797" s="1">
        <f>DATE(2013,11,3) + TIME(1,15,52)</f>
        <v>41581.052685185183</v>
      </c>
      <c r="C1797">
        <v>80</v>
      </c>
      <c r="D1797">
        <v>79.728988646999994</v>
      </c>
      <c r="E1797">
        <v>50</v>
      </c>
      <c r="F1797">
        <v>50.146476745999998</v>
      </c>
      <c r="G1797">
        <v>1327.6506348</v>
      </c>
      <c r="H1797">
        <v>1325.7468262</v>
      </c>
      <c r="I1797">
        <v>1344.9622803</v>
      </c>
      <c r="J1797">
        <v>1340.4304199000001</v>
      </c>
      <c r="K1797">
        <v>0</v>
      </c>
      <c r="L1797">
        <v>2400</v>
      </c>
      <c r="M1797">
        <v>2400</v>
      </c>
      <c r="N1797">
        <v>0</v>
      </c>
    </row>
    <row r="1798" spans="1:14" x14ac:dyDescent="0.25">
      <c r="A1798">
        <v>1282.2735339999999</v>
      </c>
      <c r="B1798" s="1">
        <f>DATE(2013,11,3) + TIME(6,33,53)</f>
        <v>41581.273530092592</v>
      </c>
      <c r="C1798">
        <v>80</v>
      </c>
      <c r="D1798">
        <v>79.709663391000007</v>
      </c>
      <c r="E1798">
        <v>50</v>
      </c>
      <c r="F1798">
        <v>50.105739593999999</v>
      </c>
      <c r="G1798">
        <v>1327.6425781</v>
      </c>
      <c r="H1798">
        <v>1325.737793</v>
      </c>
      <c r="I1798">
        <v>1344.9455565999999</v>
      </c>
      <c r="J1798">
        <v>1340.418457</v>
      </c>
      <c r="K1798">
        <v>0</v>
      </c>
      <c r="L1798">
        <v>2400</v>
      </c>
      <c r="M1798">
        <v>2400</v>
      </c>
      <c r="N1798">
        <v>0</v>
      </c>
    </row>
    <row r="1799" spans="1:14" x14ac:dyDescent="0.25">
      <c r="A1799">
        <v>1282.497284</v>
      </c>
      <c r="B1799" s="1">
        <f>DATE(2013,11,3) + TIME(11,56,5)</f>
        <v>41581.49728009259</v>
      </c>
      <c r="C1799">
        <v>80</v>
      </c>
      <c r="D1799">
        <v>79.690101623999993</v>
      </c>
      <c r="E1799">
        <v>50</v>
      </c>
      <c r="F1799">
        <v>50.074726105000003</v>
      </c>
      <c r="G1799">
        <v>1327.6357422000001</v>
      </c>
      <c r="H1799">
        <v>1325.7299805</v>
      </c>
      <c r="I1799">
        <v>1344.9294434000001</v>
      </c>
      <c r="J1799">
        <v>1340.4069824000001</v>
      </c>
      <c r="K1799">
        <v>0</v>
      </c>
      <c r="L1799">
        <v>2400</v>
      </c>
      <c r="M1799">
        <v>2400</v>
      </c>
      <c r="N1799">
        <v>0</v>
      </c>
    </row>
    <row r="1800" spans="1:14" x14ac:dyDescent="0.25">
      <c r="A1800">
        <v>1282.7262310000001</v>
      </c>
      <c r="B1800" s="1">
        <f>DATE(2013,11,3) + TIME(17,25,46)</f>
        <v>41581.726226851853</v>
      </c>
      <c r="C1800">
        <v>80</v>
      </c>
      <c r="D1800">
        <v>79.670150757000002</v>
      </c>
      <c r="E1800">
        <v>50</v>
      </c>
      <c r="F1800">
        <v>50.050998688</v>
      </c>
      <c r="G1800">
        <v>1327.6295166</v>
      </c>
      <c r="H1800">
        <v>1325.7229004000001</v>
      </c>
      <c r="I1800">
        <v>1344.9141846</v>
      </c>
      <c r="J1800">
        <v>1340.3962402</v>
      </c>
      <c r="K1800">
        <v>0</v>
      </c>
      <c r="L1800">
        <v>2400</v>
      </c>
      <c r="M1800">
        <v>2400</v>
      </c>
      <c r="N1800">
        <v>0</v>
      </c>
    </row>
    <row r="1801" spans="1:14" x14ac:dyDescent="0.25">
      <c r="A1801">
        <v>1282.9619849999999</v>
      </c>
      <c r="B1801" s="1">
        <f>DATE(2013,11,3) + TIME(23,5,15)</f>
        <v>41581.96197916667</v>
      </c>
      <c r="C1801">
        <v>80</v>
      </c>
      <c r="D1801">
        <v>79.649703978999995</v>
      </c>
      <c r="E1801">
        <v>50</v>
      </c>
      <c r="F1801">
        <v>50.032852173000002</v>
      </c>
      <c r="G1801">
        <v>1327.6236572</v>
      </c>
      <c r="H1801">
        <v>1325.7160644999999</v>
      </c>
      <c r="I1801">
        <v>1344.8995361</v>
      </c>
      <c r="J1801">
        <v>1340.3859863</v>
      </c>
      <c r="K1801">
        <v>0</v>
      </c>
      <c r="L1801">
        <v>2400</v>
      </c>
      <c r="M1801">
        <v>2400</v>
      </c>
      <c r="N1801">
        <v>0</v>
      </c>
    </row>
    <row r="1802" spans="1:14" x14ac:dyDescent="0.25">
      <c r="A1802">
        <v>1283.206263</v>
      </c>
      <c r="B1802" s="1">
        <f>DATE(2013,11,4) + TIME(4,57,1)</f>
        <v>41582.206261574072</v>
      </c>
      <c r="C1802">
        <v>80</v>
      </c>
      <c r="D1802">
        <v>79.628654479999994</v>
      </c>
      <c r="E1802">
        <v>50</v>
      </c>
      <c r="F1802">
        <v>50.019004821999999</v>
      </c>
      <c r="G1802">
        <v>1327.6180420000001</v>
      </c>
      <c r="H1802">
        <v>1325.7093506000001</v>
      </c>
      <c r="I1802">
        <v>1344.8854980000001</v>
      </c>
      <c r="J1802">
        <v>1340.3763428</v>
      </c>
      <c r="K1802">
        <v>0</v>
      </c>
      <c r="L1802">
        <v>2400</v>
      </c>
      <c r="M1802">
        <v>2400</v>
      </c>
      <c r="N1802">
        <v>0</v>
      </c>
    </row>
    <row r="1803" spans="1:14" x14ac:dyDescent="0.25">
      <c r="A1803">
        <v>1283.46092</v>
      </c>
      <c r="B1803" s="1">
        <f>DATE(2013,11,4) + TIME(11,3,43)</f>
        <v>41582.460914351854</v>
      </c>
      <c r="C1803">
        <v>80</v>
      </c>
      <c r="D1803">
        <v>79.606880188000005</v>
      </c>
      <c r="E1803">
        <v>50</v>
      </c>
      <c r="F1803">
        <v>50.008480071999998</v>
      </c>
      <c r="G1803">
        <v>1327.6124268000001</v>
      </c>
      <c r="H1803">
        <v>1325.7026367000001</v>
      </c>
      <c r="I1803">
        <v>1344.8720702999999</v>
      </c>
      <c r="J1803">
        <v>1340.3670654</v>
      </c>
      <c r="K1803">
        <v>0</v>
      </c>
      <c r="L1803">
        <v>2400</v>
      </c>
      <c r="M1803">
        <v>2400</v>
      </c>
      <c r="N1803">
        <v>0</v>
      </c>
    </row>
    <row r="1804" spans="1:14" x14ac:dyDescent="0.25">
      <c r="A1804">
        <v>1283.728036</v>
      </c>
      <c r="B1804" s="1">
        <f>DATE(2013,11,4) + TIME(17,28,22)</f>
        <v>41582.728032407409</v>
      </c>
      <c r="C1804">
        <v>80</v>
      </c>
      <c r="D1804">
        <v>79.584243774000001</v>
      </c>
      <c r="E1804">
        <v>50</v>
      </c>
      <c r="F1804">
        <v>50.000526428000001</v>
      </c>
      <c r="G1804">
        <v>1327.6066894999999</v>
      </c>
      <c r="H1804">
        <v>1325.6956786999999</v>
      </c>
      <c r="I1804">
        <v>1344.8590088000001</v>
      </c>
      <c r="J1804">
        <v>1340.3581543</v>
      </c>
      <c r="K1804">
        <v>0</v>
      </c>
      <c r="L1804">
        <v>2400</v>
      </c>
      <c r="M1804">
        <v>2400</v>
      </c>
      <c r="N1804">
        <v>0</v>
      </c>
    </row>
    <row r="1805" spans="1:14" x14ac:dyDescent="0.25">
      <c r="A1805">
        <v>1284.0100190000001</v>
      </c>
      <c r="B1805" s="1">
        <f>DATE(2013,11,5) + TIME(0,14,25)</f>
        <v>41583.010011574072</v>
      </c>
      <c r="C1805">
        <v>80</v>
      </c>
      <c r="D1805">
        <v>79.560569763000004</v>
      </c>
      <c r="E1805">
        <v>50</v>
      </c>
      <c r="F1805">
        <v>49.994564056000002</v>
      </c>
      <c r="G1805">
        <v>1327.6007079999999</v>
      </c>
      <c r="H1805">
        <v>1325.6883545000001</v>
      </c>
      <c r="I1805">
        <v>1344.8464355000001</v>
      </c>
      <c r="J1805">
        <v>1340.3496094</v>
      </c>
      <c r="K1805">
        <v>0</v>
      </c>
      <c r="L1805">
        <v>2400</v>
      </c>
      <c r="M1805">
        <v>2400</v>
      </c>
      <c r="N1805">
        <v>0</v>
      </c>
    </row>
    <row r="1806" spans="1:14" x14ac:dyDescent="0.25">
      <c r="A1806">
        <v>1284.309724</v>
      </c>
      <c r="B1806" s="1">
        <f>DATE(2013,11,5) + TIME(7,26,0)</f>
        <v>41583.30972222222</v>
      </c>
      <c r="C1806">
        <v>80</v>
      </c>
      <c r="D1806">
        <v>79.535690308</v>
      </c>
      <c r="E1806">
        <v>50</v>
      </c>
      <c r="F1806">
        <v>49.990131378000001</v>
      </c>
      <c r="G1806">
        <v>1327.5944824000001</v>
      </c>
      <c r="H1806">
        <v>1325.6807861</v>
      </c>
      <c r="I1806">
        <v>1344.8339844</v>
      </c>
      <c r="J1806">
        <v>1340.3410644999999</v>
      </c>
      <c r="K1806">
        <v>0</v>
      </c>
      <c r="L1806">
        <v>2400</v>
      </c>
      <c r="M1806">
        <v>2400</v>
      </c>
      <c r="N1806">
        <v>0</v>
      </c>
    </row>
    <row r="1807" spans="1:14" x14ac:dyDescent="0.25">
      <c r="A1807">
        <v>1284.630623</v>
      </c>
      <c r="B1807" s="1">
        <f>DATE(2013,11,5) + TIME(15,8,5)</f>
        <v>41583.630613425928</v>
      </c>
      <c r="C1807">
        <v>80</v>
      </c>
      <c r="D1807">
        <v>79.509361267000003</v>
      </c>
      <c r="E1807">
        <v>50</v>
      </c>
      <c r="F1807">
        <v>49.986881255999997</v>
      </c>
      <c r="G1807">
        <v>1327.5877685999999</v>
      </c>
      <c r="H1807">
        <v>1325.6726074000001</v>
      </c>
      <c r="I1807">
        <v>1344.8216553</v>
      </c>
      <c r="J1807">
        <v>1340.3327637</v>
      </c>
      <c r="K1807">
        <v>0</v>
      </c>
      <c r="L1807">
        <v>2400</v>
      </c>
      <c r="M1807">
        <v>2400</v>
      </c>
      <c r="N1807">
        <v>0</v>
      </c>
    </row>
    <row r="1808" spans="1:14" x14ac:dyDescent="0.25">
      <c r="A1808">
        <v>1284.9701239999999</v>
      </c>
      <c r="B1808" s="1">
        <f>DATE(2013,11,5) + TIME(23,16,58)</f>
        <v>41583.97011574074</v>
      </c>
      <c r="C1808">
        <v>80</v>
      </c>
      <c r="D1808">
        <v>79.481742858999993</v>
      </c>
      <c r="E1808">
        <v>50</v>
      </c>
      <c r="F1808">
        <v>49.984558104999998</v>
      </c>
      <c r="G1808">
        <v>1327.5806885</v>
      </c>
      <c r="H1808">
        <v>1325.6638184000001</v>
      </c>
      <c r="I1808">
        <v>1344.8093262</v>
      </c>
      <c r="J1808">
        <v>1340.3244629000001</v>
      </c>
      <c r="K1808">
        <v>0</v>
      </c>
      <c r="L1808">
        <v>2400</v>
      </c>
      <c r="M1808">
        <v>2400</v>
      </c>
      <c r="N1808">
        <v>0</v>
      </c>
    </row>
    <row r="1809" spans="1:14" x14ac:dyDescent="0.25">
      <c r="A1809">
        <v>1285.331745</v>
      </c>
      <c r="B1809" s="1">
        <f>DATE(2013,11,6) + TIME(7,57,42)</f>
        <v>41584.331736111111</v>
      </c>
      <c r="C1809">
        <v>80</v>
      </c>
      <c r="D1809">
        <v>79.452613830999994</v>
      </c>
      <c r="E1809">
        <v>50</v>
      </c>
      <c r="F1809">
        <v>49.982921599999997</v>
      </c>
      <c r="G1809">
        <v>1327.5731201000001</v>
      </c>
      <c r="H1809">
        <v>1325.6544189000001</v>
      </c>
      <c r="I1809">
        <v>1344.7971190999999</v>
      </c>
      <c r="J1809">
        <v>1340.3162841999999</v>
      </c>
      <c r="K1809">
        <v>0</v>
      </c>
      <c r="L1809">
        <v>2400</v>
      </c>
      <c r="M1809">
        <v>2400</v>
      </c>
      <c r="N1809">
        <v>0</v>
      </c>
    </row>
    <row r="1810" spans="1:14" x14ac:dyDescent="0.25">
      <c r="A1810">
        <v>1285.7073290000001</v>
      </c>
      <c r="B1810" s="1">
        <f>DATE(2013,11,6) + TIME(16,58,33)</f>
        <v>41584.707326388889</v>
      </c>
      <c r="C1810">
        <v>80</v>
      </c>
      <c r="D1810">
        <v>79.422439574999999</v>
      </c>
      <c r="E1810">
        <v>50</v>
      </c>
      <c r="F1810">
        <v>49.981800079000003</v>
      </c>
      <c r="G1810">
        <v>1327.5650635</v>
      </c>
      <c r="H1810">
        <v>1325.6442870999999</v>
      </c>
      <c r="I1810">
        <v>1344.7850341999999</v>
      </c>
      <c r="J1810">
        <v>1340.3079834</v>
      </c>
      <c r="K1810">
        <v>0</v>
      </c>
      <c r="L1810">
        <v>2400</v>
      </c>
      <c r="M1810">
        <v>2400</v>
      </c>
      <c r="N1810">
        <v>0</v>
      </c>
    </row>
    <row r="1811" spans="1:14" x14ac:dyDescent="0.25">
      <c r="A1811">
        <v>1286.0934990000001</v>
      </c>
      <c r="B1811" s="1">
        <f>DATE(2013,11,7) + TIME(2,14,38)</f>
        <v>41585.093495370369</v>
      </c>
      <c r="C1811">
        <v>80</v>
      </c>
      <c r="D1811">
        <v>79.391448975000003</v>
      </c>
      <c r="E1811">
        <v>50</v>
      </c>
      <c r="F1811">
        <v>49.981044769</v>
      </c>
      <c r="G1811">
        <v>1327.5566406</v>
      </c>
      <c r="H1811">
        <v>1325.6336670000001</v>
      </c>
      <c r="I1811">
        <v>1344.7733154</v>
      </c>
      <c r="J1811">
        <v>1340.2999268000001</v>
      </c>
      <c r="K1811">
        <v>0</v>
      </c>
      <c r="L1811">
        <v>2400</v>
      </c>
      <c r="M1811">
        <v>2400</v>
      </c>
      <c r="N1811">
        <v>0</v>
      </c>
    </row>
    <row r="1812" spans="1:14" x14ac:dyDescent="0.25">
      <c r="A1812">
        <v>1286.4911320000001</v>
      </c>
      <c r="B1812" s="1">
        <f>DATE(2013,11,7) + TIME(11,47,13)</f>
        <v>41585.491122685184</v>
      </c>
      <c r="C1812">
        <v>80</v>
      </c>
      <c r="D1812">
        <v>79.359642029</v>
      </c>
      <c r="E1812">
        <v>50</v>
      </c>
      <c r="F1812">
        <v>49.980541229000004</v>
      </c>
      <c r="G1812">
        <v>1327.5478516000001</v>
      </c>
      <c r="H1812">
        <v>1325.6226807</v>
      </c>
      <c r="I1812">
        <v>1344.7618408000001</v>
      </c>
      <c r="J1812">
        <v>1340.2921143000001</v>
      </c>
      <c r="K1812">
        <v>0</v>
      </c>
      <c r="L1812">
        <v>2400</v>
      </c>
      <c r="M1812">
        <v>2400</v>
      </c>
      <c r="N1812">
        <v>0</v>
      </c>
    </row>
    <row r="1813" spans="1:14" x14ac:dyDescent="0.25">
      <c r="A1813">
        <v>1286.9010599999999</v>
      </c>
      <c r="B1813" s="1">
        <f>DATE(2013,11,7) + TIME(21,37,31)</f>
        <v>41585.901053240741</v>
      </c>
      <c r="C1813">
        <v>80</v>
      </c>
      <c r="D1813">
        <v>79.326995850000003</v>
      </c>
      <c r="E1813">
        <v>50</v>
      </c>
      <c r="F1813">
        <v>49.980201721</v>
      </c>
      <c r="G1813">
        <v>1327.5385742000001</v>
      </c>
      <c r="H1813">
        <v>1325.6110839999999</v>
      </c>
      <c r="I1813">
        <v>1344.7507324000001</v>
      </c>
      <c r="J1813">
        <v>1340.2844238</v>
      </c>
      <c r="K1813">
        <v>0</v>
      </c>
      <c r="L1813">
        <v>2400</v>
      </c>
      <c r="M1813">
        <v>2400</v>
      </c>
      <c r="N1813">
        <v>0</v>
      </c>
    </row>
    <row r="1814" spans="1:14" x14ac:dyDescent="0.25">
      <c r="A1814">
        <v>1287.322598</v>
      </c>
      <c r="B1814" s="1">
        <f>DATE(2013,11,8) + TIME(7,44,32)</f>
        <v>41586.322592592594</v>
      </c>
      <c r="C1814">
        <v>80</v>
      </c>
      <c r="D1814">
        <v>79.293579101999995</v>
      </c>
      <c r="E1814">
        <v>50</v>
      </c>
      <c r="F1814">
        <v>49.979972838999998</v>
      </c>
      <c r="G1814">
        <v>1327.5290527</v>
      </c>
      <c r="H1814">
        <v>1325.598999</v>
      </c>
      <c r="I1814">
        <v>1344.7398682</v>
      </c>
      <c r="J1814">
        <v>1340.2768555</v>
      </c>
      <c r="K1814">
        <v>0</v>
      </c>
      <c r="L1814">
        <v>2400</v>
      </c>
      <c r="M1814">
        <v>2400</v>
      </c>
      <c r="N1814">
        <v>0</v>
      </c>
    </row>
    <row r="1815" spans="1:14" x14ac:dyDescent="0.25">
      <c r="A1815">
        <v>1287.7518950000001</v>
      </c>
      <c r="B1815" s="1">
        <f>DATE(2013,11,8) + TIME(18,2,43)</f>
        <v>41586.751886574071</v>
      </c>
      <c r="C1815">
        <v>80</v>
      </c>
      <c r="D1815">
        <v>79.259635924999998</v>
      </c>
      <c r="E1815">
        <v>50</v>
      </c>
      <c r="F1815">
        <v>49.979824065999999</v>
      </c>
      <c r="G1815">
        <v>1327.5191649999999</v>
      </c>
      <c r="H1815">
        <v>1325.5864257999999</v>
      </c>
      <c r="I1815">
        <v>1344.7292480000001</v>
      </c>
      <c r="J1815">
        <v>1340.2695312000001</v>
      </c>
      <c r="K1815">
        <v>0</v>
      </c>
      <c r="L1815">
        <v>2400</v>
      </c>
      <c r="M1815">
        <v>2400</v>
      </c>
      <c r="N1815">
        <v>0</v>
      </c>
    </row>
    <row r="1816" spans="1:14" x14ac:dyDescent="0.25">
      <c r="A1816">
        <v>1288.189924</v>
      </c>
      <c r="B1816" s="1">
        <f>DATE(2013,11,9) + TIME(4,33,29)</f>
        <v>41587.189918981479</v>
      </c>
      <c r="C1816">
        <v>80</v>
      </c>
      <c r="D1816">
        <v>79.225151061999995</v>
      </c>
      <c r="E1816">
        <v>50</v>
      </c>
      <c r="F1816">
        <v>49.979721069</v>
      </c>
      <c r="G1816">
        <v>1327.5089111</v>
      </c>
      <c r="H1816">
        <v>1325.5733643000001</v>
      </c>
      <c r="I1816">
        <v>1344.7189940999999</v>
      </c>
      <c r="J1816">
        <v>1340.2623291</v>
      </c>
      <c r="K1816">
        <v>0</v>
      </c>
      <c r="L1816">
        <v>2400</v>
      </c>
      <c r="M1816">
        <v>2400</v>
      </c>
      <c r="N1816">
        <v>0</v>
      </c>
    </row>
    <row r="1817" spans="1:14" x14ac:dyDescent="0.25">
      <c r="A1817">
        <v>1288.6377319999999</v>
      </c>
      <c r="B1817" s="1">
        <f>DATE(2013,11,9) + TIME(15,18,20)</f>
        <v>41587.637731481482</v>
      </c>
      <c r="C1817">
        <v>80</v>
      </c>
      <c r="D1817">
        <v>79.190101623999993</v>
      </c>
      <c r="E1817">
        <v>50</v>
      </c>
      <c r="F1817">
        <v>49.979652405000003</v>
      </c>
      <c r="G1817">
        <v>1327.4984131000001</v>
      </c>
      <c r="H1817">
        <v>1325.5599365</v>
      </c>
      <c r="I1817">
        <v>1344.7091064000001</v>
      </c>
      <c r="J1817">
        <v>1340.2553711</v>
      </c>
      <c r="K1817">
        <v>0</v>
      </c>
      <c r="L1817">
        <v>2400</v>
      </c>
      <c r="M1817">
        <v>2400</v>
      </c>
      <c r="N1817">
        <v>0</v>
      </c>
    </row>
    <row r="1818" spans="1:14" x14ac:dyDescent="0.25">
      <c r="A1818">
        <v>1289.096258</v>
      </c>
      <c r="B1818" s="1">
        <f>DATE(2013,11,10) + TIME(2,18,36)</f>
        <v>41588.096250000002</v>
      </c>
      <c r="C1818">
        <v>80</v>
      </c>
      <c r="D1818">
        <v>79.154441833000007</v>
      </c>
      <c r="E1818">
        <v>50</v>
      </c>
      <c r="F1818">
        <v>49.979602814000003</v>
      </c>
      <c r="G1818">
        <v>1327.4875488</v>
      </c>
      <c r="H1818">
        <v>1325.5461425999999</v>
      </c>
      <c r="I1818">
        <v>1344.6994629000001</v>
      </c>
      <c r="J1818">
        <v>1340.2485352000001</v>
      </c>
      <c r="K1818">
        <v>0</v>
      </c>
      <c r="L1818">
        <v>2400</v>
      </c>
      <c r="M1818">
        <v>2400</v>
      </c>
      <c r="N1818">
        <v>0</v>
      </c>
    </row>
    <row r="1819" spans="1:14" x14ac:dyDescent="0.25">
      <c r="A1819">
        <v>1289.5653609999999</v>
      </c>
      <c r="B1819" s="1">
        <f>DATE(2013,11,10) + TIME(13,34,7)</f>
        <v>41588.565358796295</v>
      </c>
      <c r="C1819">
        <v>80</v>
      </c>
      <c r="D1819">
        <v>79.118202209000003</v>
      </c>
      <c r="E1819">
        <v>50</v>
      </c>
      <c r="F1819">
        <v>49.979568481000001</v>
      </c>
      <c r="G1819">
        <v>1327.4763184000001</v>
      </c>
      <c r="H1819">
        <v>1325.5317382999999</v>
      </c>
      <c r="I1819">
        <v>1344.6899414</v>
      </c>
      <c r="J1819">
        <v>1340.2418213000001</v>
      </c>
      <c r="K1819">
        <v>0</v>
      </c>
      <c r="L1819">
        <v>2400</v>
      </c>
      <c r="M1819">
        <v>2400</v>
      </c>
      <c r="N1819">
        <v>0</v>
      </c>
    </row>
    <row r="1820" spans="1:14" x14ac:dyDescent="0.25">
      <c r="A1820">
        <v>1290.0404779999999</v>
      </c>
      <c r="B1820" s="1">
        <f>DATE(2013,11,11) + TIME(0,58,17)</f>
        <v>41589.04047453704</v>
      </c>
      <c r="C1820">
        <v>80</v>
      </c>
      <c r="D1820">
        <v>79.081626892000003</v>
      </c>
      <c r="E1820">
        <v>50</v>
      </c>
      <c r="F1820">
        <v>49.979545592999997</v>
      </c>
      <c r="G1820">
        <v>1327.4647216999999</v>
      </c>
      <c r="H1820">
        <v>1325.5168457</v>
      </c>
      <c r="I1820">
        <v>1344.6807861</v>
      </c>
      <c r="J1820">
        <v>1340.2351074000001</v>
      </c>
      <c r="K1820">
        <v>0</v>
      </c>
      <c r="L1820">
        <v>2400</v>
      </c>
      <c r="M1820">
        <v>2400</v>
      </c>
      <c r="N1820">
        <v>0</v>
      </c>
    </row>
    <row r="1821" spans="1:14" x14ac:dyDescent="0.25">
      <c r="A1821">
        <v>1290.5227299999999</v>
      </c>
      <c r="B1821" s="1">
        <f>DATE(2013,11,11) + TIME(12,32,43)</f>
        <v>41589.522719907407</v>
      </c>
      <c r="C1821">
        <v>80</v>
      </c>
      <c r="D1821">
        <v>79.044692992999998</v>
      </c>
      <c r="E1821">
        <v>50</v>
      </c>
      <c r="F1821">
        <v>49.97952652</v>
      </c>
      <c r="G1821">
        <v>1327.4528809000001</v>
      </c>
      <c r="H1821">
        <v>1325.5017089999999</v>
      </c>
      <c r="I1821">
        <v>1344.671875</v>
      </c>
      <c r="J1821">
        <v>1340.2287598</v>
      </c>
      <c r="K1821">
        <v>0</v>
      </c>
      <c r="L1821">
        <v>2400</v>
      </c>
      <c r="M1821">
        <v>2400</v>
      </c>
      <c r="N1821">
        <v>0</v>
      </c>
    </row>
    <row r="1822" spans="1:14" x14ac:dyDescent="0.25">
      <c r="A1822">
        <v>1291.0129240000001</v>
      </c>
      <c r="B1822" s="1">
        <f>DATE(2013,11,12) + TIME(0,18,36)</f>
        <v>41590.012916666667</v>
      </c>
      <c r="C1822">
        <v>80</v>
      </c>
      <c r="D1822">
        <v>79.007385253999999</v>
      </c>
      <c r="E1822">
        <v>50</v>
      </c>
      <c r="F1822">
        <v>49.979511260999999</v>
      </c>
      <c r="G1822">
        <v>1327.4407959</v>
      </c>
      <c r="H1822">
        <v>1325.4860839999999</v>
      </c>
      <c r="I1822">
        <v>1344.6632079999999</v>
      </c>
      <c r="J1822">
        <v>1340.2224120999999</v>
      </c>
      <c r="K1822">
        <v>0</v>
      </c>
      <c r="L1822">
        <v>2400</v>
      </c>
      <c r="M1822">
        <v>2400</v>
      </c>
      <c r="N1822">
        <v>0</v>
      </c>
    </row>
    <row r="1823" spans="1:14" x14ac:dyDescent="0.25">
      <c r="A1823">
        <v>1291.512174</v>
      </c>
      <c r="B1823" s="1">
        <f>DATE(2013,11,12) + TIME(12,17,31)</f>
        <v>41590.512164351851</v>
      </c>
      <c r="C1823">
        <v>80</v>
      </c>
      <c r="D1823">
        <v>78.969657897999994</v>
      </c>
      <c r="E1823">
        <v>50</v>
      </c>
      <c r="F1823">
        <v>49.979503631999997</v>
      </c>
      <c r="G1823">
        <v>1327.4283447</v>
      </c>
      <c r="H1823">
        <v>1325.4700928</v>
      </c>
      <c r="I1823">
        <v>1344.6547852000001</v>
      </c>
      <c r="J1823">
        <v>1340.2163086</v>
      </c>
      <c r="K1823">
        <v>0</v>
      </c>
      <c r="L1823">
        <v>2400</v>
      </c>
      <c r="M1823">
        <v>2400</v>
      </c>
      <c r="N1823">
        <v>0</v>
      </c>
    </row>
    <row r="1824" spans="1:14" x14ac:dyDescent="0.25">
      <c r="A1824">
        <v>1292.02162</v>
      </c>
      <c r="B1824" s="1">
        <f>DATE(2013,11,13) + TIME(0,31,7)</f>
        <v>41591.021608796298</v>
      </c>
      <c r="C1824">
        <v>80</v>
      </c>
      <c r="D1824">
        <v>78.931457519999995</v>
      </c>
      <c r="E1824">
        <v>50</v>
      </c>
      <c r="F1824">
        <v>49.979496001999998</v>
      </c>
      <c r="G1824">
        <v>1327.4156493999999</v>
      </c>
      <c r="H1824">
        <v>1325.4537353999999</v>
      </c>
      <c r="I1824">
        <v>1344.6464844</v>
      </c>
      <c r="J1824">
        <v>1340.2102050999999</v>
      </c>
      <c r="K1824">
        <v>0</v>
      </c>
      <c r="L1824">
        <v>2400</v>
      </c>
      <c r="M1824">
        <v>2400</v>
      </c>
      <c r="N1824">
        <v>0</v>
      </c>
    </row>
    <row r="1825" spans="1:14" x14ac:dyDescent="0.25">
      <c r="A1825">
        <v>1292.5423229999999</v>
      </c>
      <c r="B1825" s="1">
        <f>DATE(2013,11,13) + TIME(13,0,56)</f>
        <v>41591.542314814818</v>
      </c>
      <c r="C1825">
        <v>80</v>
      </c>
      <c r="D1825">
        <v>78.892723083000007</v>
      </c>
      <c r="E1825">
        <v>50</v>
      </c>
      <c r="F1825">
        <v>49.979488373000002</v>
      </c>
      <c r="G1825">
        <v>1327.4024658000001</v>
      </c>
      <c r="H1825">
        <v>1325.4367675999999</v>
      </c>
      <c r="I1825">
        <v>1344.6384277</v>
      </c>
      <c r="J1825">
        <v>1340.2042236</v>
      </c>
      <c r="K1825">
        <v>0</v>
      </c>
      <c r="L1825">
        <v>2400</v>
      </c>
      <c r="M1825">
        <v>2400</v>
      </c>
      <c r="N1825">
        <v>0</v>
      </c>
    </row>
    <row r="1826" spans="1:14" x14ac:dyDescent="0.25">
      <c r="A1826">
        <v>1293.0753769999999</v>
      </c>
      <c r="B1826" s="1">
        <f>DATE(2013,11,14) + TIME(1,48,32)</f>
        <v>41592.075370370374</v>
      </c>
      <c r="C1826">
        <v>80</v>
      </c>
      <c r="D1826">
        <v>78.853393554999997</v>
      </c>
      <c r="E1826">
        <v>50</v>
      </c>
      <c r="F1826">
        <v>49.979484558000003</v>
      </c>
      <c r="G1826">
        <v>1327.3890381000001</v>
      </c>
      <c r="H1826">
        <v>1325.4193115</v>
      </c>
      <c r="I1826">
        <v>1344.6304932</v>
      </c>
      <c r="J1826">
        <v>1340.1983643000001</v>
      </c>
      <c r="K1826">
        <v>0</v>
      </c>
      <c r="L1826">
        <v>2400</v>
      </c>
      <c r="M1826">
        <v>2400</v>
      </c>
      <c r="N1826">
        <v>0</v>
      </c>
    </row>
    <row r="1827" spans="1:14" x14ac:dyDescent="0.25">
      <c r="A1827">
        <v>1293.6219410000001</v>
      </c>
      <c r="B1827" s="1">
        <f>DATE(2013,11,14) + TIME(14,55,35)</f>
        <v>41592.621932870374</v>
      </c>
      <c r="C1827">
        <v>80</v>
      </c>
      <c r="D1827">
        <v>78.813415527000004</v>
      </c>
      <c r="E1827">
        <v>50</v>
      </c>
      <c r="F1827">
        <v>49.979480743000003</v>
      </c>
      <c r="G1827">
        <v>1327.3751221</v>
      </c>
      <c r="H1827">
        <v>1325.4013672000001</v>
      </c>
      <c r="I1827">
        <v>1344.6228027</v>
      </c>
      <c r="J1827">
        <v>1340.1925048999999</v>
      </c>
      <c r="K1827">
        <v>0</v>
      </c>
      <c r="L1827">
        <v>2400</v>
      </c>
      <c r="M1827">
        <v>2400</v>
      </c>
      <c r="N1827">
        <v>0</v>
      </c>
    </row>
    <row r="1828" spans="1:14" x14ac:dyDescent="0.25">
      <c r="A1828">
        <v>1294.183196</v>
      </c>
      <c r="B1828" s="1">
        <f>DATE(2013,11,15) + TIME(4,23,48)</f>
        <v>41593.183194444442</v>
      </c>
      <c r="C1828">
        <v>80</v>
      </c>
      <c r="D1828">
        <v>78.772705078000001</v>
      </c>
      <c r="E1828">
        <v>50</v>
      </c>
      <c r="F1828">
        <v>49.979476929</v>
      </c>
      <c r="G1828">
        <v>1327.3608397999999</v>
      </c>
      <c r="H1828">
        <v>1325.3826904</v>
      </c>
      <c r="I1828">
        <v>1344.6151123</v>
      </c>
      <c r="J1828">
        <v>1340.1867675999999</v>
      </c>
      <c r="K1828">
        <v>0</v>
      </c>
      <c r="L1828">
        <v>2400</v>
      </c>
      <c r="M1828">
        <v>2400</v>
      </c>
      <c r="N1828">
        <v>0</v>
      </c>
    </row>
    <row r="1829" spans="1:14" x14ac:dyDescent="0.25">
      <c r="A1829">
        <v>1294.7603999999999</v>
      </c>
      <c r="B1829" s="1">
        <f>DATE(2013,11,15) + TIME(18,14,58)</f>
        <v>41593.760393518518</v>
      </c>
      <c r="C1829">
        <v>80</v>
      </c>
      <c r="D1829">
        <v>78.731201171999999</v>
      </c>
      <c r="E1829">
        <v>50</v>
      </c>
      <c r="F1829">
        <v>49.979473114000001</v>
      </c>
      <c r="G1829">
        <v>1327.3459473</v>
      </c>
      <c r="H1829">
        <v>1325.3635254000001</v>
      </c>
      <c r="I1829">
        <v>1344.6074219</v>
      </c>
      <c r="J1829">
        <v>1340.1810303</v>
      </c>
      <c r="K1829">
        <v>0</v>
      </c>
      <c r="L1829">
        <v>2400</v>
      </c>
      <c r="M1829">
        <v>2400</v>
      </c>
      <c r="N1829">
        <v>0</v>
      </c>
    </row>
    <row r="1830" spans="1:14" x14ac:dyDescent="0.25">
      <c r="A1830">
        <v>1295.3548969999999</v>
      </c>
      <c r="B1830" s="1">
        <f>DATE(2013,11,16) + TIME(8,31,3)</f>
        <v>41594.354895833334</v>
      </c>
      <c r="C1830">
        <v>80</v>
      </c>
      <c r="D1830">
        <v>78.688835143999995</v>
      </c>
      <c r="E1830">
        <v>50</v>
      </c>
      <c r="F1830">
        <v>49.979473114000001</v>
      </c>
      <c r="G1830">
        <v>1327.3306885</v>
      </c>
      <c r="H1830">
        <v>1325.3436279</v>
      </c>
      <c r="I1830">
        <v>1344.5999756000001</v>
      </c>
      <c r="J1830">
        <v>1340.175293</v>
      </c>
      <c r="K1830">
        <v>0</v>
      </c>
      <c r="L1830">
        <v>2400</v>
      </c>
      <c r="M1830">
        <v>2400</v>
      </c>
      <c r="N1830">
        <v>0</v>
      </c>
    </row>
    <row r="1831" spans="1:14" x14ac:dyDescent="0.25">
      <c r="A1831">
        <v>1295.9681089999999</v>
      </c>
      <c r="B1831" s="1">
        <f>DATE(2013,11,16) + TIME(23,14,4)</f>
        <v>41594.968101851853</v>
      </c>
      <c r="C1831">
        <v>80</v>
      </c>
      <c r="D1831">
        <v>78.645515442000004</v>
      </c>
      <c r="E1831">
        <v>50</v>
      </c>
      <c r="F1831">
        <v>49.979473114000001</v>
      </c>
      <c r="G1831">
        <v>1327.3146973</v>
      </c>
      <c r="H1831">
        <v>1325.322876</v>
      </c>
      <c r="I1831">
        <v>1344.5925293</v>
      </c>
      <c r="J1831">
        <v>1340.1696777</v>
      </c>
      <c r="K1831">
        <v>0</v>
      </c>
      <c r="L1831">
        <v>2400</v>
      </c>
      <c r="M1831">
        <v>2400</v>
      </c>
      <c r="N1831">
        <v>0</v>
      </c>
    </row>
    <row r="1832" spans="1:14" x14ac:dyDescent="0.25">
      <c r="A1832">
        <v>1296.601439</v>
      </c>
      <c r="B1832" s="1">
        <f>DATE(2013,11,17) + TIME(14,26,4)</f>
        <v>41595.601435185185</v>
      </c>
      <c r="C1832">
        <v>80</v>
      </c>
      <c r="D1832">
        <v>78.601181030000006</v>
      </c>
      <c r="E1832">
        <v>50</v>
      </c>
      <c r="F1832">
        <v>49.979473114000001</v>
      </c>
      <c r="G1832">
        <v>1327.2982178</v>
      </c>
      <c r="H1832">
        <v>1325.3013916</v>
      </c>
      <c r="I1832">
        <v>1344.5850829999999</v>
      </c>
      <c r="J1832">
        <v>1340.1639404</v>
      </c>
      <c r="K1832">
        <v>0</v>
      </c>
      <c r="L1832">
        <v>2400</v>
      </c>
      <c r="M1832">
        <v>2400</v>
      </c>
      <c r="N1832">
        <v>0</v>
      </c>
    </row>
    <row r="1833" spans="1:14" x14ac:dyDescent="0.25">
      <c r="A1833">
        <v>1297.2564609999999</v>
      </c>
      <c r="B1833" s="1">
        <f>DATE(2013,11,18) + TIME(6,9,18)</f>
        <v>41596.256458333337</v>
      </c>
      <c r="C1833">
        <v>80</v>
      </c>
      <c r="D1833">
        <v>78.555740356000001</v>
      </c>
      <c r="E1833">
        <v>50</v>
      </c>
      <c r="F1833">
        <v>49.979473114000001</v>
      </c>
      <c r="G1833">
        <v>1327.2811279</v>
      </c>
      <c r="H1833">
        <v>1325.2790527</v>
      </c>
      <c r="I1833">
        <v>1344.5776367000001</v>
      </c>
      <c r="J1833">
        <v>1340.1582031</v>
      </c>
      <c r="K1833">
        <v>0</v>
      </c>
      <c r="L1833">
        <v>2400</v>
      </c>
      <c r="M1833">
        <v>2400</v>
      </c>
      <c r="N1833">
        <v>0</v>
      </c>
    </row>
    <row r="1834" spans="1:14" x14ac:dyDescent="0.25">
      <c r="A1834">
        <v>1297.9351079999999</v>
      </c>
      <c r="B1834" s="1">
        <f>DATE(2013,11,18) + TIME(22,26,33)</f>
        <v>41596.935104166667</v>
      </c>
      <c r="C1834">
        <v>80</v>
      </c>
      <c r="D1834">
        <v>78.509101868000002</v>
      </c>
      <c r="E1834">
        <v>50</v>
      </c>
      <c r="F1834">
        <v>49.979473114000001</v>
      </c>
      <c r="G1834">
        <v>1327.2633057</v>
      </c>
      <c r="H1834">
        <v>1325.2558594</v>
      </c>
      <c r="I1834">
        <v>1344.5703125</v>
      </c>
      <c r="J1834">
        <v>1340.1525879000001</v>
      </c>
      <c r="K1834">
        <v>0</v>
      </c>
      <c r="L1834">
        <v>2400</v>
      </c>
      <c r="M1834">
        <v>2400</v>
      </c>
      <c r="N1834">
        <v>0</v>
      </c>
    </row>
    <row r="1835" spans="1:14" x14ac:dyDescent="0.25">
      <c r="A1835">
        <v>1298.6393599999999</v>
      </c>
      <c r="B1835" s="1">
        <f>DATE(2013,11,19) + TIME(15,20,40)</f>
        <v>41597.639351851853</v>
      </c>
      <c r="C1835">
        <v>80</v>
      </c>
      <c r="D1835">
        <v>78.461174010999997</v>
      </c>
      <c r="E1835">
        <v>50</v>
      </c>
      <c r="F1835">
        <v>49.979473114000001</v>
      </c>
      <c r="G1835">
        <v>1327.244751</v>
      </c>
      <c r="H1835">
        <v>1325.2315673999999</v>
      </c>
      <c r="I1835">
        <v>1344.5629882999999</v>
      </c>
      <c r="J1835">
        <v>1340.1468506000001</v>
      </c>
      <c r="K1835">
        <v>0</v>
      </c>
      <c r="L1835">
        <v>2400</v>
      </c>
      <c r="M1835">
        <v>2400</v>
      </c>
      <c r="N1835">
        <v>0</v>
      </c>
    </row>
    <row r="1836" spans="1:14" x14ac:dyDescent="0.25">
      <c r="A1836">
        <v>1299.3713829999999</v>
      </c>
      <c r="B1836" s="1">
        <f>DATE(2013,11,20) + TIME(8,54,47)</f>
        <v>41598.371377314812</v>
      </c>
      <c r="C1836">
        <v>80</v>
      </c>
      <c r="D1836">
        <v>78.411834717000005</v>
      </c>
      <c r="E1836">
        <v>50</v>
      </c>
      <c r="F1836">
        <v>49.979473114000001</v>
      </c>
      <c r="G1836">
        <v>1327.2253418</v>
      </c>
      <c r="H1836">
        <v>1325.2061768000001</v>
      </c>
      <c r="I1836">
        <v>1344.5556641000001</v>
      </c>
      <c r="J1836">
        <v>1340.1411132999999</v>
      </c>
      <c r="K1836">
        <v>0</v>
      </c>
      <c r="L1836">
        <v>2400</v>
      </c>
      <c r="M1836">
        <v>2400</v>
      </c>
      <c r="N1836">
        <v>0</v>
      </c>
    </row>
    <row r="1837" spans="1:14" x14ac:dyDescent="0.25">
      <c r="A1837">
        <v>1300.1335630000001</v>
      </c>
      <c r="B1837" s="1">
        <f>DATE(2013,11,21) + TIME(3,12,19)</f>
        <v>41599.133553240739</v>
      </c>
      <c r="C1837">
        <v>80</v>
      </c>
      <c r="D1837">
        <v>78.360977172999995</v>
      </c>
      <c r="E1837">
        <v>50</v>
      </c>
      <c r="F1837">
        <v>49.979476929</v>
      </c>
      <c r="G1837">
        <v>1327.2050781</v>
      </c>
      <c r="H1837">
        <v>1325.1796875</v>
      </c>
      <c r="I1837">
        <v>1344.5483397999999</v>
      </c>
      <c r="J1837">
        <v>1340.1352539</v>
      </c>
      <c r="K1837">
        <v>0</v>
      </c>
      <c r="L1837">
        <v>2400</v>
      </c>
      <c r="M1837">
        <v>2400</v>
      </c>
      <c r="N1837">
        <v>0</v>
      </c>
    </row>
    <row r="1838" spans="1:14" x14ac:dyDescent="0.25">
      <c r="A1838">
        <v>1300.9285299999999</v>
      </c>
      <c r="B1838" s="1">
        <f>DATE(2013,11,21) + TIME(22,17,5)</f>
        <v>41599.928530092591</v>
      </c>
      <c r="C1838">
        <v>80</v>
      </c>
      <c r="D1838">
        <v>78.308486938000001</v>
      </c>
      <c r="E1838">
        <v>50</v>
      </c>
      <c r="F1838">
        <v>49.979480743000003</v>
      </c>
      <c r="G1838">
        <v>1327.1838379000001</v>
      </c>
      <c r="H1838">
        <v>1325.1518555</v>
      </c>
      <c r="I1838">
        <v>1344.5410156</v>
      </c>
      <c r="J1838">
        <v>1340.1293945</v>
      </c>
      <c r="K1838">
        <v>0</v>
      </c>
      <c r="L1838">
        <v>2400</v>
      </c>
      <c r="M1838">
        <v>2400</v>
      </c>
      <c r="N1838">
        <v>0</v>
      </c>
    </row>
    <row r="1839" spans="1:14" x14ac:dyDescent="0.25">
      <c r="A1839">
        <v>1301.7592070000001</v>
      </c>
      <c r="B1839" s="1">
        <f>DATE(2013,11,22) + TIME(18,13,15)</f>
        <v>41600.759201388886</v>
      </c>
      <c r="C1839">
        <v>80</v>
      </c>
      <c r="D1839">
        <v>78.254211425999998</v>
      </c>
      <c r="E1839">
        <v>50</v>
      </c>
      <c r="F1839">
        <v>49.979480743000003</v>
      </c>
      <c r="G1839">
        <v>1327.161499</v>
      </c>
      <c r="H1839">
        <v>1325.1226807</v>
      </c>
      <c r="I1839">
        <v>1344.5335693</v>
      </c>
      <c r="J1839">
        <v>1340.1234131000001</v>
      </c>
      <c r="K1839">
        <v>0</v>
      </c>
      <c r="L1839">
        <v>2400</v>
      </c>
      <c r="M1839">
        <v>2400</v>
      </c>
      <c r="N1839">
        <v>0</v>
      </c>
    </row>
    <row r="1840" spans="1:14" x14ac:dyDescent="0.25">
      <c r="A1840">
        <v>1302.614746</v>
      </c>
      <c r="B1840" s="1">
        <f>DATE(2013,11,23) + TIME(14,45,14)</f>
        <v>41601.614745370367</v>
      </c>
      <c r="C1840">
        <v>80</v>
      </c>
      <c r="D1840">
        <v>78.198509216000005</v>
      </c>
      <c r="E1840">
        <v>50</v>
      </c>
      <c r="F1840">
        <v>49.979484558000003</v>
      </c>
      <c r="G1840">
        <v>1327.1381836</v>
      </c>
      <c r="H1840">
        <v>1325.0920410000001</v>
      </c>
      <c r="I1840">
        <v>1344.5261230000001</v>
      </c>
      <c r="J1840">
        <v>1340.1174315999999</v>
      </c>
      <c r="K1840">
        <v>0</v>
      </c>
      <c r="L1840">
        <v>2400</v>
      </c>
      <c r="M1840">
        <v>2400</v>
      </c>
      <c r="N1840">
        <v>0</v>
      </c>
    </row>
    <row r="1841" spans="1:14" x14ac:dyDescent="0.25">
      <c r="A1841">
        <v>1303.48909</v>
      </c>
      <c r="B1841" s="1">
        <f>DATE(2013,11,24) + TIME(11,44,17)</f>
        <v>41602.489085648151</v>
      </c>
      <c r="C1841">
        <v>80</v>
      </c>
      <c r="D1841">
        <v>78.141723632999998</v>
      </c>
      <c r="E1841">
        <v>50</v>
      </c>
      <c r="F1841">
        <v>49.979488373000002</v>
      </c>
      <c r="G1841">
        <v>1327.1140137</v>
      </c>
      <c r="H1841">
        <v>1325.0603027</v>
      </c>
      <c r="I1841">
        <v>1344.5186768000001</v>
      </c>
      <c r="J1841">
        <v>1340.1114502</v>
      </c>
      <c r="K1841">
        <v>0</v>
      </c>
      <c r="L1841">
        <v>2400</v>
      </c>
      <c r="M1841">
        <v>2400</v>
      </c>
      <c r="N1841">
        <v>0</v>
      </c>
    </row>
    <row r="1842" spans="1:14" x14ac:dyDescent="0.25">
      <c r="A1842">
        <v>1304.377743</v>
      </c>
      <c r="B1842" s="1">
        <f>DATE(2013,11,25) + TIME(9,3,56)</f>
        <v>41603.37773148148</v>
      </c>
      <c r="C1842">
        <v>80</v>
      </c>
      <c r="D1842">
        <v>78.084182738999999</v>
      </c>
      <c r="E1842">
        <v>50</v>
      </c>
      <c r="F1842">
        <v>49.979492188000002</v>
      </c>
      <c r="G1842">
        <v>1327.0889893000001</v>
      </c>
      <c r="H1842">
        <v>1325.0274658000001</v>
      </c>
      <c r="I1842">
        <v>1344.5114745999999</v>
      </c>
      <c r="J1842">
        <v>1340.1055908000001</v>
      </c>
      <c r="K1842">
        <v>0</v>
      </c>
      <c r="L1842">
        <v>2400</v>
      </c>
      <c r="M1842">
        <v>2400</v>
      </c>
      <c r="N1842">
        <v>0</v>
      </c>
    </row>
    <row r="1843" spans="1:14" x14ac:dyDescent="0.25">
      <c r="A1843">
        <v>1305.280135</v>
      </c>
      <c r="B1843" s="1">
        <f>DATE(2013,11,26) + TIME(6,43,23)</f>
        <v>41604.280127314814</v>
      </c>
      <c r="C1843">
        <v>80</v>
      </c>
      <c r="D1843">
        <v>78.026092528999996</v>
      </c>
      <c r="E1843">
        <v>50</v>
      </c>
      <c r="F1843">
        <v>49.979499816999997</v>
      </c>
      <c r="G1843">
        <v>1327.0634766000001</v>
      </c>
      <c r="H1843">
        <v>1324.9938964999999</v>
      </c>
      <c r="I1843">
        <v>1344.5043945</v>
      </c>
      <c r="J1843">
        <v>1340.0997314000001</v>
      </c>
      <c r="K1843">
        <v>0</v>
      </c>
      <c r="L1843">
        <v>2400</v>
      </c>
      <c r="M1843">
        <v>2400</v>
      </c>
      <c r="N1843">
        <v>0</v>
      </c>
    </row>
    <row r="1844" spans="1:14" x14ac:dyDescent="0.25">
      <c r="A1844">
        <v>1306.1975520000001</v>
      </c>
      <c r="B1844" s="1">
        <f>DATE(2013,11,27) + TIME(4,44,28)</f>
        <v>41605.197546296295</v>
      </c>
      <c r="C1844">
        <v>80</v>
      </c>
      <c r="D1844">
        <v>77.967506408999995</v>
      </c>
      <c r="E1844">
        <v>50</v>
      </c>
      <c r="F1844">
        <v>49.979503631999997</v>
      </c>
      <c r="G1844">
        <v>1327.0373535000001</v>
      </c>
      <c r="H1844">
        <v>1324.9595947</v>
      </c>
      <c r="I1844">
        <v>1344.4974365</v>
      </c>
      <c r="J1844">
        <v>1340.0939940999999</v>
      </c>
      <c r="K1844">
        <v>0</v>
      </c>
      <c r="L1844">
        <v>2400</v>
      </c>
      <c r="M1844">
        <v>2400</v>
      </c>
      <c r="N1844">
        <v>0</v>
      </c>
    </row>
    <row r="1845" spans="1:14" x14ac:dyDescent="0.25">
      <c r="A1845">
        <v>1307.1293350000001</v>
      </c>
      <c r="B1845" s="1">
        <f>DATE(2013,11,28) + TIME(3,6,14)</f>
        <v>41606.129328703704</v>
      </c>
      <c r="C1845">
        <v>80</v>
      </c>
      <c r="D1845">
        <v>77.908508300999998</v>
      </c>
      <c r="E1845">
        <v>50</v>
      </c>
      <c r="F1845">
        <v>49.979511260999999</v>
      </c>
      <c r="G1845">
        <v>1327.0107422000001</v>
      </c>
      <c r="H1845">
        <v>1324.9244385</v>
      </c>
      <c r="I1845">
        <v>1344.4906006000001</v>
      </c>
      <c r="J1845">
        <v>1340.0882568</v>
      </c>
      <c r="K1845">
        <v>0</v>
      </c>
      <c r="L1845">
        <v>2400</v>
      </c>
      <c r="M1845">
        <v>2400</v>
      </c>
      <c r="N1845">
        <v>0</v>
      </c>
    </row>
    <row r="1846" spans="1:14" x14ac:dyDescent="0.25">
      <c r="A1846">
        <v>1308.077432</v>
      </c>
      <c r="B1846" s="1">
        <f>DATE(2013,11,29) + TIME(1,51,30)</f>
        <v>41607.077430555553</v>
      </c>
      <c r="C1846">
        <v>80</v>
      </c>
      <c r="D1846">
        <v>77.849060058999996</v>
      </c>
      <c r="E1846">
        <v>50</v>
      </c>
      <c r="F1846">
        <v>49.979515075999998</v>
      </c>
      <c r="G1846">
        <v>1326.9835204999999</v>
      </c>
      <c r="H1846">
        <v>1324.8885498</v>
      </c>
      <c r="I1846">
        <v>1344.4838867000001</v>
      </c>
      <c r="J1846">
        <v>1340.0826416</v>
      </c>
      <c r="K1846">
        <v>0</v>
      </c>
      <c r="L1846">
        <v>2400</v>
      </c>
      <c r="M1846">
        <v>2400</v>
      </c>
      <c r="N1846">
        <v>0</v>
      </c>
    </row>
    <row r="1847" spans="1:14" x14ac:dyDescent="0.25">
      <c r="A1847">
        <v>1309.043786</v>
      </c>
      <c r="B1847" s="1">
        <f>DATE(2013,11,30) + TIME(1,3,3)</f>
        <v>41608.04378472222</v>
      </c>
      <c r="C1847">
        <v>80</v>
      </c>
      <c r="D1847">
        <v>77.789115906000006</v>
      </c>
      <c r="E1847">
        <v>50</v>
      </c>
      <c r="F1847">
        <v>49.979522705000001</v>
      </c>
      <c r="G1847">
        <v>1326.9556885</v>
      </c>
      <c r="H1847">
        <v>1324.8518065999999</v>
      </c>
      <c r="I1847">
        <v>1344.4772949000001</v>
      </c>
      <c r="J1847">
        <v>1340.0770264</v>
      </c>
      <c r="K1847">
        <v>0</v>
      </c>
      <c r="L1847">
        <v>2400</v>
      </c>
      <c r="M1847">
        <v>2400</v>
      </c>
      <c r="N1847">
        <v>0</v>
      </c>
    </row>
    <row r="1848" spans="1:14" x14ac:dyDescent="0.25">
      <c r="A1848">
        <v>1310</v>
      </c>
      <c r="B1848" s="1">
        <f>DATE(2013,12,1) + TIME(0,0,0)</f>
        <v>41609</v>
      </c>
      <c r="C1848">
        <v>80</v>
      </c>
      <c r="D1848">
        <v>77.729530334000003</v>
      </c>
      <c r="E1848">
        <v>50</v>
      </c>
      <c r="F1848">
        <v>49.979530334000003</v>
      </c>
      <c r="G1848">
        <v>1326.9272461</v>
      </c>
      <c r="H1848">
        <v>1324.8142089999999</v>
      </c>
      <c r="I1848">
        <v>1344.4708252</v>
      </c>
      <c r="J1848">
        <v>1340.0715332</v>
      </c>
      <c r="K1848">
        <v>0</v>
      </c>
      <c r="L1848">
        <v>2400</v>
      </c>
      <c r="M1848">
        <v>2400</v>
      </c>
      <c r="N1848">
        <v>0</v>
      </c>
    </row>
    <row r="1849" spans="1:14" x14ac:dyDescent="0.25">
      <c r="A1849">
        <v>1310.9865950000001</v>
      </c>
      <c r="B1849" s="1">
        <f>DATE(2013,12,1) + TIME(23,40,41)</f>
        <v>41609.986585648148</v>
      </c>
      <c r="C1849">
        <v>80</v>
      </c>
      <c r="D1849">
        <v>77.669479370000005</v>
      </c>
      <c r="E1849">
        <v>50</v>
      </c>
      <c r="F1849">
        <v>49.979537964000002</v>
      </c>
      <c r="G1849">
        <v>1326.8988036999999</v>
      </c>
      <c r="H1849">
        <v>1324.7766113</v>
      </c>
      <c r="I1849">
        <v>1344.4645995999999</v>
      </c>
      <c r="J1849">
        <v>1340.0662841999999</v>
      </c>
      <c r="K1849">
        <v>0</v>
      </c>
      <c r="L1849">
        <v>2400</v>
      </c>
      <c r="M1849">
        <v>2400</v>
      </c>
      <c r="N1849">
        <v>0</v>
      </c>
    </row>
    <row r="1850" spans="1:14" x14ac:dyDescent="0.25">
      <c r="A1850">
        <v>1312.0191970000001</v>
      </c>
      <c r="B1850" s="1">
        <f>DATE(2013,12,3) + TIME(0,27,38)</f>
        <v>41611.019189814811</v>
      </c>
      <c r="C1850">
        <v>80</v>
      </c>
      <c r="D1850">
        <v>77.608146667</v>
      </c>
      <c r="E1850">
        <v>50</v>
      </c>
      <c r="F1850">
        <v>49.979545592999997</v>
      </c>
      <c r="G1850">
        <v>1326.8693848</v>
      </c>
      <c r="H1850">
        <v>1324.7376709</v>
      </c>
      <c r="I1850">
        <v>1344.458374</v>
      </c>
      <c r="J1850">
        <v>1340.0609131000001</v>
      </c>
      <c r="K1850">
        <v>0</v>
      </c>
      <c r="L1850">
        <v>2400</v>
      </c>
      <c r="M1850">
        <v>2400</v>
      </c>
      <c r="N1850">
        <v>0</v>
      </c>
    </row>
    <row r="1851" spans="1:14" x14ac:dyDescent="0.25">
      <c r="A1851">
        <v>1313.078008</v>
      </c>
      <c r="B1851" s="1">
        <f>DATE(2013,12,4) + TIME(1,52,19)</f>
        <v>41612.077997685185</v>
      </c>
      <c r="C1851">
        <v>80</v>
      </c>
      <c r="D1851">
        <v>77.545654296999999</v>
      </c>
      <c r="E1851">
        <v>50</v>
      </c>
      <c r="F1851">
        <v>49.979553223000003</v>
      </c>
      <c r="G1851">
        <v>1326.8386230000001</v>
      </c>
      <c r="H1851">
        <v>1324.6971435999999</v>
      </c>
      <c r="I1851">
        <v>1344.4521483999999</v>
      </c>
      <c r="J1851">
        <v>1340.0555420000001</v>
      </c>
      <c r="K1851">
        <v>0</v>
      </c>
      <c r="L1851">
        <v>2400</v>
      </c>
      <c r="M1851">
        <v>2400</v>
      </c>
      <c r="N1851">
        <v>0</v>
      </c>
    </row>
    <row r="1852" spans="1:14" x14ac:dyDescent="0.25">
      <c r="A1852">
        <v>1314.1656800000001</v>
      </c>
      <c r="B1852" s="1">
        <f>DATE(2013,12,5) + TIME(3,58,34)</f>
        <v>41613.165671296294</v>
      </c>
      <c r="C1852">
        <v>80</v>
      </c>
      <c r="D1852">
        <v>77.482070922999995</v>
      </c>
      <c r="E1852">
        <v>50</v>
      </c>
      <c r="F1852">
        <v>49.979564666999998</v>
      </c>
      <c r="G1852">
        <v>1326.8070068</v>
      </c>
      <c r="H1852">
        <v>1324.6551514</v>
      </c>
      <c r="I1852">
        <v>1344.4459228999999</v>
      </c>
      <c r="J1852">
        <v>1340.0501709</v>
      </c>
      <c r="K1852">
        <v>0</v>
      </c>
      <c r="L1852">
        <v>2400</v>
      </c>
      <c r="M1852">
        <v>2400</v>
      </c>
      <c r="N1852">
        <v>0</v>
      </c>
    </row>
    <row r="1853" spans="1:14" x14ac:dyDescent="0.25">
      <c r="A1853">
        <v>1315.284451</v>
      </c>
      <c r="B1853" s="1">
        <f>DATE(2013,12,6) + TIME(6,49,36)</f>
        <v>41614.284444444442</v>
      </c>
      <c r="C1853">
        <v>80</v>
      </c>
      <c r="D1853">
        <v>77.417373656999999</v>
      </c>
      <c r="E1853">
        <v>50</v>
      </c>
      <c r="F1853">
        <v>49.979572296000001</v>
      </c>
      <c r="G1853">
        <v>1326.7744141000001</v>
      </c>
      <c r="H1853">
        <v>1324.6119385</v>
      </c>
      <c r="I1853">
        <v>1344.4396973</v>
      </c>
      <c r="J1853">
        <v>1340.0447998</v>
      </c>
      <c r="K1853">
        <v>0</v>
      </c>
      <c r="L1853">
        <v>2400</v>
      </c>
      <c r="M1853">
        <v>2400</v>
      </c>
      <c r="N1853">
        <v>0</v>
      </c>
    </row>
    <row r="1854" spans="1:14" x14ac:dyDescent="0.25">
      <c r="A1854">
        <v>1316.4372530000001</v>
      </c>
      <c r="B1854" s="1">
        <f>DATE(2013,12,7) + TIME(10,29,38)</f>
        <v>41615.437245370369</v>
      </c>
      <c r="C1854">
        <v>80</v>
      </c>
      <c r="D1854">
        <v>77.351493834999999</v>
      </c>
      <c r="E1854">
        <v>50</v>
      </c>
      <c r="F1854">
        <v>49.979583740000002</v>
      </c>
      <c r="G1854">
        <v>1326.7406006000001</v>
      </c>
      <c r="H1854">
        <v>1324.5672606999999</v>
      </c>
      <c r="I1854">
        <v>1344.4335937999999</v>
      </c>
      <c r="J1854">
        <v>1340.0393065999999</v>
      </c>
      <c r="K1854">
        <v>0</v>
      </c>
      <c r="L1854">
        <v>2400</v>
      </c>
      <c r="M1854">
        <v>2400</v>
      </c>
      <c r="N1854">
        <v>0</v>
      </c>
    </row>
    <row r="1855" spans="1:14" x14ac:dyDescent="0.25">
      <c r="A1855">
        <v>1317.6270529999999</v>
      </c>
      <c r="B1855" s="1">
        <f>DATE(2013,12,8) + TIME(15,2,57)</f>
        <v>41616.62704861111</v>
      </c>
      <c r="C1855">
        <v>80</v>
      </c>
      <c r="D1855">
        <v>77.284332274999997</v>
      </c>
      <c r="E1855">
        <v>50</v>
      </c>
      <c r="F1855">
        <v>49.979595183999997</v>
      </c>
      <c r="G1855">
        <v>1326.7058105000001</v>
      </c>
      <c r="H1855">
        <v>1324.5209961</v>
      </c>
      <c r="I1855">
        <v>1344.4273682</v>
      </c>
      <c r="J1855">
        <v>1340.0339355000001</v>
      </c>
      <c r="K1855">
        <v>0</v>
      </c>
      <c r="L1855">
        <v>2400</v>
      </c>
      <c r="M1855">
        <v>2400</v>
      </c>
      <c r="N1855">
        <v>0</v>
      </c>
    </row>
    <row r="1856" spans="1:14" x14ac:dyDescent="0.25">
      <c r="A1856">
        <v>1318.8570629999999</v>
      </c>
      <c r="B1856" s="1">
        <f>DATE(2013,12,9) + TIME(20,34,10)</f>
        <v>41617.857060185182</v>
      </c>
      <c r="C1856">
        <v>80</v>
      </c>
      <c r="D1856">
        <v>77.215774535999998</v>
      </c>
      <c r="E1856">
        <v>50</v>
      </c>
      <c r="F1856">
        <v>49.979606627999999</v>
      </c>
      <c r="G1856">
        <v>1326.6696777</v>
      </c>
      <c r="H1856">
        <v>1324.4731445</v>
      </c>
      <c r="I1856">
        <v>1344.4212646000001</v>
      </c>
      <c r="J1856">
        <v>1340.0284423999999</v>
      </c>
      <c r="K1856">
        <v>0</v>
      </c>
      <c r="L1856">
        <v>2400</v>
      </c>
      <c r="M1856">
        <v>2400</v>
      </c>
      <c r="N1856">
        <v>0</v>
      </c>
    </row>
    <row r="1857" spans="1:14" x14ac:dyDescent="0.25">
      <c r="A1857">
        <v>1320.1306689999999</v>
      </c>
      <c r="B1857" s="1">
        <f>DATE(2013,12,11) + TIME(3,8,9)</f>
        <v>41619.130659722221</v>
      </c>
      <c r="C1857">
        <v>80</v>
      </c>
      <c r="D1857">
        <v>77.145698546999995</v>
      </c>
      <c r="E1857">
        <v>50</v>
      </c>
      <c r="F1857">
        <v>49.979618072999997</v>
      </c>
      <c r="G1857">
        <v>1326.6322021000001</v>
      </c>
      <c r="H1857">
        <v>1324.4234618999999</v>
      </c>
      <c r="I1857">
        <v>1344.4151611</v>
      </c>
      <c r="J1857">
        <v>1340.0229492000001</v>
      </c>
      <c r="K1857">
        <v>0</v>
      </c>
      <c r="L1857">
        <v>2400</v>
      </c>
      <c r="M1857">
        <v>2400</v>
      </c>
      <c r="N1857">
        <v>0</v>
      </c>
    </row>
    <row r="1858" spans="1:14" x14ac:dyDescent="0.25">
      <c r="A1858">
        <v>1321.427878</v>
      </c>
      <c r="B1858" s="1">
        <f>DATE(2013,12,12) + TIME(10,16,8)</f>
        <v>41620.427870370368</v>
      </c>
      <c r="C1858">
        <v>80</v>
      </c>
      <c r="D1858">
        <v>77.074516295999999</v>
      </c>
      <c r="E1858">
        <v>50</v>
      </c>
      <c r="F1858">
        <v>49.979629516999999</v>
      </c>
      <c r="G1858">
        <v>1326.5933838000001</v>
      </c>
      <c r="H1858">
        <v>1324.3718262</v>
      </c>
      <c r="I1858">
        <v>1344.4089355000001</v>
      </c>
      <c r="J1858">
        <v>1340.0174560999999</v>
      </c>
      <c r="K1858">
        <v>0</v>
      </c>
      <c r="L1858">
        <v>2400</v>
      </c>
      <c r="M1858">
        <v>2400</v>
      </c>
      <c r="N1858">
        <v>0</v>
      </c>
    </row>
    <row r="1859" spans="1:14" x14ac:dyDescent="0.25">
      <c r="A1859">
        <v>1322.750677</v>
      </c>
      <c r="B1859" s="1">
        <f>DATE(2013,12,13) + TIME(18,0,58)</f>
        <v>41621.750671296293</v>
      </c>
      <c r="C1859">
        <v>80</v>
      </c>
      <c r="D1859">
        <v>77.002555846999996</v>
      </c>
      <c r="E1859">
        <v>50</v>
      </c>
      <c r="F1859">
        <v>49.979640961000001</v>
      </c>
      <c r="G1859">
        <v>1326.5535889</v>
      </c>
      <c r="H1859">
        <v>1324.3189697</v>
      </c>
      <c r="I1859">
        <v>1344.4029541</v>
      </c>
      <c r="J1859">
        <v>1340.0119629000001</v>
      </c>
      <c r="K1859">
        <v>0</v>
      </c>
      <c r="L1859">
        <v>2400</v>
      </c>
      <c r="M1859">
        <v>2400</v>
      </c>
      <c r="N1859">
        <v>0</v>
      </c>
    </row>
    <row r="1860" spans="1:14" x14ac:dyDescent="0.25">
      <c r="A1860">
        <v>1324.0929719999999</v>
      </c>
      <c r="B1860" s="1">
        <f>DATE(2013,12,15) + TIME(2,13,52)</f>
        <v>41623.092962962961</v>
      </c>
      <c r="C1860">
        <v>80</v>
      </c>
      <c r="D1860">
        <v>76.930091857999997</v>
      </c>
      <c r="E1860">
        <v>50</v>
      </c>
      <c r="F1860">
        <v>49.979656218999999</v>
      </c>
      <c r="G1860">
        <v>1326.5129394999999</v>
      </c>
      <c r="H1860">
        <v>1324.2647704999999</v>
      </c>
      <c r="I1860">
        <v>1344.3968506000001</v>
      </c>
      <c r="J1860">
        <v>1340.0064697</v>
      </c>
      <c r="K1860">
        <v>0</v>
      </c>
      <c r="L1860">
        <v>2400</v>
      </c>
      <c r="M1860">
        <v>2400</v>
      </c>
      <c r="N1860">
        <v>0</v>
      </c>
    </row>
    <row r="1861" spans="1:14" x14ac:dyDescent="0.25">
      <c r="A1861">
        <v>1325.4577549999999</v>
      </c>
      <c r="B1861" s="1">
        <f>DATE(2013,12,16) + TIME(10,59,10)</f>
        <v>41624.457754629628</v>
      </c>
      <c r="C1861">
        <v>80</v>
      </c>
      <c r="D1861">
        <v>76.857246399000005</v>
      </c>
      <c r="E1861">
        <v>50</v>
      </c>
      <c r="F1861">
        <v>49.979667663999997</v>
      </c>
      <c r="G1861">
        <v>1326.4714355000001</v>
      </c>
      <c r="H1861">
        <v>1324.2094727000001</v>
      </c>
      <c r="I1861">
        <v>1344.3909911999999</v>
      </c>
      <c r="J1861">
        <v>1340.0010986</v>
      </c>
      <c r="K1861">
        <v>0</v>
      </c>
      <c r="L1861">
        <v>2400</v>
      </c>
      <c r="M1861">
        <v>2400</v>
      </c>
      <c r="N1861">
        <v>0</v>
      </c>
    </row>
    <row r="1862" spans="1:14" x14ac:dyDescent="0.25">
      <c r="A1862">
        <v>1326.8479520000001</v>
      </c>
      <c r="B1862" s="1">
        <f>DATE(2013,12,17) + TIME(20,21,3)</f>
        <v>41625.847951388889</v>
      </c>
      <c r="C1862">
        <v>80</v>
      </c>
      <c r="D1862">
        <v>76.783988953000005</v>
      </c>
      <c r="E1862">
        <v>50</v>
      </c>
      <c r="F1862">
        <v>49.979682922000002</v>
      </c>
      <c r="G1862">
        <v>1326.4290771000001</v>
      </c>
      <c r="H1862">
        <v>1324.1530762</v>
      </c>
      <c r="I1862">
        <v>1344.3852539</v>
      </c>
      <c r="J1862">
        <v>1339.9958495999999</v>
      </c>
      <c r="K1862">
        <v>0</v>
      </c>
      <c r="L1862">
        <v>2400</v>
      </c>
      <c r="M1862">
        <v>2400</v>
      </c>
      <c r="N1862">
        <v>0</v>
      </c>
    </row>
    <row r="1863" spans="1:14" x14ac:dyDescent="0.25">
      <c r="A1863">
        <v>1328.264111</v>
      </c>
      <c r="B1863" s="1">
        <f>DATE(2013,12,19) + TIME(6,20,19)</f>
        <v>41627.264108796298</v>
      </c>
      <c r="C1863">
        <v>80</v>
      </c>
      <c r="D1863">
        <v>76.710296631000006</v>
      </c>
      <c r="E1863">
        <v>50</v>
      </c>
      <c r="F1863">
        <v>49.979694365999997</v>
      </c>
      <c r="G1863">
        <v>1326.3858643000001</v>
      </c>
      <c r="H1863">
        <v>1324.0955810999999</v>
      </c>
      <c r="I1863">
        <v>1344.3795166</v>
      </c>
      <c r="J1863">
        <v>1339.9904785000001</v>
      </c>
      <c r="K1863">
        <v>0</v>
      </c>
      <c r="L1863">
        <v>2400</v>
      </c>
      <c r="M1863">
        <v>2400</v>
      </c>
      <c r="N1863">
        <v>0</v>
      </c>
    </row>
    <row r="1864" spans="1:14" x14ac:dyDescent="0.25">
      <c r="A1864">
        <v>1329.708652</v>
      </c>
      <c r="B1864" s="1">
        <f>DATE(2013,12,20) + TIME(17,0,27)</f>
        <v>41628.708645833336</v>
      </c>
      <c r="C1864">
        <v>80</v>
      </c>
      <c r="D1864">
        <v>76.63609314</v>
      </c>
      <c r="E1864">
        <v>50</v>
      </c>
      <c r="F1864">
        <v>49.979709624999998</v>
      </c>
      <c r="G1864">
        <v>1326.3416748</v>
      </c>
      <c r="H1864">
        <v>1324.0366211</v>
      </c>
      <c r="I1864">
        <v>1344.3737793</v>
      </c>
      <c r="J1864">
        <v>1339.9852295000001</v>
      </c>
      <c r="K1864">
        <v>0</v>
      </c>
      <c r="L1864">
        <v>2400</v>
      </c>
      <c r="M1864">
        <v>2400</v>
      </c>
      <c r="N1864">
        <v>0</v>
      </c>
    </row>
    <row r="1865" spans="1:14" x14ac:dyDescent="0.25">
      <c r="A1865">
        <v>1331.1847700000001</v>
      </c>
      <c r="B1865" s="1">
        <f>DATE(2013,12,22) + TIME(4,26,4)</f>
        <v>41630.18476851852</v>
      </c>
      <c r="C1865">
        <v>80</v>
      </c>
      <c r="D1865">
        <v>76.561302185000002</v>
      </c>
      <c r="E1865">
        <v>50</v>
      </c>
      <c r="F1865">
        <v>49.979724883999999</v>
      </c>
      <c r="G1865">
        <v>1326.2966309000001</v>
      </c>
      <c r="H1865">
        <v>1323.9764404</v>
      </c>
      <c r="I1865">
        <v>1344.3681641000001</v>
      </c>
      <c r="J1865">
        <v>1339.9799805</v>
      </c>
      <c r="K1865">
        <v>0</v>
      </c>
      <c r="L1865">
        <v>2400</v>
      </c>
      <c r="M1865">
        <v>2400</v>
      </c>
      <c r="N1865">
        <v>0</v>
      </c>
    </row>
    <row r="1866" spans="1:14" x14ac:dyDescent="0.25">
      <c r="A1866">
        <v>1332.695731</v>
      </c>
      <c r="B1866" s="1">
        <f>DATE(2013,12,23) + TIME(16,41,51)</f>
        <v>41631.695729166669</v>
      </c>
      <c r="C1866">
        <v>80</v>
      </c>
      <c r="D1866">
        <v>76.485801696999999</v>
      </c>
      <c r="E1866">
        <v>50</v>
      </c>
      <c r="F1866">
        <v>49.979740143000001</v>
      </c>
      <c r="G1866">
        <v>1326.2503661999999</v>
      </c>
      <c r="H1866">
        <v>1323.9147949000001</v>
      </c>
      <c r="I1866">
        <v>1344.3625488</v>
      </c>
      <c r="J1866">
        <v>1339.9748535000001</v>
      </c>
      <c r="K1866">
        <v>0</v>
      </c>
      <c r="L1866">
        <v>2400</v>
      </c>
      <c r="M1866">
        <v>2400</v>
      </c>
      <c r="N1866">
        <v>0</v>
      </c>
    </row>
    <row r="1867" spans="1:14" x14ac:dyDescent="0.25">
      <c r="A1867">
        <v>1334.2452290000001</v>
      </c>
      <c r="B1867" s="1">
        <f>DATE(2013,12,25) + TIME(5,53,7)</f>
        <v>41633.245219907411</v>
      </c>
      <c r="C1867">
        <v>80</v>
      </c>
      <c r="D1867">
        <v>76.409461974999999</v>
      </c>
      <c r="E1867">
        <v>50</v>
      </c>
      <c r="F1867">
        <v>49.979759215999998</v>
      </c>
      <c r="G1867">
        <v>1326.2030029</v>
      </c>
      <c r="H1867">
        <v>1323.8515625</v>
      </c>
      <c r="I1867">
        <v>1344.3570557</v>
      </c>
      <c r="J1867">
        <v>1339.9696045000001</v>
      </c>
      <c r="K1867">
        <v>0</v>
      </c>
      <c r="L1867">
        <v>2400</v>
      </c>
      <c r="M1867">
        <v>2400</v>
      </c>
      <c r="N1867">
        <v>0</v>
      </c>
    </row>
    <row r="1868" spans="1:14" x14ac:dyDescent="0.25">
      <c r="A1868">
        <v>1335.8363340000001</v>
      </c>
      <c r="B1868" s="1">
        <f>DATE(2013,12,26) + TIME(20,4,19)</f>
        <v>41634.836331018516</v>
      </c>
      <c r="C1868">
        <v>80</v>
      </c>
      <c r="D1868">
        <v>76.332153320000003</v>
      </c>
      <c r="E1868">
        <v>50</v>
      </c>
      <c r="F1868">
        <v>49.979774474999999</v>
      </c>
      <c r="G1868">
        <v>1326.1544189000001</v>
      </c>
      <c r="H1868">
        <v>1323.786499</v>
      </c>
      <c r="I1868">
        <v>1344.3515625</v>
      </c>
      <c r="J1868">
        <v>1339.9644774999999</v>
      </c>
      <c r="K1868">
        <v>0</v>
      </c>
      <c r="L1868">
        <v>2400</v>
      </c>
      <c r="M1868">
        <v>2400</v>
      </c>
      <c r="N1868">
        <v>0</v>
      </c>
    </row>
    <row r="1869" spans="1:14" x14ac:dyDescent="0.25">
      <c r="A1869">
        <v>1337.472714</v>
      </c>
      <c r="B1869" s="1">
        <f>DATE(2013,12,28) + TIME(11,20,42)</f>
        <v>41636.472708333335</v>
      </c>
      <c r="C1869">
        <v>80</v>
      </c>
      <c r="D1869">
        <v>76.253753661999994</v>
      </c>
      <c r="E1869">
        <v>50</v>
      </c>
      <c r="F1869">
        <v>49.979789734000001</v>
      </c>
      <c r="G1869">
        <v>1326.1043701000001</v>
      </c>
      <c r="H1869">
        <v>1323.7197266000001</v>
      </c>
      <c r="I1869">
        <v>1344.3459473</v>
      </c>
      <c r="J1869">
        <v>1339.9592285000001</v>
      </c>
      <c r="K1869">
        <v>0</v>
      </c>
      <c r="L1869">
        <v>2400</v>
      </c>
      <c r="M1869">
        <v>2400</v>
      </c>
      <c r="N1869">
        <v>0</v>
      </c>
    </row>
    <row r="1870" spans="1:14" x14ac:dyDescent="0.25">
      <c r="A1870">
        <v>1339.1586689999999</v>
      </c>
      <c r="B1870" s="1">
        <f>DATE(2013,12,30) + TIME(3,48,29)</f>
        <v>41638.158668981479</v>
      </c>
      <c r="C1870">
        <v>80</v>
      </c>
      <c r="D1870">
        <v>76.174125670999999</v>
      </c>
      <c r="E1870">
        <v>50</v>
      </c>
      <c r="F1870">
        <v>49.979808806999998</v>
      </c>
      <c r="G1870">
        <v>1326.0528564000001</v>
      </c>
      <c r="H1870">
        <v>1323.6507568</v>
      </c>
      <c r="I1870">
        <v>1344.3404541</v>
      </c>
      <c r="J1870">
        <v>1339.9539795000001</v>
      </c>
      <c r="K1870">
        <v>0</v>
      </c>
      <c r="L1870">
        <v>2400</v>
      </c>
      <c r="M1870">
        <v>2400</v>
      </c>
      <c r="N1870">
        <v>0</v>
      </c>
    </row>
    <row r="1871" spans="1:14" x14ac:dyDescent="0.25">
      <c r="A1871">
        <v>1340.8987870000001</v>
      </c>
      <c r="B1871" s="1">
        <f>DATE(2013,12,31) + TIME(21,34,15)</f>
        <v>41639.898784722223</v>
      </c>
      <c r="C1871">
        <v>80</v>
      </c>
      <c r="D1871">
        <v>76.093116760000001</v>
      </c>
      <c r="E1871">
        <v>50</v>
      </c>
      <c r="F1871">
        <v>49.979827880999999</v>
      </c>
      <c r="G1871">
        <v>1325.9997559000001</v>
      </c>
      <c r="H1871">
        <v>1323.5797118999999</v>
      </c>
      <c r="I1871">
        <v>1344.3349608999999</v>
      </c>
      <c r="J1871">
        <v>1339.9487305</v>
      </c>
      <c r="K1871">
        <v>0</v>
      </c>
      <c r="L1871">
        <v>2400</v>
      </c>
      <c r="M1871">
        <v>2400</v>
      </c>
      <c r="N1871">
        <v>0</v>
      </c>
    </row>
    <row r="1872" spans="1:14" x14ac:dyDescent="0.25">
      <c r="A1872">
        <v>1341</v>
      </c>
      <c r="B1872" s="1">
        <f>DATE(2014,1,1) + TIME(0,0,0)</f>
        <v>41640</v>
      </c>
      <c r="C1872">
        <v>80</v>
      </c>
      <c r="D1872">
        <v>76.080070496000005</v>
      </c>
      <c r="E1872">
        <v>50</v>
      </c>
      <c r="F1872">
        <v>49.979824065999999</v>
      </c>
      <c r="G1872">
        <v>1325.9598389</v>
      </c>
      <c r="H1872">
        <v>1323.5230713000001</v>
      </c>
      <c r="I1872">
        <v>1344.3299560999999</v>
      </c>
      <c r="J1872">
        <v>1339.9454346</v>
      </c>
      <c r="K1872">
        <v>0</v>
      </c>
      <c r="L1872">
        <v>2400</v>
      </c>
      <c r="M1872">
        <v>2400</v>
      </c>
      <c r="N1872">
        <v>0</v>
      </c>
    </row>
    <row r="1873" spans="1:14" x14ac:dyDescent="0.25">
      <c r="A1873">
        <v>1342.7861680000001</v>
      </c>
      <c r="B1873" s="1">
        <f>DATE(2014,1,2) + TIME(18,52,4)</f>
        <v>41641.786157407405</v>
      </c>
      <c r="C1873">
        <v>80</v>
      </c>
      <c r="D1873">
        <v>76.003311156999999</v>
      </c>
      <c r="E1873">
        <v>50</v>
      </c>
      <c r="F1873">
        <v>49.979846954000003</v>
      </c>
      <c r="G1873">
        <v>1325.9392089999999</v>
      </c>
      <c r="H1873">
        <v>1323.4986572</v>
      </c>
      <c r="I1873">
        <v>1344.3289795000001</v>
      </c>
      <c r="J1873">
        <v>1339.9431152</v>
      </c>
      <c r="K1873">
        <v>0</v>
      </c>
      <c r="L1873">
        <v>2400</v>
      </c>
      <c r="M1873">
        <v>2400</v>
      </c>
      <c r="N1873">
        <v>0</v>
      </c>
    </row>
    <row r="1874" spans="1:14" x14ac:dyDescent="0.25">
      <c r="A1874">
        <v>1344.6087600000001</v>
      </c>
      <c r="B1874" s="1">
        <f>DATE(2014,1,4) + TIME(14,36,36)</f>
        <v>41643.608749999999</v>
      </c>
      <c r="C1874">
        <v>80</v>
      </c>
      <c r="D1874">
        <v>75.921775818</v>
      </c>
      <c r="E1874">
        <v>50</v>
      </c>
      <c r="F1874">
        <v>49.979866028000004</v>
      </c>
      <c r="G1874">
        <v>1325.8846435999999</v>
      </c>
      <c r="H1874">
        <v>1323.4254149999999</v>
      </c>
      <c r="I1874">
        <v>1344.3234863</v>
      </c>
      <c r="J1874">
        <v>1339.9379882999999</v>
      </c>
      <c r="K1874">
        <v>0</v>
      </c>
      <c r="L1874">
        <v>2400</v>
      </c>
      <c r="M1874">
        <v>2400</v>
      </c>
      <c r="N1874">
        <v>0</v>
      </c>
    </row>
    <row r="1875" spans="1:14" x14ac:dyDescent="0.25">
      <c r="A1875">
        <v>1346.4615530000001</v>
      </c>
      <c r="B1875" s="1">
        <f>DATE(2014,1,6) + TIME(11,4,38)</f>
        <v>41645.461550925924</v>
      </c>
      <c r="C1875">
        <v>80</v>
      </c>
      <c r="D1875">
        <v>75.838294982999997</v>
      </c>
      <c r="E1875">
        <v>50</v>
      </c>
      <c r="F1875">
        <v>49.979885101000001</v>
      </c>
      <c r="G1875">
        <v>1325.8273925999999</v>
      </c>
      <c r="H1875">
        <v>1323.3487548999999</v>
      </c>
      <c r="I1875">
        <v>1344.3179932</v>
      </c>
      <c r="J1875">
        <v>1339.9327393000001</v>
      </c>
      <c r="K1875">
        <v>0</v>
      </c>
      <c r="L1875">
        <v>2400</v>
      </c>
      <c r="M1875">
        <v>2400</v>
      </c>
      <c r="N1875">
        <v>0</v>
      </c>
    </row>
    <row r="1876" spans="1:14" x14ac:dyDescent="0.25">
      <c r="A1876">
        <v>1348.346172</v>
      </c>
      <c r="B1876" s="1">
        <f>DATE(2014,1,8) + TIME(8,18,29)</f>
        <v>41647.346168981479</v>
      </c>
      <c r="C1876">
        <v>80</v>
      </c>
      <c r="D1876">
        <v>75.753936768000003</v>
      </c>
      <c r="E1876">
        <v>50</v>
      </c>
      <c r="F1876">
        <v>49.979904175000001</v>
      </c>
      <c r="G1876">
        <v>1325.7686768000001</v>
      </c>
      <c r="H1876">
        <v>1323.2700195</v>
      </c>
      <c r="I1876">
        <v>1344.3125</v>
      </c>
      <c r="J1876">
        <v>1339.9274902</v>
      </c>
      <c r="K1876">
        <v>0</v>
      </c>
      <c r="L1876">
        <v>2400</v>
      </c>
      <c r="M1876">
        <v>2400</v>
      </c>
      <c r="N1876">
        <v>0</v>
      </c>
    </row>
    <row r="1877" spans="1:14" x14ac:dyDescent="0.25">
      <c r="A1877">
        <v>1350.265958</v>
      </c>
      <c r="B1877" s="1">
        <f>DATE(2014,1,10) + TIME(6,22,58)</f>
        <v>41649.265949074077</v>
      </c>
      <c r="C1877">
        <v>80</v>
      </c>
      <c r="D1877">
        <v>75.668937682999996</v>
      </c>
      <c r="E1877">
        <v>50</v>
      </c>
      <c r="F1877">
        <v>49.979923247999999</v>
      </c>
      <c r="G1877">
        <v>1325.7087402</v>
      </c>
      <c r="H1877">
        <v>1323.1896973</v>
      </c>
      <c r="I1877">
        <v>1344.3071289</v>
      </c>
      <c r="J1877">
        <v>1339.9223632999999</v>
      </c>
      <c r="K1877">
        <v>0</v>
      </c>
      <c r="L1877">
        <v>2400</v>
      </c>
      <c r="M1877">
        <v>2400</v>
      </c>
      <c r="N1877">
        <v>0</v>
      </c>
    </row>
    <row r="1878" spans="1:14" x14ac:dyDescent="0.25">
      <c r="A1878">
        <v>1352.2231280000001</v>
      </c>
      <c r="B1878" s="1">
        <f>DATE(2014,1,12) + TIME(5,21,18)</f>
        <v>41651.223124999997</v>
      </c>
      <c r="C1878">
        <v>80</v>
      </c>
      <c r="D1878">
        <v>75.583305358999993</v>
      </c>
      <c r="E1878">
        <v>50</v>
      </c>
      <c r="F1878">
        <v>49.979946136000002</v>
      </c>
      <c r="G1878">
        <v>1325.6477050999999</v>
      </c>
      <c r="H1878">
        <v>1323.1076660000001</v>
      </c>
      <c r="I1878">
        <v>1344.3017577999999</v>
      </c>
      <c r="J1878">
        <v>1339.9172363</v>
      </c>
      <c r="K1878">
        <v>0</v>
      </c>
      <c r="L1878">
        <v>2400</v>
      </c>
      <c r="M1878">
        <v>2400</v>
      </c>
      <c r="N1878">
        <v>0</v>
      </c>
    </row>
    <row r="1879" spans="1:14" x14ac:dyDescent="0.25">
      <c r="A1879">
        <v>1354.2223160000001</v>
      </c>
      <c r="B1879" s="1">
        <f>DATE(2014,1,14) + TIME(5,20,8)</f>
        <v>41653.222314814811</v>
      </c>
      <c r="C1879">
        <v>80</v>
      </c>
      <c r="D1879">
        <v>75.496910095000004</v>
      </c>
      <c r="E1879">
        <v>50</v>
      </c>
      <c r="F1879">
        <v>49.979965210000003</v>
      </c>
      <c r="G1879">
        <v>1325.5854492000001</v>
      </c>
      <c r="H1879">
        <v>1323.0240478999999</v>
      </c>
      <c r="I1879">
        <v>1344.2963867000001</v>
      </c>
      <c r="J1879">
        <v>1339.9121094</v>
      </c>
      <c r="K1879">
        <v>0</v>
      </c>
      <c r="L1879">
        <v>2400</v>
      </c>
      <c r="M1879">
        <v>2400</v>
      </c>
      <c r="N1879">
        <v>0</v>
      </c>
    </row>
    <row r="1880" spans="1:14" x14ac:dyDescent="0.25">
      <c r="A1880">
        <v>1356.268366</v>
      </c>
      <c r="B1880" s="1">
        <f>DATE(2014,1,16) + TIME(6,26,26)</f>
        <v>41655.26835648148</v>
      </c>
      <c r="C1880">
        <v>80</v>
      </c>
      <c r="D1880">
        <v>75.409561156999999</v>
      </c>
      <c r="E1880">
        <v>50</v>
      </c>
      <c r="F1880">
        <v>49.979988098</v>
      </c>
      <c r="G1880">
        <v>1325.5219727000001</v>
      </c>
      <c r="H1880">
        <v>1322.9385986</v>
      </c>
      <c r="I1880">
        <v>1344.2910156</v>
      </c>
      <c r="J1880">
        <v>1339.9071045000001</v>
      </c>
      <c r="K1880">
        <v>0</v>
      </c>
      <c r="L1880">
        <v>2400</v>
      </c>
      <c r="M1880">
        <v>2400</v>
      </c>
      <c r="N1880">
        <v>0</v>
      </c>
    </row>
    <row r="1881" spans="1:14" x14ac:dyDescent="0.25">
      <c r="A1881">
        <v>1358.3664000000001</v>
      </c>
      <c r="B1881" s="1">
        <f>DATE(2014,1,18) + TIME(8,47,36)</f>
        <v>41657.366388888891</v>
      </c>
      <c r="C1881">
        <v>80</v>
      </c>
      <c r="D1881">
        <v>75.321044921999999</v>
      </c>
      <c r="E1881">
        <v>50</v>
      </c>
      <c r="F1881">
        <v>49.980007172000001</v>
      </c>
      <c r="G1881">
        <v>1325.4569091999999</v>
      </c>
      <c r="H1881">
        <v>1322.8510742000001</v>
      </c>
      <c r="I1881">
        <v>1344.2857666</v>
      </c>
      <c r="J1881">
        <v>1339.9019774999999</v>
      </c>
      <c r="K1881">
        <v>0</v>
      </c>
      <c r="L1881">
        <v>2400</v>
      </c>
      <c r="M1881">
        <v>2400</v>
      </c>
      <c r="N1881">
        <v>0</v>
      </c>
    </row>
    <row r="1882" spans="1:14" x14ac:dyDescent="0.25">
      <c r="A1882">
        <v>1360.521886</v>
      </c>
      <c r="B1882" s="1">
        <f>DATE(2014,1,20) + TIME(12,31,30)</f>
        <v>41659.521874999999</v>
      </c>
      <c r="C1882">
        <v>80</v>
      </c>
      <c r="D1882">
        <v>75.231101989999999</v>
      </c>
      <c r="E1882">
        <v>50</v>
      </c>
      <c r="F1882">
        <v>49.980030059999997</v>
      </c>
      <c r="G1882">
        <v>1325.3902588000001</v>
      </c>
      <c r="H1882">
        <v>1322.7613524999999</v>
      </c>
      <c r="I1882">
        <v>1344.2803954999999</v>
      </c>
      <c r="J1882">
        <v>1339.8968506000001</v>
      </c>
      <c r="K1882">
        <v>0</v>
      </c>
      <c r="L1882">
        <v>2400</v>
      </c>
      <c r="M1882">
        <v>2400</v>
      </c>
      <c r="N1882">
        <v>0</v>
      </c>
    </row>
    <row r="1883" spans="1:14" x14ac:dyDescent="0.25">
      <c r="A1883">
        <v>1362.739566</v>
      </c>
      <c r="B1883" s="1">
        <f>DATE(2014,1,22) + TIME(17,44,58)</f>
        <v>41661.739560185182</v>
      </c>
      <c r="C1883">
        <v>80</v>
      </c>
      <c r="D1883">
        <v>75.139518738000007</v>
      </c>
      <c r="E1883">
        <v>50</v>
      </c>
      <c r="F1883">
        <v>49.980052948000001</v>
      </c>
      <c r="G1883">
        <v>1325.3217772999999</v>
      </c>
      <c r="H1883">
        <v>1322.6693115</v>
      </c>
      <c r="I1883">
        <v>1344.2749022999999</v>
      </c>
      <c r="J1883">
        <v>1339.8918457</v>
      </c>
      <c r="K1883">
        <v>0</v>
      </c>
      <c r="L1883">
        <v>2400</v>
      </c>
      <c r="M1883">
        <v>2400</v>
      </c>
      <c r="N1883">
        <v>0</v>
      </c>
    </row>
    <row r="1884" spans="1:14" x14ac:dyDescent="0.25">
      <c r="A1884">
        <v>1365.0230260000001</v>
      </c>
      <c r="B1884" s="1">
        <f>DATE(2014,1,25) + TIME(0,33,9)</f>
        <v>41664.023020833331</v>
      </c>
      <c r="C1884">
        <v>80</v>
      </c>
      <c r="D1884">
        <v>75.046012877999999</v>
      </c>
      <c r="E1884">
        <v>50</v>
      </c>
      <c r="F1884">
        <v>49.980075835999997</v>
      </c>
      <c r="G1884">
        <v>1325.2515868999999</v>
      </c>
      <c r="H1884">
        <v>1322.5745850000001</v>
      </c>
      <c r="I1884">
        <v>1344.2695312000001</v>
      </c>
      <c r="J1884">
        <v>1339.8867187999999</v>
      </c>
      <c r="K1884">
        <v>0</v>
      </c>
      <c r="L1884">
        <v>2400</v>
      </c>
      <c r="M1884">
        <v>2400</v>
      </c>
      <c r="N1884">
        <v>0</v>
      </c>
    </row>
    <row r="1885" spans="1:14" x14ac:dyDescent="0.25">
      <c r="A1885">
        <v>1367.3539969999999</v>
      </c>
      <c r="B1885" s="1">
        <f>DATE(2014,1,27) + TIME(8,29,45)</f>
        <v>41666.353993055556</v>
      </c>
      <c r="C1885">
        <v>80</v>
      </c>
      <c r="D1885">
        <v>74.950531006000006</v>
      </c>
      <c r="E1885">
        <v>50</v>
      </c>
      <c r="F1885">
        <v>49.980098724000001</v>
      </c>
      <c r="G1885">
        <v>1325.1793213000001</v>
      </c>
      <c r="H1885">
        <v>1322.4772949000001</v>
      </c>
      <c r="I1885">
        <v>1344.2640381000001</v>
      </c>
      <c r="J1885">
        <v>1339.8815918</v>
      </c>
      <c r="K1885">
        <v>0</v>
      </c>
      <c r="L1885">
        <v>2400</v>
      </c>
      <c r="M1885">
        <v>2400</v>
      </c>
      <c r="N1885">
        <v>0</v>
      </c>
    </row>
    <row r="1886" spans="1:14" x14ac:dyDescent="0.25">
      <c r="A1886">
        <v>1369.7318069999999</v>
      </c>
      <c r="B1886" s="1">
        <f>DATE(2014,1,29) + TIME(17,33,48)</f>
        <v>41668.731805555559</v>
      </c>
      <c r="C1886">
        <v>80</v>
      </c>
      <c r="D1886">
        <v>74.853332519999995</v>
      </c>
      <c r="E1886">
        <v>50</v>
      </c>
      <c r="F1886">
        <v>49.980121613000001</v>
      </c>
      <c r="G1886">
        <v>1325.1055908000001</v>
      </c>
      <c r="H1886">
        <v>1322.3776855000001</v>
      </c>
      <c r="I1886">
        <v>1344.2585449000001</v>
      </c>
      <c r="J1886">
        <v>1339.8764647999999</v>
      </c>
      <c r="K1886">
        <v>0</v>
      </c>
      <c r="L1886">
        <v>2400</v>
      </c>
      <c r="M1886">
        <v>2400</v>
      </c>
      <c r="N1886">
        <v>0</v>
      </c>
    </row>
    <row r="1887" spans="1:14" x14ac:dyDescent="0.25">
      <c r="A1887">
        <v>1372</v>
      </c>
      <c r="B1887" s="1">
        <f>DATE(2014,2,1) + TIME(0,0,0)</f>
        <v>41671</v>
      </c>
      <c r="C1887">
        <v>80</v>
      </c>
      <c r="D1887">
        <v>74.756072997999993</v>
      </c>
      <c r="E1887">
        <v>50</v>
      </c>
      <c r="F1887">
        <v>49.980144500999998</v>
      </c>
      <c r="G1887">
        <v>1325.0306396000001</v>
      </c>
      <c r="H1887">
        <v>1322.2766113</v>
      </c>
      <c r="I1887">
        <v>1344.2530518000001</v>
      </c>
      <c r="J1887">
        <v>1339.8713379000001</v>
      </c>
      <c r="K1887">
        <v>0</v>
      </c>
      <c r="L1887">
        <v>2400</v>
      </c>
      <c r="M1887">
        <v>2400</v>
      </c>
      <c r="N1887">
        <v>0</v>
      </c>
    </row>
    <row r="1888" spans="1:14" x14ac:dyDescent="0.25">
      <c r="A1888">
        <v>1374.4305859999999</v>
      </c>
      <c r="B1888" s="1">
        <f>DATE(2014,2,3) + TIME(10,20,2)</f>
        <v>41673.430578703701</v>
      </c>
      <c r="C1888">
        <v>80</v>
      </c>
      <c r="D1888">
        <v>74.659492493000002</v>
      </c>
      <c r="E1888">
        <v>50</v>
      </c>
      <c r="F1888">
        <v>49.980167389000002</v>
      </c>
      <c r="G1888">
        <v>1324.9573975000001</v>
      </c>
      <c r="H1888">
        <v>1322.1774902</v>
      </c>
      <c r="I1888">
        <v>1344.2478027</v>
      </c>
      <c r="J1888">
        <v>1339.8665771000001</v>
      </c>
      <c r="K1888">
        <v>0</v>
      </c>
      <c r="L1888">
        <v>2400</v>
      </c>
      <c r="M1888">
        <v>2400</v>
      </c>
      <c r="N1888">
        <v>0</v>
      </c>
    </row>
    <row r="1889" spans="1:14" x14ac:dyDescent="0.25">
      <c r="A1889">
        <v>1376.981256</v>
      </c>
      <c r="B1889" s="1">
        <f>DATE(2014,2,5) + TIME(23,33,0)</f>
        <v>41675.981249999997</v>
      </c>
      <c r="C1889">
        <v>80</v>
      </c>
      <c r="D1889">
        <v>74.558502196999996</v>
      </c>
      <c r="E1889">
        <v>50</v>
      </c>
      <c r="F1889">
        <v>49.980194091999998</v>
      </c>
      <c r="G1889">
        <v>1324.8813477000001</v>
      </c>
      <c r="H1889">
        <v>1322.074707</v>
      </c>
      <c r="I1889">
        <v>1344.2424315999999</v>
      </c>
      <c r="J1889">
        <v>1339.8615723</v>
      </c>
      <c r="K1889">
        <v>0</v>
      </c>
      <c r="L1889">
        <v>2400</v>
      </c>
      <c r="M1889">
        <v>2400</v>
      </c>
      <c r="N1889">
        <v>0</v>
      </c>
    </row>
    <row r="1890" spans="1:14" x14ac:dyDescent="0.25">
      <c r="A1890">
        <v>1379.590312</v>
      </c>
      <c r="B1890" s="1">
        <f>DATE(2014,2,8) + TIME(14,10,2)</f>
        <v>41678.590300925927</v>
      </c>
      <c r="C1890">
        <v>80</v>
      </c>
      <c r="D1890">
        <v>74.453002929999997</v>
      </c>
      <c r="E1890">
        <v>50</v>
      </c>
      <c r="F1890">
        <v>49.980216980000002</v>
      </c>
      <c r="G1890">
        <v>1324.8018798999999</v>
      </c>
      <c r="H1890">
        <v>1321.9674072</v>
      </c>
      <c r="I1890">
        <v>1344.2368164</v>
      </c>
      <c r="J1890">
        <v>1339.8564452999999</v>
      </c>
      <c r="K1890">
        <v>0</v>
      </c>
      <c r="L1890">
        <v>2400</v>
      </c>
      <c r="M1890">
        <v>2400</v>
      </c>
      <c r="N1890">
        <v>0</v>
      </c>
    </row>
    <row r="1891" spans="1:14" x14ac:dyDescent="0.25">
      <c r="A1891">
        <v>1382.256932</v>
      </c>
      <c r="B1891" s="1">
        <f>DATE(2014,2,11) + TIME(6,9,58)</f>
        <v>41681.256921296299</v>
      </c>
      <c r="C1891">
        <v>80</v>
      </c>
      <c r="D1891">
        <v>74.344200134000005</v>
      </c>
      <c r="E1891">
        <v>50</v>
      </c>
      <c r="F1891">
        <v>49.980243682999998</v>
      </c>
      <c r="G1891">
        <v>1324.7203368999999</v>
      </c>
      <c r="H1891">
        <v>1321.8569336</v>
      </c>
      <c r="I1891">
        <v>1344.2312012</v>
      </c>
      <c r="J1891">
        <v>1339.8514404</v>
      </c>
      <c r="K1891">
        <v>0</v>
      </c>
      <c r="L1891">
        <v>2400</v>
      </c>
      <c r="M1891">
        <v>2400</v>
      </c>
      <c r="N1891">
        <v>0</v>
      </c>
    </row>
    <row r="1892" spans="1:14" x14ac:dyDescent="0.25">
      <c r="A1892">
        <v>1384.9811729999999</v>
      </c>
      <c r="B1892" s="1">
        <f>DATE(2014,2,13) + TIME(23,32,53)</f>
        <v>41683.981168981481</v>
      </c>
      <c r="C1892">
        <v>80</v>
      </c>
      <c r="D1892">
        <v>74.232170104999994</v>
      </c>
      <c r="E1892">
        <v>50</v>
      </c>
      <c r="F1892">
        <v>49.980266571000001</v>
      </c>
      <c r="G1892">
        <v>1324.6370850000001</v>
      </c>
      <c r="H1892">
        <v>1321.7441406</v>
      </c>
      <c r="I1892">
        <v>1344.2254639</v>
      </c>
      <c r="J1892">
        <v>1339.8463135</v>
      </c>
      <c r="K1892">
        <v>0</v>
      </c>
      <c r="L1892">
        <v>2400</v>
      </c>
      <c r="M1892">
        <v>2400</v>
      </c>
      <c r="N1892">
        <v>0</v>
      </c>
    </row>
    <row r="1893" spans="1:14" x14ac:dyDescent="0.25">
      <c r="A1893">
        <v>1387.763837</v>
      </c>
      <c r="B1893" s="1">
        <f>DATE(2014,2,16) + TIME(18,19,55)</f>
        <v>41686.763831018521</v>
      </c>
      <c r="C1893">
        <v>80</v>
      </c>
      <c r="D1893">
        <v>74.116676330999994</v>
      </c>
      <c r="E1893">
        <v>50</v>
      </c>
      <c r="F1893">
        <v>49.980293273999997</v>
      </c>
      <c r="G1893">
        <v>1324.5522461</v>
      </c>
      <c r="H1893">
        <v>1321.6291504000001</v>
      </c>
      <c r="I1893">
        <v>1344.2197266000001</v>
      </c>
      <c r="J1893">
        <v>1339.8411865</v>
      </c>
      <c r="K1893">
        <v>0</v>
      </c>
      <c r="L1893">
        <v>2400</v>
      </c>
      <c r="M1893">
        <v>2400</v>
      </c>
      <c r="N1893">
        <v>0</v>
      </c>
    </row>
    <row r="1894" spans="1:14" x14ac:dyDescent="0.25">
      <c r="A1894">
        <v>1390.6001020000001</v>
      </c>
      <c r="B1894" s="1">
        <f>DATE(2014,2,19) + TIME(14,24,8)</f>
        <v>41689.600092592591</v>
      </c>
      <c r="C1894">
        <v>80</v>
      </c>
      <c r="D1894">
        <v>73.997390746999997</v>
      </c>
      <c r="E1894">
        <v>50</v>
      </c>
      <c r="F1894">
        <v>49.980319977000001</v>
      </c>
      <c r="G1894">
        <v>1324.4659423999999</v>
      </c>
      <c r="H1894">
        <v>1321.5120850000001</v>
      </c>
      <c r="I1894">
        <v>1344.2138672000001</v>
      </c>
      <c r="J1894">
        <v>1339.8360596</v>
      </c>
      <c r="K1894">
        <v>0</v>
      </c>
      <c r="L1894">
        <v>2400</v>
      </c>
      <c r="M1894">
        <v>2400</v>
      </c>
      <c r="N1894">
        <v>0</v>
      </c>
    </row>
    <row r="1895" spans="1:14" x14ac:dyDescent="0.25">
      <c r="A1895">
        <v>1393.4944230000001</v>
      </c>
      <c r="B1895" s="1">
        <f>DATE(2014,2,22) + TIME(11,51,58)</f>
        <v>41692.494421296295</v>
      </c>
      <c r="C1895">
        <v>80</v>
      </c>
      <c r="D1895">
        <v>73.874031067000004</v>
      </c>
      <c r="E1895">
        <v>50</v>
      </c>
      <c r="F1895">
        <v>49.980346679999997</v>
      </c>
      <c r="G1895">
        <v>1324.378418</v>
      </c>
      <c r="H1895">
        <v>1321.3930664</v>
      </c>
      <c r="I1895">
        <v>1344.2081298999999</v>
      </c>
      <c r="J1895">
        <v>1339.8310547000001</v>
      </c>
      <c r="K1895">
        <v>0</v>
      </c>
      <c r="L1895">
        <v>2400</v>
      </c>
      <c r="M1895">
        <v>2400</v>
      </c>
      <c r="N1895">
        <v>0</v>
      </c>
    </row>
    <row r="1896" spans="1:14" x14ac:dyDescent="0.25">
      <c r="A1896">
        <v>1396.455019</v>
      </c>
      <c r="B1896" s="1">
        <f>DATE(2014,2,25) + TIME(10,55,13)</f>
        <v>41695.455011574071</v>
      </c>
      <c r="C1896">
        <v>80</v>
      </c>
      <c r="D1896">
        <v>73.746009826999995</v>
      </c>
      <c r="E1896">
        <v>50</v>
      </c>
      <c r="F1896">
        <v>49.980373383</v>
      </c>
      <c r="G1896">
        <v>1324.2895507999999</v>
      </c>
      <c r="H1896">
        <v>1321.2720947</v>
      </c>
      <c r="I1896">
        <v>1344.2022704999999</v>
      </c>
      <c r="J1896">
        <v>1339.8259277</v>
      </c>
      <c r="K1896">
        <v>0</v>
      </c>
      <c r="L1896">
        <v>2400</v>
      </c>
      <c r="M1896">
        <v>2400</v>
      </c>
      <c r="N1896">
        <v>0</v>
      </c>
    </row>
    <row r="1897" spans="1:14" x14ac:dyDescent="0.25">
      <c r="A1897">
        <v>1399.4904730000001</v>
      </c>
      <c r="B1897" s="1">
        <f>DATE(2014,2,28) + TIME(11,46,16)</f>
        <v>41698.49046296296</v>
      </c>
      <c r="C1897">
        <v>80</v>
      </c>
      <c r="D1897">
        <v>73.612533568999993</v>
      </c>
      <c r="E1897">
        <v>50</v>
      </c>
      <c r="F1897">
        <v>49.980400084999999</v>
      </c>
      <c r="G1897">
        <v>1324.1990966999999</v>
      </c>
      <c r="H1897">
        <v>1321.1491699000001</v>
      </c>
      <c r="I1897">
        <v>1344.1962891000001</v>
      </c>
      <c r="J1897">
        <v>1339.8209228999999</v>
      </c>
      <c r="K1897">
        <v>0</v>
      </c>
      <c r="L1897">
        <v>2400</v>
      </c>
      <c r="M1897">
        <v>2400</v>
      </c>
      <c r="N1897">
        <v>0</v>
      </c>
    </row>
    <row r="1898" spans="1:14" x14ac:dyDescent="0.25">
      <c r="A1898">
        <v>1400</v>
      </c>
      <c r="B1898" s="1">
        <f>DATE(2014,3,1) + TIME(0,0,0)</f>
        <v>41699</v>
      </c>
      <c r="C1898">
        <v>80</v>
      </c>
      <c r="D1898">
        <v>73.540214539000004</v>
      </c>
      <c r="E1898">
        <v>50</v>
      </c>
      <c r="F1898">
        <v>49.980396270999996</v>
      </c>
      <c r="G1898">
        <v>1324.1180420000001</v>
      </c>
      <c r="H1898">
        <v>1321.0401611</v>
      </c>
      <c r="I1898">
        <v>1344.1905518000001</v>
      </c>
      <c r="J1898">
        <v>1339.8165283000001</v>
      </c>
      <c r="K1898">
        <v>0</v>
      </c>
      <c r="L1898">
        <v>2400</v>
      </c>
      <c r="M1898">
        <v>2400</v>
      </c>
      <c r="N1898">
        <v>0</v>
      </c>
    </row>
    <row r="1899" spans="1:14" x14ac:dyDescent="0.25">
      <c r="A1899">
        <v>1403.119743</v>
      </c>
      <c r="B1899" s="1">
        <f>DATE(2014,3,4) + TIME(2,52,25)</f>
        <v>41702.119733796295</v>
      </c>
      <c r="C1899">
        <v>80</v>
      </c>
      <c r="D1899">
        <v>73.439636230000005</v>
      </c>
      <c r="E1899">
        <v>50</v>
      </c>
      <c r="F1899">
        <v>49.980430603000002</v>
      </c>
      <c r="G1899">
        <v>1324.0798339999999</v>
      </c>
      <c r="H1899">
        <v>1320.9847411999999</v>
      </c>
      <c r="I1899">
        <v>1344.1892089999999</v>
      </c>
      <c r="J1899">
        <v>1339.8146973</v>
      </c>
      <c r="K1899">
        <v>0</v>
      </c>
      <c r="L1899">
        <v>2400</v>
      </c>
      <c r="M1899">
        <v>2400</v>
      </c>
      <c r="N1899">
        <v>0</v>
      </c>
    </row>
    <row r="1900" spans="1:14" x14ac:dyDescent="0.25">
      <c r="A1900">
        <v>1406.35132</v>
      </c>
      <c r="B1900" s="1">
        <f>DATE(2014,3,7) + TIME(8,25,54)</f>
        <v>41705.351319444446</v>
      </c>
      <c r="C1900">
        <v>80</v>
      </c>
      <c r="D1900">
        <v>73.299011230000005</v>
      </c>
      <c r="E1900">
        <v>50</v>
      </c>
      <c r="F1900">
        <v>49.980457305999998</v>
      </c>
      <c r="G1900">
        <v>1323.9957274999999</v>
      </c>
      <c r="H1900">
        <v>1320.8714600000001</v>
      </c>
      <c r="I1900">
        <v>1344.1831055</v>
      </c>
      <c r="J1900">
        <v>1339.8098144999999</v>
      </c>
      <c r="K1900">
        <v>0</v>
      </c>
      <c r="L1900">
        <v>2400</v>
      </c>
      <c r="M1900">
        <v>2400</v>
      </c>
      <c r="N1900">
        <v>0</v>
      </c>
    </row>
    <row r="1901" spans="1:14" x14ac:dyDescent="0.25">
      <c r="A1901">
        <v>1409.6888530000001</v>
      </c>
      <c r="B1901" s="1">
        <f>DATE(2014,3,10) + TIME(16,31,56)</f>
        <v>41708.688842592594</v>
      </c>
      <c r="C1901">
        <v>80</v>
      </c>
      <c r="D1901">
        <v>73.142982482999997</v>
      </c>
      <c r="E1901">
        <v>50</v>
      </c>
      <c r="F1901">
        <v>49.980484009000001</v>
      </c>
      <c r="G1901">
        <v>1323.9014893000001</v>
      </c>
      <c r="H1901">
        <v>1320.7430420000001</v>
      </c>
      <c r="I1901">
        <v>1344.1767577999999</v>
      </c>
      <c r="J1901">
        <v>1339.8045654</v>
      </c>
      <c r="K1901">
        <v>0</v>
      </c>
      <c r="L1901">
        <v>2400</v>
      </c>
      <c r="M1901">
        <v>2400</v>
      </c>
      <c r="N1901">
        <v>0</v>
      </c>
    </row>
    <row r="1902" spans="1:14" x14ac:dyDescent="0.25">
      <c r="A1902">
        <v>1413.1133600000001</v>
      </c>
      <c r="B1902" s="1">
        <f>DATE(2014,3,14) + TIME(2,43,14)</f>
        <v>41712.113356481481</v>
      </c>
      <c r="C1902">
        <v>80</v>
      </c>
      <c r="D1902">
        <v>72.975990295000003</v>
      </c>
      <c r="E1902">
        <v>50</v>
      </c>
      <c r="F1902">
        <v>49.980514526</v>
      </c>
      <c r="G1902">
        <v>1323.8033447</v>
      </c>
      <c r="H1902">
        <v>1320.6090088000001</v>
      </c>
      <c r="I1902">
        <v>1344.1701660000001</v>
      </c>
      <c r="J1902">
        <v>1339.7993164</v>
      </c>
      <c r="K1902">
        <v>0</v>
      </c>
      <c r="L1902">
        <v>2400</v>
      </c>
      <c r="M1902">
        <v>2400</v>
      </c>
      <c r="N1902">
        <v>0</v>
      </c>
    </row>
    <row r="1903" spans="1:14" x14ac:dyDescent="0.25">
      <c r="A1903">
        <v>1416.602742</v>
      </c>
      <c r="B1903" s="1">
        <f>DATE(2014,3,17) + TIME(14,27,56)</f>
        <v>41715.602731481478</v>
      </c>
      <c r="C1903">
        <v>80</v>
      </c>
      <c r="D1903">
        <v>72.798896790000001</v>
      </c>
      <c r="E1903">
        <v>50</v>
      </c>
      <c r="F1903">
        <v>49.980541229000004</v>
      </c>
      <c r="G1903">
        <v>1323.703125</v>
      </c>
      <c r="H1903">
        <v>1320.4718018000001</v>
      </c>
      <c r="I1903">
        <v>1344.1635742000001</v>
      </c>
      <c r="J1903">
        <v>1339.7940673999999</v>
      </c>
      <c r="K1903">
        <v>0</v>
      </c>
      <c r="L1903">
        <v>2400</v>
      </c>
      <c r="M1903">
        <v>2400</v>
      </c>
      <c r="N1903">
        <v>0</v>
      </c>
    </row>
    <row r="1904" spans="1:14" x14ac:dyDescent="0.25">
      <c r="A1904">
        <v>1420.1694649999999</v>
      </c>
      <c r="B1904" s="1">
        <f>DATE(2014,3,21) + TIME(4,4,1)</f>
        <v>41719.169456018521</v>
      </c>
      <c r="C1904">
        <v>80</v>
      </c>
      <c r="D1904">
        <v>72.611907959000007</v>
      </c>
      <c r="E1904">
        <v>50</v>
      </c>
      <c r="F1904">
        <v>49.980567932</v>
      </c>
      <c r="G1904">
        <v>1323.6018065999999</v>
      </c>
      <c r="H1904">
        <v>1320.3327637</v>
      </c>
      <c r="I1904">
        <v>1344.1568603999999</v>
      </c>
      <c r="J1904">
        <v>1339.7886963000001</v>
      </c>
      <c r="K1904">
        <v>0</v>
      </c>
      <c r="L1904">
        <v>2400</v>
      </c>
      <c r="M1904">
        <v>2400</v>
      </c>
      <c r="N1904">
        <v>0</v>
      </c>
    </row>
    <row r="1905" spans="1:14" x14ac:dyDescent="0.25">
      <c r="A1905">
        <v>1423.8258229999999</v>
      </c>
      <c r="B1905" s="1">
        <f>DATE(2014,3,24) + TIME(19,49,11)</f>
        <v>41722.825821759259</v>
      </c>
      <c r="C1905">
        <v>80</v>
      </c>
      <c r="D1905">
        <v>72.413825989000003</v>
      </c>
      <c r="E1905">
        <v>50</v>
      </c>
      <c r="F1905">
        <v>49.980598450000002</v>
      </c>
      <c r="G1905">
        <v>1323.4992675999999</v>
      </c>
      <c r="H1905">
        <v>1320.1920166</v>
      </c>
      <c r="I1905">
        <v>1344.1500243999999</v>
      </c>
      <c r="J1905">
        <v>1339.7833252</v>
      </c>
      <c r="K1905">
        <v>0</v>
      </c>
      <c r="L1905">
        <v>2400</v>
      </c>
      <c r="M1905">
        <v>2400</v>
      </c>
      <c r="N1905">
        <v>0</v>
      </c>
    </row>
    <row r="1906" spans="1:14" x14ac:dyDescent="0.25">
      <c r="A1906">
        <v>1427.58557</v>
      </c>
      <c r="B1906" s="1">
        <f>DATE(2014,3,28) + TIME(14,3,13)</f>
        <v>41726.58556712963</v>
      </c>
      <c r="C1906">
        <v>80</v>
      </c>
      <c r="D1906">
        <v>72.203155518000003</v>
      </c>
      <c r="E1906">
        <v>50</v>
      </c>
      <c r="F1906">
        <v>49.980625152999998</v>
      </c>
      <c r="G1906">
        <v>1323.3956298999999</v>
      </c>
      <c r="H1906">
        <v>1320.0494385</v>
      </c>
      <c r="I1906">
        <v>1344.1430664</v>
      </c>
      <c r="J1906">
        <v>1339.7779541</v>
      </c>
      <c r="K1906">
        <v>0</v>
      </c>
      <c r="L1906">
        <v>2400</v>
      </c>
      <c r="M1906">
        <v>2400</v>
      </c>
      <c r="N1906">
        <v>0</v>
      </c>
    </row>
    <row r="1907" spans="1:14" x14ac:dyDescent="0.25">
      <c r="A1907">
        <v>1431</v>
      </c>
      <c r="B1907" s="1">
        <f>DATE(2014,4,1) + TIME(0,0,0)</f>
        <v>41730</v>
      </c>
      <c r="C1907">
        <v>80</v>
      </c>
      <c r="D1907">
        <v>71.982490540000001</v>
      </c>
      <c r="E1907">
        <v>50</v>
      </c>
      <c r="F1907">
        <v>49.980651854999998</v>
      </c>
      <c r="G1907">
        <v>1323.2908935999999</v>
      </c>
      <c r="H1907">
        <v>1319.9053954999999</v>
      </c>
      <c r="I1907">
        <v>1344.1359863</v>
      </c>
      <c r="J1907">
        <v>1339.7724608999999</v>
      </c>
      <c r="K1907">
        <v>0</v>
      </c>
      <c r="L1907">
        <v>2400</v>
      </c>
      <c r="M1907">
        <v>2400</v>
      </c>
      <c r="N1907">
        <v>0</v>
      </c>
    </row>
    <row r="1908" spans="1:14" x14ac:dyDescent="0.25">
      <c r="A1908">
        <v>1434.8782269999999</v>
      </c>
      <c r="B1908" s="1">
        <f>DATE(2014,4,4) + TIME(21,4,38)</f>
        <v>41733.878217592595</v>
      </c>
      <c r="C1908">
        <v>80</v>
      </c>
      <c r="D1908">
        <v>71.763504028</v>
      </c>
      <c r="E1908">
        <v>50</v>
      </c>
      <c r="F1908">
        <v>49.980682373</v>
      </c>
      <c r="G1908">
        <v>1323.1926269999999</v>
      </c>
      <c r="H1908">
        <v>1319.769043</v>
      </c>
      <c r="I1908">
        <v>1344.1293945</v>
      </c>
      <c r="J1908">
        <v>1339.7674560999999</v>
      </c>
      <c r="K1908">
        <v>0</v>
      </c>
      <c r="L1908">
        <v>2400</v>
      </c>
      <c r="M1908">
        <v>2400</v>
      </c>
      <c r="N1908">
        <v>0</v>
      </c>
    </row>
    <row r="1909" spans="1:14" x14ac:dyDescent="0.25">
      <c r="A1909">
        <v>1439.0060579999999</v>
      </c>
      <c r="B1909" s="1">
        <f>DATE(2014,4,9) + TIME(0,8,43)</f>
        <v>41738.006053240744</v>
      </c>
      <c r="C1909">
        <v>80</v>
      </c>
      <c r="D1909">
        <v>71.514862061000002</v>
      </c>
      <c r="E1909">
        <v>50</v>
      </c>
      <c r="F1909">
        <v>49.980712891000003</v>
      </c>
      <c r="G1909">
        <v>1323.0894774999999</v>
      </c>
      <c r="H1909">
        <v>1319.6269531</v>
      </c>
      <c r="I1909">
        <v>1344.1220702999999</v>
      </c>
      <c r="J1909">
        <v>1339.7619629000001</v>
      </c>
      <c r="K1909">
        <v>0</v>
      </c>
      <c r="L1909">
        <v>2400</v>
      </c>
      <c r="M1909">
        <v>2400</v>
      </c>
      <c r="N1909">
        <v>0</v>
      </c>
    </row>
    <row r="1910" spans="1:14" x14ac:dyDescent="0.25">
      <c r="A1910">
        <v>1443.201609</v>
      </c>
      <c r="B1910" s="1">
        <f>DATE(2014,4,13) + TIME(4,50,18)</f>
        <v>41742.201597222222</v>
      </c>
      <c r="C1910">
        <v>80</v>
      </c>
      <c r="D1910">
        <v>71.240264893000003</v>
      </c>
      <c r="E1910">
        <v>50</v>
      </c>
      <c r="F1910">
        <v>49.980743408000002</v>
      </c>
      <c r="G1910">
        <v>1322.9807129000001</v>
      </c>
      <c r="H1910">
        <v>1319.4765625</v>
      </c>
      <c r="I1910">
        <v>1344.1142577999999</v>
      </c>
      <c r="J1910">
        <v>1339.7562256000001</v>
      </c>
      <c r="K1910">
        <v>0</v>
      </c>
      <c r="L1910">
        <v>2400</v>
      </c>
      <c r="M1910">
        <v>2400</v>
      </c>
      <c r="N1910">
        <v>0</v>
      </c>
    </row>
    <row r="1911" spans="1:14" x14ac:dyDescent="0.25">
      <c r="A1911">
        <v>1447.4354410000001</v>
      </c>
      <c r="B1911" s="1">
        <f>DATE(2014,4,17) + TIME(10,27,2)</f>
        <v>41746.435439814813</v>
      </c>
      <c r="C1911">
        <v>80</v>
      </c>
      <c r="D1911">
        <v>70.948791503999999</v>
      </c>
      <c r="E1911">
        <v>50</v>
      </c>
      <c r="F1911">
        <v>49.980770110999998</v>
      </c>
      <c r="G1911">
        <v>1322.8703613</v>
      </c>
      <c r="H1911">
        <v>1319.3236084</v>
      </c>
      <c r="I1911">
        <v>1344.1063231999999</v>
      </c>
      <c r="J1911">
        <v>1339.7503661999999</v>
      </c>
      <c r="K1911">
        <v>0</v>
      </c>
      <c r="L1911">
        <v>2400</v>
      </c>
      <c r="M1911">
        <v>2400</v>
      </c>
      <c r="N1911">
        <v>0</v>
      </c>
    </row>
    <row r="1912" spans="1:14" x14ac:dyDescent="0.25">
      <c r="A1912">
        <v>1451.739196</v>
      </c>
      <c r="B1912" s="1">
        <f>DATE(2014,4,21) + TIME(17,44,26)</f>
        <v>41750.739189814813</v>
      </c>
      <c r="C1912">
        <v>80</v>
      </c>
      <c r="D1912">
        <v>70.642364502000007</v>
      </c>
      <c r="E1912">
        <v>50</v>
      </c>
      <c r="F1912">
        <v>49.980800629000001</v>
      </c>
      <c r="G1912">
        <v>1322.7606201000001</v>
      </c>
      <c r="H1912">
        <v>1319.1710204999999</v>
      </c>
      <c r="I1912">
        <v>1344.0982666</v>
      </c>
      <c r="J1912">
        <v>1339.7445068</v>
      </c>
      <c r="K1912">
        <v>0</v>
      </c>
      <c r="L1912">
        <v>2400</v>
      </c>
      <c r="M1912">
        <v>2400</v>
      </c>
      <c r="N1912">
        <v>0</v>
      </c>
    </row>
    <row r="1913" spans="1:14" x14ac:dyDescent="0.25">
      <c r="A1913">
        <v>1456.0913499999999</v>
      </c>
      <c r="B1913" s="1">
        <f>DATE(2014,4,26) + TIME(2,11,32)</f>
        <v>41755.09134259259</v>
      </c>
      <c r="C1913">
        <v>80</v>
      </c>
      <c r="D1913">
        <v>70.319267272999994</v>
      </c>
      <c r="E1913">
        <v>50</v>
      </c>
      <c r="F1913">
        <v>49.980831146</v>
      </c>
      <c r="G1913">
        <v>1322.6516113</v>
      </c>
      <c r="H1913">
        <v>1319.0191649999999</v>
      </c>
      <c r="I1913">
        <v>1344.0902100000001</v>
      </c>
      <c r="J1913">
        <v>1339.7385254000001</v>
      </c>
      <c r="K1913">
        <v>0</v>
      </c>
      <c r="L1913">
        <v>2400</v>
      </c>
      <c r="M1913">
        <v>2400</v>
      </c>
      <c r="N1913">
        <v>0</v>
      </c>
    </row>
    <row r="1914" spans="1:14" x14ac:dyDescent="0.25">
      <c r="A1914">
        <v>1460.507079</v>
      </c>
      <c r="B1914" s="1">
        <f>DATE(2014,4,30) + TIME(12,10,11)</f>
        <v>41759.507071759261</v>
      </c>
      <c r="C1914">
        <v>80</v>
      </c>
      <c r="D1914">
        <v>69.979927063000005</v>
      </c>
      <c r="E1914">
        <v>50</v>
      </c>
      <c r="F1914">
        <v>49.980861664000003</v>
      </c>
      <c r="G1914">
        <v>1322.5437012</v>
      </c>
      <c r="H1914">
        <v>1318.8682861</v>
      </c>
      <c r="I1914">
        <v>1344.0819091999999</v>
      </c>
      <c r="J1914">
        <v>1339.7326660000001</v>
      </c>
      <c r="K1914">
        <v>0</v>
      </c>
      <c r="L1914">
        <v>2400</v>
      </c>
      <c r="M1914">
        <v>2400</v>
      </c>
      <c r="N1914">
        <v>0</v>
      </c>
    </row>
    <row r="1915" spans="1:14" x14ac:dyDescent="0.25">
      <c r="A1915">
        <v>1461</v>
      </c>
      <c r="B1915" s="1">
        <f>DATE(2014,5,1) + TIME(0,0,0)</f>
        <v>41760</v>
      </c>
      <c r="C1915">
        <v>80</v>
      </c>
      <c r="D1915">
        <v>69.798950195000003</v>
      </c>
      <c r="E1915">
        <v>50</v>
      </c>
      <c r="F1915">
        <v>49.980857849000003</v>
      </c>
      <c r="G1915">
        <v>1322.4466553</v>
      </c>
      <c r="H1915">
        <v>1318.7402344</v>
      </c>
      <c r="I1915">
        <v>1344.0753173999999</v>
      </c>
      <c r="J1915">
        <v>1339.7282714999999</v>
      </c>
      <c r="K1915">
        <v>0</v>
      </c>
      <c r="L1915">
        <v>2400</v>
      </c>
      <c r="M1915">
        <v>2400</v>
      </c>
      <c r="N1915">
        <v>0</v>
      </c>
    </row>
    <row r="1916" spans="1:14" x14ac:dyDescent="0.25">
      <c r="A1916">
        <v>1461.0000010000001</v>
      </c>
      <c r="B1916" s="1">
        <f>DATE(2014,5,1) + TIME(0,0,0)</f>
        <v>41760</v>
      </c>
      <c r="C1916">
        <v>80</v>
      </c>
      <c r="D1916">
        <v>69.799011230000005</v>
      </c>
      <c r="E1916">
        <v>50</v>
      </c>
      <c r="F1916">
        <v>49.980842590000002</v>
      </c>
      <c r="G1916">
        <v>1326.9595947</v>
      </c>
      <c r="H1916">
        <v>1322.4609375</v>
      </c>
      <c r="I1916">
        <v>1339.7185059000001</v>
      </c>
      <c r="J1916">
        <v>1336.3966064000001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1461.000004</v>
      </c>
      <c r="B1917" s="1">
        <f>DATE(2014,5,1) + TIME(0,0,0)</f>
        <v>41760</v>
      </c>
      <c r="C1917">
        <v>80</v>
      </c>
      <c r="D1917">
        <v>69.799179077000005</v>
      </c>
      <c r="E1917">
        <v>50</v>
      </c>
      <c r="F1917">
        <v>49.980792999000002</v>
      </c>
      <c r="G1917">
        <v>1326.9919434000001</v>
      </c>
      <c r="H1917">
        <v>1322.5029297000001</v>
      </c>
      <c r="I1917">
        <v>1339.6892089999999</v>
      </c>
      <c r="J1917">
        <v>1336.3674315999999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1461.0000130000001</v>
      </c>
      <c r="B1918" s="1">
        <f>DATE(2014,5,1) + TIME(0,0,1)</f>
        <v>41760.000011574077</v>
      </c>
      <c r="C1918">
        <v>80</v>
      </c>
      <c r="D1918">
        <v>69.799682617000002</v>
      </c>
      <c r="E1918">
        <v>50</v>
      </c>
      <c r="F1918">
        <v>49.980659484999997</v>
      </c>
      <c r="G1918">
        <v>1327.0869141000001</v>
      </c>
      <c r="H1918">
        <v>1322.6252440999999</v>
      </c>
      <c r="I1918">
        <v>1339.6033935999999</v>
      </c>
      <c r="J1918">
        <v>1336.2814940999999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1461.0000399999999</v>
      </c>
      <c r="B1919" s="1">
        <f>DATE(2014,5,1) + TIME(0,0,3)</f>
        <v>41760.000034722223</v>
      </c>
      <c r="C1919">
        <v>80</v>
      </c>
      <c r="D1919">
        <v>69.801094054999993</v>
      </c>
      <c r="E1919">
        <v>50</v>
      </c>
      <c r="F1919">
        <v>49.980270386000001</v>
      </c>
      <c r="G1919">
        <v>1327.3529053</v>
      </c>
      <c r="H1919">
        <v>1322.9613036999999</v>
      </c>
      <c r="I1919">
        <v>1339.3608397999999</v>
      </c>
      <c r="J1919">
        <v>1336.0389404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1461.000121</v>
      </c>
      <c r="B1920" s="1">
        <f>DATE(2014,5,1) + TIME(0,0,10)</f>
        <v>41760.000115740739</v>
      </c>
      <c r="C1920">
        <v>80</v>
      </c>
      <c r="D1920">
        <v>69.804763793999996</v>
      </c>
      <c r="E1920">
        <v>50</v>
      </c>
      <c r="F1920">
        <v>49.979286193999997</v>
      </c>
      <c r="G1920">
        <v>1328.0206298999999</v>
      </c>
      <c r="H1920">
        <v>1323.7655029</v>
      </c>
      <c r="I1920">
        <v>1338.7419434000001</v>
      </c>
      <c r="J1920">
        <v>1335.4199219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1461.000364</v>
      </c>
      <c r="B1921" s="1">
        <f>DATE(2014,5,1) + TIME(0,0,31)</f>
        <v>41760.000358796293</v>
      </c>
      <c r="C1921">
        <v>80</v>
      </c>
      <c r="D1921">
        <v>69.813232421999999</v>
      </c>
      <c r="E1921">
        <v>50</v>
      </c>
      <c r="F1921">
        <v>49.977256775000001</v>
      </c>
      <c r="G1921">
        <v>1329.3708495999999</v>
      </c>
      <c r="H1921">
        <v>1325.2580565999999</v>
      </c>
      <c r="I1921">
        <v>1337.4683838000001</v>
      </c>
      <c r="J1921">
        <v>1334.1462402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1461.0010930000001</v>
      </c>
      <c r="B1922" s="1">
        <f>DATE(2014,5,1) + TIME(0,1,34)</f>
        <v>41760.001087962963</v>
      </c>
      <c r="C1922">
        <v>80</v>
      </c>
      <c r="D1922">
        <v>69.832077025999993</v>
      </c>
      <c r="E1922">
        <v>50</v>
      </c>
      <c r="F1922">
        <v>49.974189758000001</v>
      </c>
      <c r="G1922">
        <v>1331.3905029</v>
      </c>
      <c r="H1922">
        <v>1327.2993164</v>
      </c>
      <c r="I1922">
        <v>1335.5614014</v>
      </c>
      <c r="J1922">
        <v>1332.2392577999999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1461.0032799999999</v>
      </c>
      <c r="B1923" s="1">
        <f>DATE(2014,5,1) + TIME(0,4,43)</f>
        <v>41760.003275462965</v>
      </c>
      <c r="C1923">
        <v>80</v>
      </c>
      <c r="D1923">
        <v>69.878875731999997</v>
      </c>
      <c r="E1923">
        <v>50</v>
      </c>
      <c r="F1923">
        <v>49.970600128000001</v>
      </c>
      <c r="G1923">
        <v>1333.7176514</v>
      </c>
      <c r="H1923">
        <v>1329.5637207</v>
      </c>
      <c r="I1923">
        <v>1333.3985596</v>
      </c>
      <c r="J1923">
        <v>1330.0770264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1461.0098410000001</v>
      </c>
      <c r="B1924" s="1">
        <f>DATE(2014,5,1) + TIME(0,14,10)</f>
        <v>41760.009837962964</v>
      </c>
      <c r="C1924">
        <v>80</v>
      </c>
      <c r="D1924">
        <v>70.007705688000001</v>
      </c>
      <c r="E1924">
        <v>50</v>
      </c>
      <c r="F1924">
        <v>49.966629028</v>
      </c>
      <c r="G1924">
        <v>1336.0991211</v>
      </c>
      <c r="H1924">
        <v>1331.8892822</v>
      </c>
      <c r="I1924">
        <v>1331.2073975000001</v>
      </c>
      <c r="J1924">
        <v>1327.8873291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1461.029524</v>
      </c>
      <c r="B1925" s="1">
        <f>DATE(2014,5,1) + TIME(0,42,30)</f>
        <v>41760.029513888891</v>
      </c>
      <c r="C1925">
        <v>80</v>
      </c>
      <c r="D1925">
        <v>70.372619628999999</v>
      </c>
      <c r="E1925">
        <v>50</v>
      </c>
      <c r="F1925">
        <v>49.961658477999997</v>
      </c>
      <c r="G1925">
        <v>1338.4919434000001</v>
      </c>
      <c r="H1925">
        <v>1334.2497559000001</v>
      </c>
      <c r="I1925">
        <v>1329.0097656</v>
      </c>
      <c r="J1925">
        <v>1325.6855469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1461.0539329999999</v>
      </c>
      <c r="B1926" s="1">
        <f>DATE(2014,5,1) + TIME(1,17,39)</f>
        <v>41760.053923611114</v>
      </c>
      <c r="C1926">
        <v>80</v>
      </c>
      <c r="D1926">
        <v>70.805274963000002</v>
      </c>
      <c r="E1926">
        <v>50</v>
      </c>
      <c r="F1926">
        <v>49.957675934000001</v>
      </c>
      <c r="G1926">
        <v>1339.9528809000001</v>
      </c>
      <c r="H1926">
        <v>1335.6931152</v>
      </c>
      <c r="I1926">
        <v>1327.6811522999999</v>
      </c>
      <c r="J1926">
        <v>1324.3420410000001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1461.0790850000001</v>
      </c>
      <c r="B1927" s="1">
        <f>DATE(2014,5,1) + TIME(1,53,52)</f>
        <v>41760.079074074078</v>
      </c>
      <c r="C1927">
        <v>80</v>
      </c>
      <c r="D1927">
        <v>71.232292174999998</v>
      </c>
      <c r="E1927">
        <v>50</v>
      </c>
      <c r="F1927">
        <v>49.954380035</v>
      </c>
      <c r="G1927">
        <v>1340.8918457</v>
      </c>
      <c r="H1927">
        <v>1336.6226807</v>
      </c>
      <c r="I1927">
        <v>1326.8297118999999</v>
      </c>
      <c r="J1927">
        <v>1323.4694824000001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1461.104928</v>
      </c>
      <c r="B1928" s="1">
        <f>DATE(2014,5,1) + TIME(2,31,5)</f>
        <v>41760.10491898148</v>
      </c>
      <c r="C1928">
        <v>80</v>
      </c>
      <c r="D1928">
        <v>71.651931762999993</v>
      </c>
      <c r="E1928">
        <v>50</v>
      </c>
      <c r="F1928">
        <v>49.951396942000002</v>
      </c>
      <c r="G1928">
        <v>1341.5643310999999</v>
      </c>
      <c r="H1928">
        <v>1337.2922363</v>
      </c>
      <c r="I1928">
        <v>1326.2148437999999</v>
      </c>
      <c r="J1928">
        <v>1322.8311768000001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1461.1314460000001</v>
      </c>
      <c r="B1929" s="1">
        <f>DATE(2014,5,1) + TIME(3,9,16)</f>
        <v>41760.131435185183</v>
      </c>
      <c r="C1929">
        <v>80</v>
      </c>
      <c r="D1929">
        <v>72.063026428000001</v>
      </c>
      <c r="E1929">
        <v>50</v>
      </c>
      <c r="F1929">
        <v>49.948589325</v>
      </c>
      <c r="G1929">
        <v>1342.0780029</v>
      </c>
      <c r="H1929">
        <v>1337.8066406</v>
      </c>
      <c r="I1929">
        <v>1325.7404785000001</v>
      </c>
      <c r="J1929">
        <v>1322.3330077999999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1461.1586400000001</v>
      </c>
      <c r="B1930" s="1">
        <f>DATE(2014,5,1) + TIME(3,48,26)</f>
        <v>41760.158634259256</v>
      </c>
      <c r="C1930">
        <v>80</v>
      </c>
      <c r="D1930">
        <v>72.464782714999998</v>
      </c>
      <c r="E1930">
        <v>50</v>
      </c>
      <c r="F1930">
        <v>49.945873259999999</v>
      </c>
      <c r="G1930">
        <v>1342.4866943</v>
      </c>
      <c r="H1930">
        <v>1338.2185059000001</v>
      </c>
      <c r="I1930">
        <v>1325.3587646000001</v>
      </c>
      <c r="J1930">
        <v>1321.9287108999999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1461.186522</v>
      </c>
      <c r="B1931" s="1">
        <f>DATE(2014,5,1) + TIME(4,28,35)</f>
        <v>41760.186516203707</v>
      </c>
      <c r="C1931">
        <v>80</v>
      </c>
      <c r="D1931">
        <v>72.856613159000005</v>
      </c>
      <c r="E1931">
        <v>50</v>
      </c>
      <c r="F1931">
        <v>49.943218231000003</v>
      </c>
      <c r="G1931">
        <v>1342.8215332</v>
      </c>
      <c r="H1931">
        <v>1338.5579834</v>
      </c>
      <c r="I1931">
        <v>1325.0429687999999</v>
      </c>
      <c r="J1931">
        <v>1321.5917969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1461.2151100000001</v>
      </c>
      <c r="B1932" s="1">
        <f>DATE(2014,5,1) + TIME(5,9,45)</f>
        <v>41760.215104166666</v>
      </c>
      <c r="C1932">
        <v>80</v>
      </c>
      <c r="D1932">
        <v>73.238105774000005</v>
      </c>
      <c r="E1932">
        <v>50</v>
      </c>
      <c r="F1932">
        <v>49.940593718999999</v>
      </c>
      <c r="G1932">
        <v>1343.1016846</v>
      </c>
      <c r="H1932">
        <v>1338.8439940999999</v>
      </c>
      <c r="I1932">
        <v>1324.776001</v>
      </c>
      <c r="J1932">
        <v>1321.3059082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1461.2444270000001</v>
      </c>
      <c r="B1933" s="1">
        <f>DATE(2014,5,1) + TIME(5,51,58)</f>
        <v>41760.244421296295</v>
      </c>
      <c r="C1933">
        <v>80</v>
      </c>
      <c r="D1933">
        <v>73.608932495000005</v>
      </c>
      <c r="E1933">
        <v>50</v>
      </c>
      <c r="F1933">
        <v>49.937980652</v>
      </c>
      <c r="G1933">
        <v>1343.340332</v>
      </c>
      <c r="H1933">
        <v>1339.0891113</v>
      </c>
      <c r="I1933">
        <v>1324.5469971</v>
      </c>
      <c r="J1933">
        <v>1321.0596923999999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1461.2744970000001</v>
      </c>
      <c r="B1934" s="1">
        <f>DATE(2014,5,1) + TIME(6,35,16)</f>
        <v>41760.27449074074</v>
      </c>
      <c r="C1934">
        <v>80</v>
      </c>
      <c r="D1934">
        <v>73.968841553000004</v>
      </c>
      <c r="E1934">
        <v>50</v>
      </c>
      <c r="F1934">
        <v>49.935367583999998</v>
      </c>
      <c r="G1934">
        <v>1343.5463867000001</v>
      </c>
      <c r="H1934">
        <v>1339.3018798999999</v>
      </c>
      <c r="I1934">
        <v>1324.3482666</v>
      </c>
      <c r="J1934">
        <v>1320.8455810999999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1461.3053520000001</v>
      </c>
      <c r="B1935" s="1">
        <f>DATE(2014,5,1) + TIME(7,19,42)</f>
        <v>41760.305347222224</v>
      </c>
      <c r="C1935">
        <v>80</v>
      </c>
      <c r="D1935">
        <v>74.317687988000003</v>
      </c>
      <c r="E1935">
        <v>50</v>
      </c>
      <c r="F1935">
        <v>49.932746887</v>
      </c>
      <c r="G1935">
        <v>1343.7264404</v>
      </c>
      <c r="H1935">
        <v>1339.4885254000001</v>
      </c>
      <c r="I1935">
        <v>1324.1741943</v>
      </c>
      <c r="J1935">
        <v>1320.6578368999999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1461.337033</v>
      </c>
      <c r="B1936" s="1">
        <f>DATE(2014,5,1) + TIME(8,5,19)</f>
        <v>41760.337025462963</v>
      </c>
      <c r="C1936">
        <v>80</v>
      </c>
      <c r="D1936">
        <v>74.655387877999999</v>
      </c>
      <c r="E1936">
        <v>50</v>
      </c>
      <c r="F1936">
        <v>49.930110931000002</v>
      </c>
      <c r="G1936">
        <v>1343.8852539</v>
      </c>
      <c r="H1936">
        <v>1339.6538086</v>
      </c>
      <c r="I1936">
        <v>1324.0207519999999</v>
      </c>
      <c r="J1936">
        <v>1320.4919434000001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1461.3695270000001</v>
      </c>
      <c r="B1937" s="1">
        <f>DATE(2014,5,1) + TIME(8,52,7)</f>
        <v>41760.369525462964</v>
      </c>
      <c r="C1937">
        <v>80</v>
      </c>
      <c r="D1937">
        <v>74.981407165999997</v>
      </c>
      <c r="E1937">
        <v>50</v>
      </c>
      <c r="F1937">
        <v>49.927455901999998</v>
      </c>
      <c r="G1937">
        <v>1344.0263672000001</v>
      </c>
      <c r="H1937">
        <v>1339.8011475000001</v>
      </c>
      <c r="I1937">
        <v>1323.8850098</v>
      </c>
      <c r="J1937">
        <v>1320.3450928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1461.4028539999999</v>
      </c>
      <c r="B1938" s="1">
        <f>DATE(2014,5,1) + TIME(9,40,6)</f>
        <v>41760.40284722222</v>
      </c>
      <c r="C1938">
        <v>80</v>
      </c>
      <c r="D1938">
        <v>75.295356749999996</v>
      </c>
      <c r="E1938">
        <v>50</v>
      </c>
      <c r="F1938">
        <v>49.924777984999999</v>
      </c>
      <c r="G1938">
        <v>1344.1525879000001</v>
      </c>
      <c r="H1938">
        <v>1339.9331055</v>
      </c>
      <c r="I1938">
        <v>1323.7644043</v>
      </c>
      <c r="J1938">
        <v>1320.2145995999999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1461.4370570000001</v>
      </c>
      <c r="B1939" s="1">
        <f>DATE(2014,5,1) + TIME(10,29,21)</f>
        <v>41760.437048611115</v>
      </c>
      <c r="C1939">
        <v>80</v>
      </c>
      <c r="D1939">
        <v>75.597488403</v>
      </c>
      <c r="E1939">
        <v>50</v>
      </c>
      <c r="F1939">
        <v>49.922069550000003</v>
      </c>
      <c r="G1939">
        <v>1344.2661132999999</v>
      </c>
      <c r="H1939">
        <v>1340.0517577999999</v>
      </c>
      <c r="I1939">
        <v>1323.6572266000001</v>
      </c>
      <c r="J1939">
        <v>1320.0983887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1461.472178</v>
      </c>
      <c r="B1940" s="1">
        <f>DATE(2014,5,1) + TIME(11,19,56)</f>
        <v>41760.472175925926</v>
      </c>
      <c r="C1940">
        <v>80</v>
      </c>
      <c r="D1940">
        <v>75.887840271000002</v>
      </c>
      <c r="E1940">
        <v>50</v>
      </c>
      <c r="F1940">
        <v>49.919334411999998</v>
      </c>
      <c r="G1940">
        <v>1344.3686522999999</v>
      </c>
      <c r="H1940">
        <v>1340.1590576000001</v>
      </c>
      <c r="I1940">
        <v>1323.5616454999999</v>
      </c>
      <c r="J1940">
        <v>1319.994751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1461.508266</v>
      </c>
      <c r="B1941" s="1">
        <f>DATE(2014,5,1) + TIME(12,11,54)</f>
        <v>41760.508263888885</v>
      </c>
      <c r="C1941">
        <v>80</v>
      </c>
      <c r="D1941">
        <v>76.166519164999997</v>
      </c>
      <c r="E1941">
        <v>50</v>
      </c>
      <c r="F1941">
        <v>49.916557312000002</v>
      </c>
      <c r="G1941">
        <v>1344.4616699000001</v>
      </c>
      <c r="H1941">
        <v>1340.2562256000001</v>
      </c>
      <c r="I1941">
        <v>1323.4763184000001</v>
      </c>
      <c r="J1941">
        <v>1319.9020995999999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1461.54538</v>
      </c>
      <c r="B1942" s="1">
        <f>DATE(2014,5,1) + TIME(13,5,20)</f>
        <v>41760.545370370368</v>
      </c>
      <c r="C1942">
        <v>80</v>
      </c>
      <c r="D1942">
        <v>76.433639525999993</v>
      </c>
      <c r="E1942">
        <v>50</v>
      </c>
      <c r="F1942">
        <v>49.913742065000001</v>
      </c>
      <c r="G1942">
        <v>1344.5463867000001</v>
      </c>
      <c r="H1942">
        <v>1340.3446045000001</v>
      </c>
      <c r="I1942">
        <v>1323.4003906</v>
      </c>
      <c r="J1942">
        <v>1319.8195800999999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1461.583578</v>
      </c>
      <c r="B1943" s="1">
        <f>DATE(2014,5,1) + TIME(14,0,21)</f>
        <v>41760.58357638889</v>
      </c>
      <c r="C1943">
        <v>80</v>
      </c>
      <c r="D1943">
        <v>76.689300536999994</v>
      </c>
      <c r="E1943">
        <v>50</v>
      </c>
      <c r="F1943">
        <v>49.910881042</v>
      </c>
      <c r="G1943">
        <v>1344.6236572</v>
      </c>
      <c r="H1943">
        <v>1340.4251709</v>
      </c>
      <c r="I1943">
        <v>1323.3326416</v>
      </c>
      <c r="J1943">
        <v>1319.7458495999999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1461.622922</v>
      </c>
      <c r="B1944" s="1">
        <f>DATE(2014,5,1) + TIME(14,57,0)</f>
        <v>41760.622916666667</v>
      </c>
      <c r="C1944">
        <v>80</v>
      </c>
      <c r="D1944">
        <v>76.933601378999995</v>
      </c>
      <c r="E1944">
        <v>50</v>
      </c>
      <c r="F1944">
        <v>49.907970427999999</v>
      </c>
      <c r="G1944">
        <v>1344.6943358999999</v>
      </c>
      <c r="H1944">
        <v>1340.4985352000001</v>
      </c>
      <c r="I1944">
        <v>1323.2724608999999</v>
      </c>
      <c r="J1944">
        <v>1319.6802978999999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1461.663481</v>
      </c>
      <c r="B1945" s="1">
        <f>DATE(2014,5,1) + TIME(15,55,24)</f>
        <v>41760.663472222222</v>
      </c>
      <c r="C1945">
        <v>80</v>
      </c>
      <c r="D1945">
        <v>77.166664123999993</v>
      </c>
      <c r="E1945">
        <v>50</v>
      </c>
      <c r="F1945">
        <v>49.905002594000003</v>
      </c>
      <c r="G1945">
        <v>1344.7592772999999</v>
      </c>
      <c r="H1945">
        <v>1340.5655518000001</v>
      </c>
      <c r="I1945">
        <v>1323.2189940999999</v>
      </c>
      <c r="J1945">
        <v>1319.6219481999999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1461.7053289999999</v>
      </c>
      <c r="B1946" s="1">
        <f>DATE(2014,5,1) + TIME(16,55,40)</f>
        <v>41760.705324074072</v>
      </c>
      <c r="C1946">
        <v>80</v>
      </c>
      <c r="D1946">
        <v>77.388603209999999</v>
      </c>
      <c r="E1946">
        <v>50</v>
      </c>
      <c r="F1946">
        <v>49.901977539000001</v>
      </c>
      <c r="G1946">
        <v>1344.8187256000001</v>
      </c>
      <c r="H1946">
        <v>1340.6269531</v>
      </c>
      <c r="I1946">
        <v>1323.1717529</v>
      </c>
      <c r="J1946">
        <v>1319.5703125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1461.748544</v>
      </c>
      <c r="B1947" s="1">
        <f>DATE(2014,5,1) + TIME(17,57,54)</f>
        <v>41760.748541666668</v>
      </c>
      <c r="C1947">
        <v>80</v>
      </c>
      <c r="D1947">
        <v>77.599540709999999</v>
      </c>
      <c r="E1947">
        <v>50</v>
      </c>
      <c r="F1947">
        <v>49.898891448999997</v>
      </c>
      <c r="G1947">
        <v>1344.8735352000001</v>
      </c>
      <c r="H1947">
        <v>1340.6829834</v>
      </c>
      <c r="I1947">
        <v>1323.1301269999999</v>
      </c>
      <c r="J1947">
        <v>1319.5246582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1461.793214</v>
      </c>
      <c r="B1948" s="1">
        <f>DATE(2014,5,1) + TIME(19,2,13)</f>
        <v>41760.793206018519</v>
      </c>
      <c r="C1948">
        <v>80</v>
      </c>
      <c r="D1948">
        <v>77.799613953000005</v>
      </c>
      <c r="E1948">
        <v>50</v>
      </c>
      <c r="F1948">
        <v>49.895732879999997</v>
      </c>
      <c r="G1948">
        <v>1344.9238281</v>
      </c>
      <c r="H1948">
        <v>1340.734375</v>
      </c>
      <c r="I1948">
        <v>1323.0935059000001</v>
      </c>
      <c r="J1948">
        <v>1319.484375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1461.839432</v>
      </c>
      <c r="B1949" s="1">
        <f>DATE(2014,5,1) + TIME(20,8,46)</f>
        <v>41760.839421296296</v>
      </c>
      <c r="C1949">
        <v>80</v>
      </c>
      <c r="D1949">
        <v>77.988975525000001</v>
      </c>
      <c r="E1949">
        <v>50</v>
      </c>
      <c r="F1949">
        <v>49.892498015999998</v>
      </c>
      <c r="G1949">
        <v>1344.9702147999999</v>
      </c>
      <c r="H1949">
        <v>1340.7813721</v>
      </c>
      <c r="I1949">
        <v>1323.0615233999999</v>
      </c>
      <c r="J1949">
        <v>1319.4492187999999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1461.887305</v>
      </c>
      <c r="B1950" s="1">
        <f>DATE(2014,5,1) + TIME(21,17,43)</f>
        <v>41760.887303240743</v>
      </c>
      <c r="C1950">
        <v>80</v>
      </c>
      <c r="D1950">
        <v>78.167785644999995</v>
      </c>
      <c r="E1950">
        <v>50</v>
      </c>
      <c r="F1950">
        <v>49.889186858999999</v>
      </c>
      <c r="G1950">
        <v>1345.0129394999999</v>
      </c>
      <c r="H1950">
        <v>1340.8243408000001</v>
      </c>
      <c r="I1950">
        <v>1323.0336914</v>
      </c>
      <c r="J1950">
        <v>1319.418457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1461.936911</v>
      </c>
      <c r="B1951" s="1">
        <f>DATE(2014,5,1) + TIME(22,29,9)</f>
        <v>41760.936909722222</v>
      </c>
      <c r="C1951">
        <v>80</v>
      </c>
      <c r="D1951">
        <v>78.336105347</v>
      </c>
      <c r="E1951">
        <v>50</v>
      </c>
      <c r="F1951">
        <v>49.885787964000002</v>
      </c>
      <c r="G1951">
        <v>1345.0523682</v>
      </c>
      <c r="H1951">
        <v>1340.8637695</v>
      </c>
      <c r="I1951">
        <v>1323.0096435999999</v>
      </c>
      <c r="J1951">
        <v>1319.3918457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1461.9883179999999</v>
      </c>
      <c r="B1952" s="1">
        <f>DATE(2014,5,1) + TIME(23,43,10)</f>
        <v>41760.988310185188</v>
      </c>
      <c r="C1952">
        <v>80</v>
      </c>
      <c r="D1952">
        <v>78.493995666999993</v>
      </c>
      <c r="E1952">
        <v>50</v>
      </c>
      <c r="F1952">
        <v>49.882301331000001</v>
      </c>
      <c r="G1952">
        <v>1345.0887451000001</v>
      </c>
      <c r="H1952">
        <v>1340.8997803</v>
      </c>
      <c r="I1952">
        <v>1322.9891356999999</v>
      </c>
      <c r="J1952">
        <v>1319.3688964999999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1462.041645</v>
      </c>
      <c r="B1953" s="1">
        <f>DATE(2014,5,2) + TIME(0,59,58)</f>
        <v>41761.041643518518</v>
      </c>
      <c r="C1953">
        <v>80</v>
      </c>
      <c r="D1953">
        <v>78.641677856000001</v>
      </c>
      <c r="E1953">
        <v>50</v>
      </c>
      <c r="F1953">
        <v>49.878719330000003</v>
      </c>
      <c r="G1953">
        <v>1345.1221923999999</v>
      </c>
      <c r="H1953">
        <v>1340.9327393000001</v>
      </c>
      <c r="I1953">
        <v>1322.9716797000001</v>
      </c>
      <c r="J1953">
        <v>1319.3492432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1462.097021</v>
      </c>
      <c r="B1954" s="1">
        <f>DATE(2014,5,2) + TIME(2,19,42)</f>
        <v>41761.097013888888</v>
      </c>
      <c r="C1954">
        <v>80</v>
      </c>
      <c r="D1954">
        <v>78.779388428000004</v>
      </c>
      <c r="E1954">
        <v>50</v>
      </c>
      <c r="F1954">
        <v>49.875038146999998</v>
      </c>
      <c r="G1954">
        <v>1345.1530762</v>
      </c>
      <c r="H1954">
        <v>1340.9628906</v>
      </c>
      <c r="I1954">
        <v>1322.9569091999999</v>
      </c>
      <c r="J1954">
        <v>1319.3325195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1462.1546000000001</v>
      </c>
      <c r="B1955" s="1">
        <f>DATE(2014,5,2) + TIME(3,42,37)</f>
        <v>41761.154594907406</v>
      </c>
      <c r="C1955">
        <v>80</v>
      </c>
      <c r="D1955">
        <v>78.907417296999995</v>
      </c>
      <c r="E1955">
        <v>50</v>
      </c>
      <c r="F1955">
        <v>49.871246337999999</v>
      </c>
      <c r="G1955">
        <v>1345.1813964999999</v>
      </c>
      <c r="H1955">
        <v>1340.9903564000001</v>
      </c>
      <c r="I1955">
        <v>1322.9447021000001</v>
      </c>
      <c r="J1955">
        <v>1319.3184814000001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1462.2145419999999</v>
      </c>
      <c r="B1956" s="1">
        <f>DATE(2014,5,2) + TIME(5,8,56)</f>
        <v>41761.214537037034</v>
      </c>
      <c r="C1956">
        <v>80</v>
      </c>
      <c r="D1956">
        <v>79.026031493999994</v>
      </c>
      <c r="E1956">
        <v>50</v>
      </c>
      <c r="F1956">
        <v>49.867332458</v>
      </c>
      <c r="G1956">
        <v>1345.2075195</v>
      </c>
      <c r="H1956">
        <v>1341.0153809000001</v>
      </c>
      <c r="I1956">
        <v>1322.9345702999999</v>
      </c>
      <c r="J1956">
        <v>1319.3067627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1462.277</v>
      </c>
      <c r="B1957" s="1">
        <f>DATE(2014,5,2) + TIME(6,38,52)</f>
        <v>41761.276990740742</v>
      </c>
      <c r="C1957">
        <v>80</v>
      </c>
      <c r="D1957">
        <v>79.135482788000004</v>
      </c>
      <c r="E1957">
        <v>50</v>
      </c>
      <c r="F1957">
        <v>49.863296509000001</v>
      </c>
      <c r="G1957">
        <v>1345.2315673999999</v>
      </c>
      <c r="H1957">
        <v>1341.0382079999999</v>
      </c>
      <c r="I1957">
        <v>1322.9263916</v>
      </c>
      <c r="J1957">
        <v>1319.2971190999999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1462.3421639999999</v>
      </c>
      <c r="B1958" s="1">
        <f>DATE(2014,5,2) + TIME(8,12,42)</f>
        <v>41761.342152777775</v>
      </c>
      <c r="C1958">
        <v>80</v>
      </c>
      <c r="D1958">
        <v>79.236076354999994</v>
      </c>
      <c r="E1958">
        <v>50</v>
      </c>
      <c r="F1958">
        <v>49.859123230000002</v>
      </c>
      <c r="G1958">
        <v>1345.2536620999999</v>
      </c>
      <c r="H1958">
        <v>1341.0589600000001</v>
      </c>
      <c r="I1958">
        <v>1322.9197998</v>
      </c>
      <c r="J1958">
        <v>1319.2893065999999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1462.4102399999999</v>
      </c>
      <c r="B1959" s="1">
        <f>DATE(2014,5,2) + TIME(9,50,44)</f>
        <v>41761.410231481481</v>
      </c>
      <c r="C1959">
        <v>80</v>
      </c>
      <c r="D1959">
        <v>79.328147888000004</v>
      </c>
      <c r="E1959">
        <v>50</v>
      </c>
      <c r="F1959">
        <v>49.854801178000002</v>
      </c>
      <c r="G1959">
        <v>1345.2740478999999</v>
      </c>
      <c r="H1959">
        <v>1341.0777588000001</v>
      </c>
      <c r="I1959">
        <v>1322.9147949000001</v>
      </c>
      <c r="J1959">
        <v>1319.2829589999999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1462.481458</v>
      </c>
      <c r="B1960" s="1">
        <f>DATE(2014,5,2) + TIME(11,33,18)</f>
        <v>41761.481458333335</v>
      </c>
      <c r="C1960">
        <v>80</v>
      </c>
      <c r="D1960">
        <v>79.412017821999996</v>
      </c>
      <c r="E1960">
        <v>50</v>
      </c>
      <c r="F1960">
        <v>49.850322722999998</v>
      </c>
      <c r="G1960">
        <v>1345.2926024999999</v>
      </c>
      <c r="H1960">
        <v>1341.0948486</v>
      </c>
      <c r="I1960">
        <v>1322.9108887</v>
      </c>
      <c r="J1960">
        <v>1319.2779541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1462.5560760000001</v>
      </c>
      <c r="B1961" s="1">
        <f>DATE(2014,5,2) + TIME(13,20,44)</f>
        <v>41761.556064814817</v>
      </c>
      <c r="C1961">
        <v>80</v>
      </c>
      <c r="D1961">
        <v>79.488052367999998</v>
      </c>
      <c r="E1961">
        <v>50</v>
      </c>
      <c r="F1961">
        <v>49.845668793000002</v>
      </c>
      <c r="G1961">
        <v>1345.3095702999999</v>
      </c>
      <c r="H1961">
        <v>1341.1102295000001</v>
      </c>
      <c r="I1961">
        <v>1322.9080810999999</v>
      </c>
      <c r="J1961">
        <v>1319.2741699000001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1462.6343790000001</v>
      </c>
      <c r="B1962" s="1">
        <f>DATE(2014,5,2) + TIME(15,13,30)</f>
        <v>41761.634375000001</v>
      </c>
      <c r="C1962">
        <v>80</v>
      </c>
      <c r="D1962">
        <v>79.556617736999996</v>
      </c>
      <c r="E1962">
        <v>50</v>
      </c>
      <c r="F1962">
        <v>49.840831756999997</v>
      </c>
      <c r="G1962">
        <v>1345.3249512</v>
      </c>
      <c r="H1962">
        <v>1341.1241454999999</v>
      </c>
      <c r="I1962">
        <v>1322.9061279</v>
      </c>
      <c r="J1962">
        <v>1319.2712402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1462.716692</v>
      </c>
      <c r="B1963" s="1">
        <f>DATE(2014,5,2) + TIME(17,12,2)</f>
        <v>41761.716689814813</v>
      </c>
      <c r="C1963">
        <v>80</v>
      </c>
      <c r="D1963">
        <v>79.618095397999994</v>
      </c>
      <c r="E1963">
        <v>50</v>
      </c>
      <c r="F1963">
        <v>49.835792542</v>
      </c>
      <c r="G1963">
        <v>1345.3389893000001</v>
      </c>
      <c r="H1963">
        <v>1341.1364745999999</v>
      </c>
      <c r="I1963">
        <v>1322.9049072</v>
      </c>
      <c r="J1963">
        <v>1319.269043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1462.803377</v>
      </c>
      <c r="B1964" s="1">
        <f>DATE(2014,5,2) + TIME(19,16,51)</f>
        <v>41761.803368055553</v>
      </c>
      <c r="C1964">
        <v>80</v>
      </c>
      <c r="D1964">
        <v>79.672882079999994</v>
      </c>
      <c r="E1964">
        <v>50</v>
      </c>
      <c r="F1964">
        <v>49.830535888999997</v>
      </c>
      <c r="G1964">
        <v>1345.3515625</v>
      </c>
      <c r="H1964">
        <v>1341.1474608999999</v>
      </c>
      <c r="I1964">
        <v>1322.9042969</v>
      </c>
      <c r="J1964">
        <v>1319.2675781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1462.894849</v>
      </c>
      <c r="B1965" s="1">
        <f>DATE(2014,5,2) + TIME(21,28,34)</f>
        <v>41761.894837962966</v>
      </c>
      <c r="C1965">
        <v>80</v>
      </c>
      <c r="D1965">
        <v>79.721382141000007</v>
      </c>
      <c r="E1965">
        <v>50</v>
      </c>
      <c r="F1965">
        <v>49.825035094999997</v>
      </c>
      <c r="G1965">
        <v>1345.362793</v>
      </c>
      <c r="H1965">
        <v>1341.1571045000001</v>
      </c>
      <c r="I1965">
        <v>1322.9040527</v>
      </c>
      <c r="J1965">
        <v>1319.2664795000001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1462.991655</v>
      </c>
      <c r="B1966" s="1">
        <f>DATE(2014,5,2) + TIME(23,47,58)</f>
        <v>41761.991643518515</v>
      </c>
      <c r="C1966">
        <v>80</v>
      </c>
      <c r="D1966">
        <v>79.764045714999995</v>
      </c>
      <c r="E1966">
        <v>50</v>
      </c>
      <c r="F1966">
        <v>49.819267273000001</v>
      </c>
      <c r="G1966">
        <v>1345.3726807</v>
      </c>
      <c r="H1966">
        <v>1341.1655272999999</v>
      </c>
      <c r="I1966">
        <v>1322.9041748</v>
      </c>
      <c r="J1966">
        <v>1319.2657471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1463.0942749999999</v>
      </c>
      <c r="B1967" s="1">
        <f>DATE(2014,5,3) + TIME(2,15,45)</f>
        <v>41762.094270833331</v>
      </c>
      <c r="C1967">
        <v>80</v>
      </c>
      <c r="D1967">
        <v>79.801239014000004</v>
      </c>
      <c r="E1967">
        <v>50</v>
      </c>
      <c r="F1967">
        <v>49.813209534000002</v>
      </c>
      <c r="G1967">
        <v>1345.3813477000001</v>
      </c>
      <c r="H1967">
        <v>1341.1727295000001</v>
      </c>
      <c r="I1967">
        <v>1322.9045410000001</v>
      </c>
      <c r="J1967">
        <v>1319.2653809000001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1463.2033409999999</v>
      </c>
      <c r="B1968" s="1">
        <f>DATE(2014,5,3) + TIME(4,52,48)</f>
        <v>41762.203333333331</v>
      </c>
      <c r="C1968">
        <v>80</v>
      </c>
      <c r="D1968">
        <v>79.833404540999993</v>
      </c>
      <c r="E1968">
        <v>50</v>
      </c>
      <c r="F1968">
        <v>49.806831359999997</v>
      </c>
      <c r="G1968">
        <v>1345.3886719</v>
      </c>
      <c r="H1968">
        <v>1341.1788329999999</v>
      </c>
      <c r="I1968">
        <v>1322.9050293</v>
      </c>
      <c r="J1968">
        <v>1319.2651367000001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1463.316828</v>
      </c>
      <c r="B1969" s="1">
        <f>DATE(2014,5,3) + TIME(7,36,13)</f>
        <v>41762.316817129627</v>
      </c>
      <c r="C1969">
        <v>80</v>
      </c>
      <c r="D1969">
        <v>79.860435486</v>
      </c>
      <c r="E1969">
        <v>50</v>
      </c>
      <c r="F1969">
        <v>49.800239562999998</v>
      </c>
      <c r="G1969">
        <v>1345.3950195</v>
      </c>
      <c r="H1969">
        <v>1341.1838379000001</v>
      </c>
      <c r="I1969">
        <v>1322.9056396000001</v>
      </c>
      <c r="J1969">
        <v>1319.2650146000001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1463.43229</v>
      </c>
      <c r="B1970" s="1">
        <f>DATE(2014,5,3) + TIME(10,22,29)</f>
        <v>41762.432280092595</v>
      </c>
      <c r="C1970">
        <v>80</v>
      </c>
      <c r="D1970">
        <v>79.882568359000004</v>
      </c>
      <c r="E1970">
        <v>50</v>
      </c>
      <c r="F1970">
        <v>49.793556213000002</v>
      </c>
      <c r="G1970">
        <v>1345.4003906</v>
      </c>
      <c r="H1970">
        <v>1341.1877440999999</v>
      </c>
      <c r="I1970">
        <v>1322.9061279</v>
      </c>
      <c r="J1970">
        <v>1319.2648925999999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1463.550176</v>
      </c>
      <c r="B1971" s="1">
        <f>DATE(2014,5,3) + TIME(13,12,15)</f>
        <v>41762.550173611111</v>
      </c>
      <c r="C1971">
        <v>80</v>
      </c>
      <c r="D1971">
        <v>79.900688170999999</v>
      </c>
      <c r="E1971">
        <v>50</v>
      </c>
      <c r="F1971">
        <v>49.786758423000002</v>
      </c>
      <c r="G1971">
        <v>1345.4041748</v>
      </c>
      <c r="H1971">
        <v>1341.1905518000001</v>
      </c>
      <c r="I1971">
        <v>1322.9066161999999</v>
      </c>
      <c r="J1971">
        <v>1319.2647704999999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1463.669819</v>
      </c>
      <c r="B1972" s="1">
        <f>DATE(2014,5,3) + TIME(16,4,32)</f>
        <v>41762.669814814813</v>
      </c>
      <c r="C1972">
        <v>80</v>
      </c>
      <c r="D1972">
        <v>79.915397643999995</v>
      </c>
      <c r="E1972">
        <v>50</v>
      </c>
      <c r="F1972">
        <v>49.779888153000002</v>
      </c>
      <c r="G1972">
        <v>1345.4067382999999</v>
      </c>
      <c r="H1972">
        <v>1341.1923827999999</v>
      </c>
      <c r="I1972">
        <v>1322.9071045000001</v>
      </c>
      <c r="J1972">
        <v>1319.2645264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1463.791093</v>
      </c>
      <c r="B1973" s="1">
        <f>DATE(2014,5,3) + TIME(18,59,10)</f>
        <v>41762.791087962964</v>
      </c>
      <c r="C1973">
        <v>80</v>
      </c>
      <c r="D1973">
        <v>79.927291870000005</v>
      </c>
      <c r="E1973">
        <v>50</v>
      </c>
      <c r="F1973">
        <v>49.772941588999998</v>
      </c>
      <c r="G1973">
        <v>1345.4082031</v>
      </c>
      <c r="H1973">
        <v>1341.1932373</v>
      </c>
      <c r="I1973">
        <v>1322.9074707</v>
      </c>
      <c r="J1973">
        <v>1319.2644043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1463.9142589999999</v>
      </c>
      <c r="B1974" s="1">
        <f>DATE(2014,5,3) + TIME(21,56,32)</f>
        <v>41762.914259259262</v>
      </c>
      <c r="C1974">
        <v>80</v>
      </c>
      <c r="D1974">
        <v>79.936904906999999</v>
      </c>
      <c r="E1974">
        <v>50</v>
      </c>
      <c r="F1974">
        <v>49.765914917000003</v>
      </c>
      <c r="G1974">
        <v>1345.4085693</v>
      </c>
      <c r="H1974">
        <v>1341.1932373</v>
      </c>
      <c r="I1974">
        <v>1322.9078368999999</v>
      </c>
      <c r="J1974">
        <v>1319.2640381000001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1464.039585</v>
      </c>
      <c r="B1975" s="1">
        <f>DATE(2014,5,4) + TIME(0,57,0)</f>
        <v>41763.039583333331</v>
      </c>
      <c r="C1975">
        <v>80</v>
      </c>
      <c r="D1975">
        <v>79.944664001000007</v>
      </c>
      <c r="E1975">
        <v>50</v>
      </c>
      <c r="F1975">
        <v>49.758792876999998</v>
      </c>
      <c r="G1975">
        <v>1345.4079589999999</v>
      </c>
      <c r="H1975">
        <v>1341.1926269999999</v>
      </c>
      <c r="I1975">
        <v>1322.9079589999999</v>
      </c>
      <c r="J1975">
        <v>1319.2637939000001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1464.1673619999999</v>
      </c>
      <c r="B1976" s="1">
        <f>DATE(2014,5,4) + TIME(4,1,0)</f>
        <v>41763.167361111111</v>
      </c>
      <c r="C1976">
        <v>80</v>
      </c>
      <c r="D1976">
        <v>79.950920104999994</v>
      </c>
      <c r="E1976">
        <v>50</v>
      </c>
      <c r="F1976">
        <v>49.751560210999997</v>
      </c>
      <c r="G1976">
        <v>1345.4066161999999</v>
      </c>
      <c r="H1976">
        <v>1341.1912841999999</v>
      </c>
      <c r="I1976">
        <v>1322.9080810999999</v>
      </c>
      <c r="J1976">
        <v>1319.2633057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1464.297826</v>
      </c>
      <c r="B1977" s="1">
        <f>DATE(2014,5,4) + TIME(7,8,52)</f>
        <v>41763.297824074078</v>
      </c>
      <c r="C1977">
        <v>80</v>
      </c>
      <c r="D1977">
        <v>79.955955505000006</v>
      </c>
      <c r="E1977">
        <v>50</v>
      </c>
      <c r="F1977">
        <v>49.744209290000001</v>
      </c>
      <c r="G1977">
        <v>1345.4044189000001</v>
      </c>
      <c r="H1977">
        <v>1341.1893310999999</v>
      </c>
      <c r="I1977">
        <v>1322.9080810999999</v>
      </c>
      <c r="J1977">
        <v>1319.2628173999999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1464.431276</v>
      </c>
      <c r="B1978" s="1">
        <f>DATE(2014,5,4) + TIME(10,21,2)</f>
        <v>41763.431273148148</v>
      </c>
      <c r="C1978">
        <v>80</v>
      </c>
      <c r="D1978">
        <v>79.959999084000003</v>
      </c>
      <c r="E1978">
        <v>50</v>
      </c>
      <c r="F1978">
        <v>49.736724854000002</v>
      </c>
      <c r="G1978">
        <v>1345.4014893000001</v>
      </c>
      <c r="H1978">
        <v>1341.1868896000001</v>
      </c>
      <c r="I1978">
        <v>1322.9080810999999</v>
      </c>
      <c r="J1978">
        <v>1319.2623291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1464.568029</v>
      </c>
      <c r="B1979" s="1">
        <f>DATE(2014,5,4) + TIME(13,37,57)</f>
        <v>41763.568020833336</v>
      </c>
      <c r="C1979">
        <v>80</v>
      </c>
      <c r="D1979">
        <v>79.963233947999996</v>
      </c>
      <c r="E1979">
        <v>50</v>
      </c>
      <c r="F1979">
        <v>49.729087829999997</v>
      </c>
      <c r="G1979">
        <v>1345.3979492000001</v>
      </c>
      <c r="H1979">
        <v>1341.1838379000001</v>
      </c>
      <c r="I1979">
        <v>1322.9079589999999</v>
      </c>
      <c r="J1979">
        <v>1319.2617187999999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1464.7084279999999</v>
      </c>
      <c r="B1980" s="1">
        <f>DATE(2014,5,4) + TIME(17,0,8)</f>
        <v>41763.708425925928</v>
      </c>
      <c r="C1980">
        <v>80</v>
      </c>
      <c r="D1980">
        <v>79.965827942000004</v>
      </c>
      <c r="E1980">
        <v>50</v>
      </c>
      <c r="F1980">
        <v>49.721286773999999</v>
      </c>
      <c r="G1980">
        <v>1345.3937988</v>
      </c>
      <c r="H1980">
        <v>1341.1804199000001</v>
      </c>
      <c r="I1980">
        <v>1322.9077147999999</v>
      </c>
      <c r="J1980">
        <v>1319.2611084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1464.8528490000001</v>
      </c>
      <c r="B1981" s="1">
        <f>DATE(2014,5,4) + TIME(20,28,6)</f>
        <v>41763.852847222224</v>
      </c>
      <c r="C1981">
        <v>80</v>
      </c>
      <c r="D1981">
        <v>79.967895507999998</v>
      </c>
      <c r="E1981">
        <v>50</v>
      </c>
      <c r="F1981">
        <v>49.713306426999999</v>
      </c>
      <c r="G1981">
        <v>1345.3891602000001</v>
      </c>
      <c r="H1981">
        <v>1341.1766356999999</v>
      </c>
      <c r="I1981">
        <v>1322.9074707</v>
      </c>
      <c r="J1981">
        <v>1319.260376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1465.001704</v>
      </c>
      <c r="B1982" s="1">
        <f>DATE(2014,5,5) + TIME(0,2,27)</f>
        <v>41764.001701388886</v>
      </c>
      <c r="C1982">
        <v>80</v>
      </c>
      <c r="D1982">
        <v>79.969543457</v>
      </c>
      <c r="E1982">
        <v>50</v>
      </c>
      <c r="F1982">
        <v>49.705120086999997</v>
      </c>
      <c r="G1982">
        <v>1345.3837891000001</v>
      </c>
      <c r="H1982">
        <v>1341.1723632999999</v>
      </c>
      <c r="I1982">
        <v>1322.9072266000001</v>
      </c>
      <c r="J1982">
        <v>1319.2596435999999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1465.1540789999999</v>
      </c>
      <c r="B1983" s="1">
        <f>DATE(2014,5,5) + TIME(3,41,52)</f>
        <v>41764.154074074075</v>
      </c>
      <c r="C1983">
        <v>80</v>
      </c>
      <c r="D1983">
        <v>79.970840453999998</v>
      </c>
      <c r="E1983">
        <v>50</v>
      </c>
      <c r="F1983">
        <v>49.696777343999997</v>
      </c>
      <c r="G1983">
        <v>1345.3780518000001</v>
      </c>
      <c r="H1983">
        <v>1341.1678466999999</v>
      </c>
      <c r="I1983">
        <v>1322.9068603999999</v>
      </c>
      <c r="J1983">
        <v>1319.2587891000001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1465.309939</v>
      </c>
      <c r="B1984" s="1">
        <f>DATE(2014,5,5) + TIME(7,26,18)</f>
        <v>41764.309930555559</v>
      </c>
      <c r="C1984">
        <v>80</v>
      </c>
      <c r="D1984">
        <v>79.971862793</v>
      </c>
      <c r="E1984">
        <v>50</v>
      </c>
      <c r="F1984">
        <v>49.688274384000003</v>
      </c>
      <c r="G1984">
        <v>1345.3718262</v>
      </c>
      <c r="H1984">
        <v>1341.1629639</v>
      </c>
      <c r="I1984">
        <v>1322.9063721</v>
      </c>
      <c r="J1984">
        <v>1319.2579346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1465.4695839999999</v>
      </c>
      <c r="B1985" s="1">
        <f>DATE(2014,5,5) + TIME(11,16,12)</f>
        <v>41764.469583333332</v>
      </c>
      <c r="C1985">
        <v>80</v>
      </c>
      <c r="D1985">
        <v>79.972663878999995</v>
      </c>
      <c r="E1985">
        <v>50</v>
      </c>
      <c r="F1985">
        <v>49.679607390999998</v>
      </c>
      <c r="G1985">
        <v>1345.3652344</v>
      </c>
      <c r="H1985">
        <v>1341.1578368999999</v>
      </c>
      <c r="I1985">
        <v>1322.9060059000001</v>
      </c>
      <c r="J1985">
        <v>1319.2570800999999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1465.6332990000001</v>
      </c>
      <c r="B1986" s="1">
        <f>DATE(2014,5,5) + TIME(15,11,57)</f>
        <v>41764.633298611108</v>
      </c>
      <c r="C1986">
        <v>80</v>
      </c>
      <c r="D1986">
        <v>79.973297118999994</v>
      </c>
      <c r="E1986">
        <v>50</v>
      </c>
      <c r="F1986">
        <v>49.670753478999998</v>
      </c>
      <c r="G1986">
        <v>1345.3582764</v>
      </c>
      <c r="H1986">
        <v>1341.1523437999999</v>
      </c>
      <c r="I1986">
        <v>1322.9055175999999</v>
      </c>
      <c r="J1986">
        <v>1319.2562256000001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1465.801434</v>
      </c>
      <c r="B1987" s="1">
        <f>DATE(2014,5,5) + TIME(19,14,3)</f>
        <v>41764.801423611112</v>
      </c>
      <c r="C1987">
        <v>80</v>
      </c>
      <c r="D1987">
        <v>79.973793029999996</v>
      </c>
      <c r="E1987">
        <v>50</v>
      </c>
      <c r="F1987">
        <v>49.661705017000003</v>
      </c>
      <c r="G1987">
        <v>1345.3509521000001</v>
      </c>
      <c r="H1987">
        <v>1341.1467285000001</v>
      </c>
      <c r="I1987">
        <v>1322.9049072</v>
      </c>
      <c r="J1987">
        <v>1319.255249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1465.974387</v>
      </c>
      <c r="B1988" s="1">
        <f>DATE(2014,5,5) + TIME(23,23,7)</f>
        <v>41764.974386574075</v>
      </c>
      <c r="C1988">
        <v>80</v>
      </c>
      <c r="D1988">
        <v>79.974182128999999</v>
      </c>
      <c r="E1988">
        <v>50</v>
      </c>
      <c r="F1988">
        <v>49.652442932</v>
      </c>
      <c r="G1988">
        <v>1345.3432617000001</v>
      </c>
      <c r="H1988">
        <v>1341.1408690999999</v>
      </c>
      <c r="I1988">
        <v>1322.9044189000001</v>
      </c>
      <c r="J1988">
        <v>1319.2542725000001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1466.152591</v>
      </c>
      <c r="B1989" s="1">
        <f>DATE(2014,5,6) + TIME(3,39,43)</f>
        <v>41765.152581018519</v>
      </c>
      <c r="C1989">
        <v>80</v>
      </c>
      <c r="D1989">
        <v>79.974487304999997</v>
      </c>
      <c r="E1989">
        <v>50</v>
      </c>
      <c r="F1989">
        <v>49.642948150999999</v>
      </c>
      <c r="G1989">
        <v>1345.3353271000001</v>
      </c>
      <c r="H1989">
        <v>1341.1347656</v>
      </c>
      <c r="I1989">
        <v>1322.9038086</v>
      </c>
      <c r="J1989">
        <v>1319.2532959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1466.336528</v>
      </c>
      <c r="B1990" s="1">
        <f>DATE(2014,5,6) + TIME(8,4,36)</f>
        <v>41765.336527777778</v>
      </c>
      <c r="C1990">
        <v>80</v>
      </c>
      <c r="D1990">
        <v>79.974723815999994</v>
      </c>
      <c r="E1990">
        <v>50</v>
      </c>
      <c r="F1990">
        <v>49.633197783999996</v>
      </c>
      <c r="G1990">
        <v>1345.3270264</v>
      </c>
      <c r="H1990">
        <v>1341.128418</v>
      </c>
      <c r="I1990">
        <v>1322.9031981999999</v>
      </c>
      <c r="J1990">
        <v>1319.2521973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1466.526734</v>
      </c>
      <c r="B1991" s="1">
        <f>DATE(2014,5,6) + TIME(12,38,29)</f>
        <v>41765.526724537034</v>
      </c>
      <c r="C1991">
        <v>80</v>
      </c>
      <c r="D1991">
        <v>79.974914550999998</v>
      </c>
      <c r="E1991">
        <v>50</v>
      </c>
      <c r="F1991">
        <v>49.623172760000003</v>
      </c>
      <c r="G1991">
        <v>1345.3183594</v>
      </c>
      <c r="H1991">
        <v>1341.1219481999999</v>
      </c>
      <c r="I1991">
        <v>1322.9024658000001</v>
      </c>
      <c r="J1991">
        <v>1319.2510986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1466.7238070000001</v>
      </c>
      <c r="B1992" s="1">
        <f>DATE(2014,5,6) + TIME(17,22,16)</f>
        <v>41765.723796296297</v>
      </c>
      <c r="C1992">
        <v>80</v>
      </c>
      <c r="D1992">
        <v>79.975067139000004</v>
      </c>
      <c r="E1992">
        <v>50</v>
      </c>
      <c r="F1992">
        <v>49.612842559999997</v>
      </c>
      <c r="G1992">
        <v>1345.3094481999999</v>
      </c>
      <c r="H1992">
        <v>1341.1151123</v>
      </c>
      <c r="I1992">
        <v>1322.9018555</v>
      </c>
      <c r="J1992">
        <v>1319.25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1466.92842</v>
      </c>
      <c r="B1993" s="1">
        <f>DATE(2014,5,6) + TIME(22,16,55)</f>
        <v>41765.928414351853</v>
      </c>
      <c r="C1993">
        <v>80</v>
      </c>
      <c r="D1993">
        <v>79.975189209000007</v>
      </c>
      <c r="E1993">
        <v>50</v>
      </c>
      <c r="F1993">
        <v>49.602184295999997</v>
      </c>
      <c r="G1993">
        <v>1345.300293</v>
      </c>
      <c r="H1993">
        <v>1341.1082764</v>
      </c>
      <c r="I1993">
        <v>1322.9011230000001</v>
      </c>
      <c r="J1993">
        <v>1319.2489014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1467.141396</v>
      </c>
      <c r="B1994" s="1">
        <f>DATE(2014,5,7) + TIME(3,23,36)</f>
        <v>41766.141388888886</v>
      </c>
      <c r="C1994">
        <v>80</v>
      </c>
      <c r="D1994">
        <v>79.975280761999997</v>
      </c>
      <c r="E1994">
        <v>50</v>
      </c>
      <c r="F1994">
        <v>49.591156005999999</v>
      </c>
      <c r="G1994">
        <v>1345.2906493999999</v>
      </c>
      <c r="H1994">
        <v>1341.1010742000001</v>
      </c>
      <c r="I1994">
        <v>1322.9003906</v>
      </c>
      <c r="J1994">
        <v>1319.2476807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1467.361686</v>
      </c>
      <c r="B1995" s="1">
        <f>DATE(2014,5,7) + TIME(8,40,49)</f>
        <v>41766.361678240741</v>
      </c>
      <c r="C1995">
        <v>80</v>
      </c>
      <c r="D1995">
        <v>79.975357056000007</v>
      </c>
      <c r="E1995">
        <v>50</v>
      </c>
      <c r="F1995">
        <v>49.579803466999998</v>
      </c>
      <c r="G1995">
        <v>1345.2808838000001</v>
      </c>
      <c r="H1995">
        <v>1341.09375</v>
      </c>
      <c r="I1995">
        <v>1322.8995361</v>
      </c>
      <c r="J1995">
        <v>1319.2464600000001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1467.5886720000001</v>
      </c>
      <c r="B1996" s="1">
        <f>DATE(2014,5,7) + TIME(14,7,41)</f>
        <v>41766.58866898148</v>
      </c>
      <c r="C1996">
        <v>80</v>
      </c>
      <c r="D1996">
        <v>79.975410460999996</v>
      </c>
      <c r="E1996">
        <v>50</v>
      </c>
      <c r="F1996">
        <v>49.568149566999999</v>
      </c>
      <c r="G1996">
        <v>1345.2707519999999</v>
      </c>
      <c r="H1996">
        <v>1341.0863036999999</v>
      </c>
      <c r="I1996">
        <v>1322.8986815999999</v>
      </c>
      <c r="J1996">
        <v>1319.2451172000001</v>
      </c>
      <c r="K1996">
        <v>2400</v>
      </c>
      <c r="L1996">
        <v>0</v>
      </c>
      <c r="M1996">
        <v>0</v>
      </c>
      <c r="N1996">
        <v>2400</v>
      </c>
    </row>
    <row r="1997" spans="1:14" x14ac:dyDescent="0.25">
      <c r="A1997">
        <v>1467.822868</v>
      </c>
      <c r="B1997" s="1">
        <f>DATE(2014,5,7) + TIME(19,44,55)</f>
        <v>41766.822858796295</v>
      </c>
      <c r="C1997">
        <v>80</v>
      </c>
      <c r="D1997">
        <v>79.975456238000007</v>
      </c>
      <c r="E1997">
        <v>50</v>
      </c>
      <c r="F1997">
        <v>49.556179047000001</v>
      </c>
      <c r="G1997">
        <v>1345.260376</v>
      </c>
      <c r="H1997">
        <v>1341.0786132999999</v>
      </c>
      <c r="I1997">
        <v>1322.8978271000001</v>
      </c>
      <c r="J1997">
        <v>1319.2437743999999</v>
      </c>
      <c r="K1997">
        <v>2400</v>
      </c>
      <c r="L1997">
        <v>0</v>
      </c>
      <c r="M1997">
        <v>0</v>
      </c>
      <c r="N1997">
        <v>2400</v>
      </c>
    </row>
    <row r="1998" spans="1:14" x14ac:dyDescent="0.25">
      <c r="A1998">
        <v>1468.063265</v>
      </c>
      <c r="B1998" s="1">
        <f>DATE(2014,5,8) + TIME(1,31,6)</f>
        <v>41767.063263888886</v>
      </c>
      <c r="C1998">
        <v>80</v>
      </c>
      <c r="D1998">
        <v>79.975486755000006</v>
      </c>
      <c r="E1998">
        <v>50</v>
      </c>
      <c r="F1998">
        <v>49.543933868000003</v>
      </c>
      <c r="G1998">
        <v>1345.25</v>
      </c>
      <c r="H1998">
        <v>1341.0709228999999</v>
      </c>
      <c r="I1998">
        <v>1322.8969727000001</v>
      </c>
      <c r="J1998">
        <v>1319.2424315999999</v>
      </c>
      <c r="K1998">
        <v>2400</v>
      </c>
      <c r="L1998">
        <v>0</v>
      </c>
      <c r="M1998">
        <v>0</v>
      </c>
      <c r="N1998">
        <v>2400</v>
      </c>
    </row>
    <row r="1999" spans="1:14" x14ac:dyDescent="0.25">
      <c r="A1999">
        <v>1468.3064509999999</v>
      </c>
      <c r="B1999" s="1">
        <f>DATE(2014,5,8) + TIME(7,21,17)</f>
        <v>41767.306446759256</v>
      </c>
      <c r="C1999">
        <v>80</v>
      </c>
      <c r="D1999">
        <v>79.975517272999994</v>
      </c>
      <c r="E1999">
        <v>50</v>
      </c>
      <c r="F1999">
        <v>49.531547545999999</v>
      </c>
      <c r="G1999">
        <v>1345.2393798999999</v>
      </c>
      <c r="H1999">
        <v>1341.0631103999999</v>
      </c>
      <c r="I1999">
        <v>1322.8959961</v>
      </c>
      <c r="J1999">
        <v>1319.2410889</v>
      </c>
      <c r="K1999">
        <v>2400</v>
      </c>
      <c r="L1999">
        <v>0</v>
      </c>
      <c r="M1999">
        <v>0</v>
      </c>
      <c r="N1999">
        <v>2400</v>
      </c>
    </row>
    <row r="2000" spans="1:14" x14ac:dyDescent="0.25">
      <c r="A2000">
        <v>1468.5530839999999</v>
      </c>
      <c r="B2000" s="1">
        <f>DATE(2014,5,8) + TIME(13,16,26)</f>
        <v>41767.553078703706</v>
      </c>
      <c r="C2000">
        <v>80</v>
      </c>
      <c r="D2000">
        <v>79.975532532000003</v>
      </c>
      <c r="E2000">
        <v>50</v>
      </c>
      <c r="F2000">
        <v>49.519012451000002</v>
      </c>
      <c r="G2000">
        <v>1345.2287598</v>
      </c>
      <c r="H2000">
        <v>1341.0554199000001</v>
      </c>
      <c r="I2000">
        <v>1322.8951416</v>
      </c>
      <c r="J2000">
        <v>1319.239624</v>
      </c>
      <c r="K2000">
        <v>2400</v>
      </c>
      <c r="L2000">
        <v>0</v>
      </c>
      <c r="M2000">
        <v>0</v>
      </c>
      <c r="N2000">
        <v>2400</v>
      </c>
    </row>
    <row r="2001" spans="1:14" x14ac:dyDescent="0.25">
      <c r="A2001">
        <v>1468.8037850000001</v>
      </c>
      <c r="B2001" s="1">
        <f>DATE(2014,5,8) + TIME(19,17,27)</f>
        <v>41767.803784722222</v>
      </c>
      <c r="C2001">
        <v>80</v>
      </c>
      <c r="D2001">
        <v>79.975540160999998</v>
      </c>
      <c r="E2001">
        <v>50</v>
      </c>
      <c r="F2001">
        <v>49.506305695000002</v>
      </c>
      <c r="G2001">
        <v>1345.2182617000001</v>
      </c>
      <c r="H2001">
        <v>1341.0477295000001</v>
      </c>
      <c r="I2001">
        <v>1322.8941649999999</v>
      </c>
      <c r="J2001">
        <v>1319.2381591999999</v>
      </c>
      <c r="K2001">
        <v>2400</v>
      </c>
      <c r="L2001">
        <v>0</v>
      </c>
      <c r="M2001">
        <v>0</v>
      </c>
      <c r="N2001">
        <v>2400</v>
      </c>
    </row>
    <row r="2002" spans="1:14" x14ac:dyDescent="0.25">
      <c r="A2002">
        <v>1469.059207</v>
      </c>
      <c r="B2002" s="1">
        <f>DATE(2014,5,9) + TIME(1,25,15)</f>
        <v>41768.059201388889</v>
      </c>
      <c r="C2002">
        <v>80</v>
      </c>
      <c r="D2002">
        <v>79.975555420000006</v>
      </c>
      <c r="E2002">
        <v>50</v>
      </c>
      <c r="F2002">
        <v>49.493408203000001</v>
      </c>
      <c r="G2002">
        <v>1345.2076416</v>
      </c>
      <c r="H2002">
        <v>1341.0400391000001</v>
      </c>
      <c r="I2002">
        <v>1322.8931885</v>
      </c>
      <c r="J2002">
        <v>1319.2366943</v>
      </c>
      <c r="K2002">
        <v>2400</v>
      </c>
      <c r="L2002">
        <v>0</v>
      </c>
      <c r="M2002">
        <v>0</v>
      </c>
      <c r="N2002">
        <v>2400</v>
      </c>
    </row>
    <row r="2003" spans="1:14" x14ac:dyDescent="0.25">
      <c r="A2003">
        <v>1469.3200340000001</v>
      </c>
      <c r="B2003" s="1">
        <f>DATE(2014,5,9) + TIME(7,40,50)</f>
        <v>41768.320023148146</v>
      </c>
      <c r="C2003">
        <v>80</v>
      </c>
      <c r="D2003">
        <v>79.975555420000006</v>
      </c>
      <c r="E2003">
        <v>50</v>
      </c>
      <c r="F2003">
        <v>49.480297088999997</v>
      </c>
      <c r="G2003">
        <v>1345.1970214999999</v>
      </c>
      <c r="H2003">
        <v>1341.0323486</v>
      </c>
      <c r="I2003">
        <v>1322.8922118999999</v>
      </c>
      <c r="J2003">
        <v>1319.2352295000001</v>
      </c>
      <c r="K2003">
        <v>2400</v>
      </c>
      <c r="L2003">
        <v>0</v>
      </c>
      <c r="M2003">
        <v>0</v>
      </c>
      <c r="N2003">
        <v>2400</v>
      </c>
    </row>
    <row r="2004" spans="1:14" x14ac:dyDescent="0.25">
      <c r="A2004">
        <v>1469.586996</v>
      </c>
      <c r="B2004" s="1">
        <f>DATE(2014,5,9) + TIME(14,5,16)</f>
        <v>41768.58699074074</v>
      </c>
      <c r="C2004">
        <v>80</v>
      </c>
      <c r="D2004">
        <v>79.975555420000006</v>
      </c>
      <c r="E2004">
        <v>50</v>
      </c>
      <c r="F2004">
        <v>49.466945647999999</v>
      </c>
      <c r="G2004">
        <v>1345.1864014</v>
      </c>
      <c r="H2004">
        <v>1341.0246582</v>
      </c>
      <c r="I2004">
        <v>1322.8911132999999</v>
      </c>
      <c r="J2004">
        <v>1319.2336425999999</v>
      </c>
      <c r="K2004">
        <v>2400</v>
      </c>
      <c r="L2004">
        <v>0</v>
      </c>
      <c r="M2004">
        <v>0</v>
      </c>
      <c r="N2004">
        <v>2400</v>
      </c>
    </row>
    <row r="2005" spans="1:14" x14ac:dyDescent="0.25">
      <c r="A2005">
        <v>1469.8608850000001</v>
      </c>
      <c r="B2005" s="1">
        <f>DATE(2014,5,9) + TIME(20,39,40)</f>
        <v>41768.860879629632</v>
      </c>
      <c r="C2005">
        <v>80</v>
      </c>
      <c r="D2005">
        <v>79.975555420000006</v>
      </c>
      <c r="E2005">
        <v>50</v>
      </c>
      <c r="F2005">
        <v>49.453323363999999</v>
      </c>
      <c r="G2005">
        <v>1345.1757812000001</v>
      </c>
      <c r="H2005">
        <v>1341.0170897999999</v>
      </c>
      <c r="I2005">
        <v>1322.8901367000001</v>
      </c>
      <c r="J2005">
        <v>1319.2320557</v>
      </c>
      <c r="K2005">
        <v>2400</v>
      </c>
      <c r="L2005">
        <v>0</v>
      </c>
      <c r="M2005">
        <v>0</v>
      </c>
      <c r="N2005">
        <v>2400</v>
      </c>
    </row>
    <row r="2006" spans="1:14" x14ac:dyDescent="0.25">
      <c r="A2006">
        <v>1470.1386500000001</v>
      </c>
      <c r="B2006" s="1">
        <f>DATE(2014,5,10) + TIME(3,19,39)</f>
        <v>41769.138645833336</v>
      </c>
      <c r="C2006">
        <v>80</v>
      </c>
      <c r="D2006">
        <v>79.975555420000006</v>
      </c>
      <c r="E2006">
        <v>50</v>
      </c>
      <c r="F2006">
        <v>49.439544677999997</v>
      </c>
      <c r="G2006">
        <v>1345.1650391000001</v>
      </c>
      <c r="H2006">
        <v>1341.0092772999999</v>
      </c>
      <c r="I2006">
        <v>1322.8890381000001</v>
      </c>
      <c r="J2006">
        <v>1319.2304687999999</v>
      </c>
      <c r="K2006">
        <v>2400</v>
      </c>
      <c r="L2006">
        <v>0</v>
      </c>
      <c r="M2006">
        <v>0</v>
      </c>
      <c r="N2006">
        <v>2400</v>
      </c>
    </row>
    <row r="2007" spans="1:14" x14ac:dyDescent="0.25">
      <c r="A2007">
        <v>1470.419913</v>
      </c>
      <c r="B2007" s="1">
        <f>DATE(2014,5,10) + TIME(10,4,40)</f>
        <v>41769.419907407406</v>
      </c>
      <c r="C2007">
        <v>80</v>
      </c>
      <c r="D2007">
        <v>79.975547790999997</v>
      </c>
      <c r="E2007">
        <v>50</v>
      </c>
      <c r="F2007">
        <v>49.425632477000001</v>
      </c>
      <c r="G2007">
        <v>1345.1544189000001</v>
      </c>
      <c r="H2007">
        <v>1341.0017089999999</v>
      </c>
      <c r="I2007">
        <v>1322.8879394999999</v>
      </c>
      <c r="J2007">
        <v>1319.2287598</v>
      </c>
      <c r="K2007">
        <v>2400</v>
      </c>
      <c r="L2007">
        <v>0</v>
      </c>
      <c r="M2007">
        <v>0</v>
      </c>
      <c r="N2007">
        <v>2400</v>
      </c>
    </row>
    <row r="2008" spans="1:14" x14ac:dyDescent="0.25">
      <c r="A2008">
        <v>1470.7052859999999</v>
      </c>
      <c r="B2008" s="1">
        <f>DATE(2014,5,10) + TIME(16,55,36)</f>
        <v>41769.705277777779</v>
      </c>
      <c r="C2008">
        <v>80</v>
      </c>
      <c r="D2008">
        <v>79.975540160999998</v>
      </c>
      <c r="E2008">
        <v>50</v>
      </c>
      <c r="F2008">
        <v>49.411563872999999</v>
      </c>
      <c r="G2008">
        <v>1345.1437988</v>
      </c>
      <c r="H2008">
        <v>1340.9941406</v>
      </c>
      <c r="I2008">
        <v>1322.8868408000001</v>
      </c>
      <c r="J2008">
        <v>1319.2271728999999</v>
      </c>
      <c r="K2008">
        <v>2400</v>
      </c>
      <c r="L2008">
        <v>0</v>
      </c>
      <c r="M2008">
        <v>0</v>
      </c>
      <c r="N2008">
        <v>2400</v>
      </c>
    </row>
    <row r="2009" spans="1:14" x14ac:dyDescent="0.25">
      <c r="A2009">
        <v>1470.995285</v>
      </c>
      <c r="B2009" s="1">
        <f>DATE(2014,5,10) + TIME(23,53,12)</f>
        <v>41769.99527777778</v>
      </c>
      <c r="C2009">
        <v>80</v>
      </c>
      <c r="D2009">
        <v>79.975532532000003</v>
      </c>
      <c r="E2009">
        <v>50</v>
      </c>
      <c r="F2009">
        <v>49.397327423</v>
      </c>
      <c r="G2009">
        <v>1345.1333007999999</v>
      </c>
      <c r="H2009">
        <v>1340.9865723</v>
      </c>
      <c r="I2009">
        <v>1322.8857422000001</v>
      </c>
      <c r="J2009">
        <v>1319.2254639</v>
      </c>
      <c r="K2009">
        <v>2400</v>
      </c>
      <c r="L2009">
        <v>0</v>
      </c>
      <c r="M2009">
        <v>0</v>
      </c>
      <c r="N2009">
        <v>2400</v>
      </c>
    </row>
    <row r="2010" spans="1:14" x14ac:dyDescent="0.25">
      <c r="A2010">
        <v>1471.29053</v>
      </c>
      <c r="B2010" s="1">
        <f>DATE(2014,5,11) + TIME(6,58,21)</f>
        <v>41770.290520833332</v>
      </c>
      <c r="C2010">
        <v>80</v>
      </c>
      <c r="D2010">
        <v>79.975524902000004</v>
      </c>
      <c r="E2010">
        <v>50</v>
      </c>
      <c r="F2010">
        <v>49.382907867</v>
      </c>
      <c r="G2010">
        <v>1345.1228027</v>
      </c>
      <c r="H2010">
        <v>1340.979126</v>
      </c>
      <c r="I2010">
        <v>1322.8845214999999</v>
      </c>
      <c r="J2010">
        <v>1319.2236327999999</v>
      </c>
      <c r="K2010">
        <v>2400</v>
      </c>
      <c r="L2010">
        <v>0</v>
      </c>
      <c r="M2010">
        <v>0</v>
      </c>
      <c r="N2010">
        <v>2400</v>
      </c>
    </row>
    <row r="2011" spans="1:14" x14ac:dyDescent="0.25">
      <c r="A2011">
        <v>1471.5916769999999</v>
      </c>
      <c r="B2011" s="1">
        <f>DATE(2014,5,11) + TIME(14,12,0)</f>
        <v>41770.591666666667</v>
      </c>
      <c r="C2011">
        <v>80</v>
      </c>
      <c r="D2011">
        <v>79.975517272999994</v>
      </c>
      <c r="E2011">
        <v>50</v>
      </c>
      <c r="F2011">
        <v>49.368274689000003</v>
      </c>
      <c r="G2011">
        <v>1345.1123047000001</v>
      </c>
      <c r="H2011">
        <v>1340.9716797000001</v>
      </c>
      <c r="I2011">
        <v>1322.8834228999999</v>
      </c>
      <c r="J2011">
        <v>1319.2219238</v>
      </c>
      <c r="K2011">
        <v>2400</v>
      </c>
      <c r="L2011">
        <v>0</v>
      </c>
      <c r="M2011">
        <v>0</v>
      </c>
      <c r="N2011">
        <v>2400</v>
      </c>
    </row>
    <row r="2012" spans="1:14" x14ac:dyDescent="0.25">
      <c r="A2012">
        <v>1471.8994250000001</v>
      </c>
      <c r="B2012" s="1">
        <f>DATE(2014,5,11) + TIME(21,35,10)</f>
        <v>41770.899421296293</v>
      </c>
      <c r="C2012">
        <v>80</v>
      </c>
      <c r="D2012">
        <v>79.975509643999999</v>
      </c>
      <c r="E2012">
        <v>50</v>
      </c>
      <c r="F2012">
        <v>49.353404998999999</v>
      </c>
      <c r="G2012">
        <v>1345.1018065999999</v>
      </c>
      <c r="H2012">
        <v>1340.9642334</v>
      </c>
      <c r="I2012">
        <v>1322.8822021000001</v>
      </c>
      <c r="J2012">
        <v>1319.2200928</v>
      </c>
      <c r="K2012">
        <v>2400</v>
      </c>
      <c r="L2012">
        <v>0</v>
      </c>
      <c r="M2012">
        <v>0</v>
      </c>
      <c r="N2012">
        <v>2400</v>
      </c>
    </row>
    <row r="2013" spans="1:14" x14ac:dyDescent="0.25">
      <c r="A2013">
        <v>1472.2145310000001</v>
      </c>
      <c r="B2013" s="1">
        <f>DATE(2014,5,12) + TIME(5,8,55)</f>
        <v>41771.214525462965</v>
      </c>
      <c r="C2013">
        <v>80</v>
      </c>
      <c r="D2013">
        <v>79.975494385000005</v>
      </c>
      <c r="E2013">
        <v>50</v>
      </c>
      <c r="F2013">
        <v>49.338272095000001</v>
      </c>
      <c r="G2013">
        <v>1345.0913086</v>
      </c>
      <c r="H2013">
        <v>1340.9569091999999</v>
      </c>
      <c r="I2013">
        <v>1322.8808594</v>
      </c>
      <c r="J2013">
        <v>1319.2182617000001</v>
      </c>
      <c r="K2013">
        <v>2400</v>
      </c>
      <c r="L2013">
        <v>0</v>
      </c>
      <c r="M2013">
        <v>0</v>
      </c>
      <c r="N2013">
        <v>2400</v>
      </c>
    </row>
    <row r="2014" spans="1:14" x14ac:dyDescent="0.25">
      <c r="A2014">
        <v>1472.537818</v>
      </c>
      <c r="B2014" s="1">
        <f>DATE(2014,5,12) + TIME(12,54,27)</f>
        <v>41771.537812499999</v>
      </c>
      <c r="C2014">
        <v>80</v>
      </c>
      <c r="D2014">
        <v>79.975486755000006</v>
      </c>
      <c r="E2014">
        <v>50</v>
      </c>
      <c r="F2014">
        <v>49.322841644</v>
      </c>
      <c r="G2014">
        <v>1345.0808105000001</v>
      </c>
      <c r="H2014">
        <v>1340.9494629000001</v>
      </c>
      <c r="I2014">
        <v>1322.8796387</v>
      </c>
      <c r="J2014">
        <v>1319.2163086</v>
      </c>
      <c r="K2014">
        <v>2400</v>
      </c>
      <c r="L2014">
        <v>0</v>
      </c>
      <c r="M2014">
        <v>0</v>
      </c>
      <c r="N2014">
        <v>2400</v>
      </c>
    </row>
    <row r="2015" spans="1:14" x14ac:dyDescent="0.25">
      <c r="A2015">
        <v>1472.870193</v>
      </c>
      <c r="B2015" s="1">
        <f>DATE(2014,5,12) + TIME(20,53,4)</f>
        <v>41771.870185185187</v>
      </c>
      <c r="C2015">
        <v>80</v>
      </c>
      <c r="D2015">
        <v>79.975479125999996</v>
      </c>
      <c r="E2015">
        <v>50</v>
      </c>
      <c r="F2015">
        <v>49.307083130000002</v>
      </c>
      <c r="G2015">
        <v>1345.0701904</v>
      </c>
      <c r="H2015">
        <v>1340.9420166</v>
      </c>
      <c r="I2015">
        <v>1322.8782959</v>
      </c>
      <c r="J2015">
        <v>1319.2143555</v>
      </c>
      <c r="K2015">
        <v>2400</v>
      </c>
      <c r="L2015">
        <v>0</v>
      </c>
      <c r="M2015">
        <v>0</v>
      </c>
      <c r="N2015">
        <v>2400</v>
      </c>
    </row>
    <row r="2016" spans="1:14" x14ac:dyDescent="0.25">
      <c r="A2016">
        <v>1473.2126559999999</v>
      </c>
      <c r="B2016" s="1">
        <f>DATE(2014,5,13) + TIME(5,6,13)</f>
        <v>41772.212650462963</v>
      </c>
      <c r="C2016">
        <v>80</v>
      </c>
      <c r="D2016">
        <v>79.975463867000002</v>
      </c>
      <c r="E2016">
        <v>50</v>
      </c>
      <c r="F2016">
        <v>49.290954589999998</v>
      </c>
      <c r="G2016">
        <v>1345.0595702999999</v>
      </c>
      <c r="H2016">
        <v>1340.9345702999999</v>
      </c>
      <c r="I2016">
        <v>1322.8769531</v>
      </c>
      <c r="J2016">
        <v>1319.2122803</v>
      </c>
      <c r="K2016">
        <v>2400</v>
      </c>
      <c r="L2016">
        <v>0</v>
      </c>
      <c r="M2016">
        <v>0</v>
      </c>
      <c r="N2016">
        <v>2400</v>
      </c>
    </row>
    <row r="2017" spans="1:14" x14ac:dyDescent="0.25">
      <c r="A2017">
        <v>1473.5663669999999</v>
      </c>
      <c r="B2017" s="1">
        <f>DATE(2014,5,13) + TIME(13,35,34)</f>
        <v>41772.566365740742</v>
      </c>
      <c r="C2017">
        <v>80</v>
      </c>
      <c r="D2017">
        <v>79.975448607999994</v>
      </c>
      <c r="E2017">
        <v>50</v>
      </c>
      <c r="F2017">
        <v>49.274410248000002</v>
      </c>
      <c r="G2017">
        <v>1345.0487060999999</v>
      </c>
      <c r="H2017">
        <v>1340.9270019999999</v>
      </c>
      <c r="I2017">
        <v>1322.8756103999999</v>
      </c>
      <c r="J2017">
        <v>1319.2102050999999</v>
      </c>
      <c r="K2017">
        <v>2400</v>
      </c>
      <c r="L2017">
        <v>0</v>
      </c>
      <c r="M2017">
        <v>0</v>
      </c>
      <c r="N2017">
        <v>2400</v>
      </c>
    </row>
    <row r="2018" spans="1:14" x14ac:dyDescent="0.25">
      <c r="A2018">
        <v>1473.9275990000001</v>
      </c>
      <c r="B2018" s="1">
        <f>DATE(2014,5,13) + TIME(22,15,44)</f>
        <v>41772.92759259259</v>
      </c>
      <c r="C2018">
        <v>80</v>
      </c>
      <c r="D2018">
        <v>79.975440978999998</v>
      </c>
      <c r="E2018">
        <v>50</v>
      </c>
      <c r="F2018">
        <v>49.257568358999997</v>
      </c>
      <c r="G2018">
        <v>1345.0378418</v>
      </c>
      <c r="H2018">
        <v>1340.9194336</v>
      </c>
      <c r="I2018">
        <v>1322.8741454999999</v>
      </c>
      <c r="J2018">
        <v>1319.2080077999999</v>
      </c>
      <c r="K2018">
        <v>2400</v>
      </c>
      <c r="L2018">
        <v>0</v>
      </c>
      <c r="M2018">
        <v>0</v>
      </c>
      <c r="N2018">
        <v>2400</v>
      </c>
    </row>
    <row r="2019" spans="1:14" x14ac:dyDescent="0.25">
      <c r="A2019">
        <v>1474.2951740000001</v>
      </c>
      <c r="B2019" s="1">
        <f>DATE(2014,5,14) + TIME(7,5,3)</f>
        <v>41773.295173611114</v>
      </c>
      <c r="C2019">
        <v>80</v>
      </c>
      <c r="D2019">
        <v>79.975425720000004</v>
      </c>
      <c r="E2019">
        <v>50</v>
      </c>
      <c r="F2019">
        <v>49.240478516000003</v>
      </c>
      <c r="G2019">
        <v>1345.0269774999999</v>
      </c>
      <c r="H2019">
        <v>1340.9118652</v>
      </c>
      <c r="I2019">
        <v>1322.8726807</v>
      </c>
      <c r="J2019">
        <v>1319.2058105000001</v>
      </c>
      <c r="K2019">
        <v>2400</v>
      </c>
      <c r="L2019">
        <v>0</v>
      </c>
      <c r="M2019">
        <v>0</v>
      </c>
      <c r="N2019">
        <v>2400</v>
      </c>
    </row>
    <row r="2020" spans="1:14" x14ac:dyDescent="0.25">
      <c r="A2020">
        <v>1474.6696589999999</v>
      </c>
      <c r="B2020" s="1">
        <f>DATE(2014,5,14) + TIME(16,4,18)</f>
        <v>41773.669652777775</v>
      </c>
      <c r="C2020">
        <v>80</v>
      </c>
      <c r="D2020">
        <v>79.975410460999996</v>
      </c>
      <c r="E2020">
        <v>50</v>
      </c>
      <c r="F2020">
        <v>49.223133087000001</v>
      </c>
      <c r="G2020">
        <v>1345.0161132999999</v>
      </c>
      <c r="H2020">
        <v>1340.9044189000001</v>
      </c>
      <c r="I2020">
        <v>1322.8710937999999</v>
      </c>
      <c r="J2020">
        <v>1319.2034911999999</v>
      </c>
      <c r="K2020">
        <v>2400</v>
      </c>
      <c r="L2020">
        <v>0</v>
      </c>
      <c r="M2020">
        <v>0</v>
      </c>
      <c r="N2020">
        <v>2400</v>
      </c>
    </row>
    <row r="2021" spans="1:14" x14ac:dyDescent="0.25">
      <c r="A2021">
        <v>1475.0509939999999</v>
      </c>
      <c r="B2021" s="1">
        <f>DATE(2014,5,15) + TIME(1,13,25)</f>
        <v>41774.050983796296</v>
      </c>
      <c r="C2021">
        <v>80</v>
      </c>
      <c r="D2021">
        <v>79.975402832</v>
      </c>
      <c r="E2021">
        <v>50</v>
      </c>
      <c r="F2021">
        <v>49.205539702999999</v>
      </c>
      <c r="G2021">
        <v>1345.0053711</v>
      </c>
      <c r="H2021">
        <v>1340.8968506000001</v>
      </c>
      <c r="I2021">
        <v>1322.8696289</v>
      </c>
      <c r="J2021">
        <v>1319.2011719</v>
      </c>
      <c r="K2021">
        <v>2400</v>
      </c>
      <c r="L2021">
        <v>0</v>
      </c>
      <c r="M2021">
        <v>0</v>
      </c>
      <c r="N2021">
        <v>2400</v>
      </c>
    </row>
    <row r="2022" spans="1:14" x14ac:dyDescent="0.25">
      <c r="A2022">
        <v>1475.4378979999999</v>
      </c>
      <c r="B2022" s="1">
        <f>DATE(2014,5,15) + TIME(10,30,34)</f>
        <v>41774.437893518516</v>
      </c>
      <c r="C2022">
        <v>80</v>
      </c>
      <c r="D2022">
        <v>79.975387573000006</v>
      </c>
      <c r="E2022">
        <v>50</v>
      </c>
      <c r="F2022">
        <v>49.187747954999999</v>
      </c>
      <c r="G2022">
        <v>1344.9945068</v>
      </c>
      <c r="H2022">
        <v>1340.8894043</v>
      </c>
      <c r="I2022">
        <v>1322.8680420000001</v>
      </c>
      <c r="J2022">
        <v>1319.1987305</v>
      </c>
      <c r="K2022">
        <v>2400</v>
      </c>
      <c r="L2022">
        <v>0</v>
      </c>
      <c r="M2022">
        <v>0</v>
      </c>
      <c r="N2022">
        <v>2400</v>
      </c>
    </row>
    <row r="2023" spans="1:14" x14ac:dyDescent="0.25">
      <c r="A2023">
        <v>1475.831369</v>
      </c>
      <c r="B2023" s="1">
        <f>DATE(2014,5,15) + TIME(19,57,10)</f>
        <v>41774.831365740742</v>
      </c>
      <c r="C2023">
        <v>80</v>
      </c>
      <c r="D2023">
        <v>79.975372313999998</v>
      </c>
      <c r="E2023">
        <v>50</v>
      </c>
      <c r="F2023">
        <v>49.169742583999998</v>
      </c>
      <c r="G2023">
        <v>1344.9838867000001</v>
      </c>
      <c r="H2023">
        <v>1340.8820800999999</v>
      </c>
      <c r="I2023">
        <v>1322.8663329999999</v>
      </c>
      <c r="J2023">
        <v>1319.1962891000001</v>
      </c>
      <c r="K2023">
        <v>2400</v>
      </c>
      <c r="L2023">
        <v>0</v>
      </c>
      <c r="M2023">
        <v>0</v>
      </c>
      <c r="N2023">
        <v>2400</v>
      </c>
    </row>
    <row r="2024" spans="1:14" x14ac:dyDescent="0.25">
      <c r="A2024">
        <v>1476.2324269999999</v>
      </c>
      <c r="B2024" s="1">
        <f>DATE(2014,5,16) + TIME(5,34,41)</f>
        <v>41775.232418981483</v>
      </c>
      <c r="C2024">
        <v>80</v>
      </c>
      <c r="D2024">
        <v>79.975357056000007</v>
      </c>
      <c r="E2024">
        <v>50</v>
      </c>
      <c r="F2024">
        <v>49.151489257999998</v>
      </c>
      <c r="G2024">
        <v>1344.9731445</v>
      </c>
      <c r="H2024">
        <v>1340.8747559000001</v>
      </c>
      <c r="I2024">
        <v>1322.8647461</v>
      </c>
      <c r="J2024">
        <v>1319.1937256000001</v>
      </c>
      <c r="K2024">
        <v>2400</v>
      </c>
      <c r="L2024">
        <v>0</v>
      </c>
      <c r="M2024">
        <v>0</v>
      </c>
      <c r="N2024">
        <v>2400</v>
      </c>
    </row>
    <row r="2025" spans="1:14" x14ac:dyDescent="0.25">
      <c r="A2025">
        <v>1476.6423890000001</v>
      </c>
      <c r="B2025" s="1">
        <f>DATE(2014,5,16) + TIME(15,25,2)</f>
        <v>41775.642384259256</v>
      </c>
      <c r="C2025">
        <v>80</v>
      </c>
      <c r="D2025">
        <v>79.975349425999994</v>
      </c>
      <c r="E2025">
        <v>50</v>
      </c>
      <c r="F2025">
        <v>49.132949828999998</v>
      </c>
      <c r="G2025">
        <v>1344.9625243999999</v>
      </c>
      <c r="H2025">
        <v>1340.8674315999999</v>
      </c>
      <c r="I2025">
        <v>1322.8630370999999</v>
      </c>
      <c r="J2025">
        <v>1319.1911620999999</v>
      </c>
      <c r="K2025">
        <v>2400</v>
      </c>
      <c r="L2025">
        <v>0</v>
      </c>
      <c r="M2025">
        <v>0</v>
      </c>
      <c r="N2025">
        <v>2400</v>
      </c>
    </row>
    <row r="2026" spans="1:14" x14ac:dyDescent="0.25">
      <c r="A2026">
        <v>1477.0625560000001</v>
      </c>
      <c r="B2026" s="1">
        <f>DATE(2014,5,17) + TIME(1,30,4)</f>
        <v>41776.0625462963</v>
      </c>
      <c r="C2026">
        <v>80</v>
      </c>
      <c r="D2026">
        <v>79.975334167</v>
      </c>
      <c r="E2026">
        <v>50</v>
      </c>
      <c r="F2026">
        <v>49.114086151000002</v>
      </c>
      <c r="G2026">
        <v>1344.9517822</v>
      </c>
      <c r="H2026">
        <v>1340.8601074000001</v>
      </c>
      <c r="I2026">
        <v>1322.8612060999999</v>
      </c>
      <c r="J2026">
        <v>1319.1885986</v>
      </c>
      <c r="K2026">
        <v>2400</v>
      </c>
      <c r="L2026">
        <v>0</v>
      </c>
      <c r="M2026">
        <v>0</v>
      </c>
      <c r="N2026">
        <v>2400</v>
      </c>
    </row>
    <row r="2027" spans="1:14" x14ac:dyDescent="0.25">
      <c r="A2027">
        <v>1477.4877630000001</v>
      </c>
      <c r="B2027" s="1">
        <f>DATE(2014,5,17) + TIME(11,42,22)</f>
        <v>41776.487754629627</v>
      </c>
      <c r="C2027">
        <v>80</v>
      </c>
      <c r="D2027">
        <v>79.975318908999995</v>
      </c>
      <c r="E2027">
        <v>50</v>
      </c>
      <c r="F2027">
        <v>49.095039368000002</v>
      </c>
      <c r="G2027">
        <v>1344.9410399999999</v>
      </c>
      <c r="H2027">
        <v>1340.8527832</v>
      </c>
      <c r="I2027">
        <v>1322.8594971</v>
      </c>
      <c r="J2027">
        <v>1319.1857910000001</v>
      </c>
      <c r="K2027">
        <v>2400</v>
      </c>
      <c r="L2027">
        <v>0</v>
      </c>
      <c r="M2027">
        <v>0</v>
      </c>
      <c r="N2027">
        <v>2400</v>
      </c>
    </row>
    <row r="2028" spans="1:14" x14ac:dyDescent="0.25">
      <c r="A2028">
        <v>1477.9174330000001</v>
      </c>
      <c r="B2028" s="1">
        <f>DATE(2014,5,17) + TIME(22,1,6)</f>
        <v>41776.917430555557</v>
      </c>
      <c r="C2028">
        <v>80</v>
      </c>
      <c r="D2028">
        <v>79.975311278999996</v>
      </c>
      <c r="E2028">
        <v>50</v>
      </c>
      <c r="F2028">
        <v>49.075847625999998</v>
      </c>
      <c r="G2028">
        <v>1344.9304199000001</v>
      </c>
      <c r="H2028">
        <v>1340.8454589999999</v>
      </c>
      <c r="I2028">
        <v>1322.8576660000001</v>
      </c>
      <c r="J2028">
        <v>1319.1831055</v>
      </c>
      <c r="K2028">
        <v>2400</v>
      </c>
      <c r="L2028">
        <v>0</v>
      </c>
      <c r="M2028">
        <v>0</v>
      </c>
      <c r="N2028">
        <v>2400</v>
      </c>
    </row>
    <row r="2029" spans="1:14" x14ac:dyDescent="0.25">
      <c r="A2029">
        <v>1478.3510160000001</v>
      </c>
      <c r="B2029" s="1">
        <f>DATE(2014,5,18) + TIME(8,25,27)</f>
        <v>41777.351006944446</v>
      </c>
      <c r="C2029">
        <v>80</v>
      </c>
      <c r="D2029">
        <v>79.975296021000005</v>
      </c>
      <c r="E2029">
        <v>50</v>
      </c>
      <c r="F2029">
        <v>49.056545258</v>
      </c>
      <c r="G2029">
        <v>1344.9199219</v>
      </c>
      <c r="H2029">
        <v>1340.8383789</v>
      </c>
      <c r="I2029">
        <v>1322.8557129000001</v>
      </c>
      <c r="J2029">
        <v>1319.1801757999999</v>
      </c>
      <c r="K2029">
        <v>2400</v>
      </c>
      <c r="L2029">
        <v>0</v>
      </c>
      <c r="M2029">
        <v>0</v>
      </c>
      <c r="N2029">
        <v>2400</v>
      </c>
    </row>
    <row r="2030" spans="1:14" x14ac:dyDescent="0.25">
      <c r="A2030">
        <v>1478.7893999999999</v>
      </c>
      <c r="B2030" s="1">
        <f>DATE(2014,5,18) + TIME(18,56,44)</f>
        <v>41777.789398148147</v>
      </c>
      <c r="C2030">
        <v>80</v>
      </c>
      <c r="D2030">
        <v>79.975280761999997</v>
      </c>
      <c r="E2030">
        <v>50</v>
      </c>
      <c r="F2030">
        <v>49.037120819000002</v>
      </c>
      <c r="G2030">
        <v>1344.9094238</v>
      </c>
      <c r="H2030">
        <v>1340.8312988</v>
      </c>
      <c r="I2030">
        <v>1322.8538818</v>
      </c>
      <c r="J2030">
        <v>1319.1773682</v>
      </c>
      <c r="K2030">
        <v>2400</v>
      </c>
      <c r="L2030">
        <v>0</v>
      </c>
      <c r="M2030">
        <v>0</v>
      </c>
      <c r="N2030">
        <v>2400</v>
      </c>
    </row>
    <row r="2031" spans="1:14" x14ac:dyDescent="0.25">
      <c r="A2031">
        <v>1479.2336299999999</v>
      </c>
      <c r="B2031" s="1">
        <f>DATE(2014,5,19) + TIME(5,36,25)</f>
        <v>41778.233622685184</v>
      </c>
      <c r="C2031">
        <v>80</v>
      </c>
      <c r="D2031">
        <v>79.975265503000003</v>
      </c>
      <c r="E2031">
        <v>50</v>
      </c>
      <c r="F2031">
        <v>49.017547606999997</v>
      </c>
      <c r="G2031">
        <v>1344.8990478999999</v>
      </c>
      <c r="H2031">
        <v>1340.8242187999999</v>
      </c>
      <c r="I2031">
        <v>1322.8519286999999</v>
      </c>
      <c r="J2031">
        <v>1319.1744385</v>
      </c>
      <c r="K2031">
        <v>2400</v>
      </c>
      <c r="L2031">
        <v>0</v>
      </c>
      <c r="M2031">
        <v>0</v>
      </c>
      <c r="N2031">
        <v>2400</v>
      </c>
    </row>
    <row r="2032" spans="1:14" x14ac:dyDescent="0.25">
      <c r="A2032">
        <v>1479.684467</v>
      </c>
      <c r="B2032" s="1">
        <f>DATE(2014,5,19) + TIME(16,25,37)</f>
        <v>41778.68445601852</v>
      </c>
      <c r="C2032">
        <v>80</v>
      </c>
      <c r="D2032">
        <v>79.975257873999993</v>
      </c>
      <c r="E2032">
        <v>50</v>
      </c>
      <c r="F2032">
        <v>48.997810364000003</v>
      </c>
      <c r="G2032">
        <v>1344.8887939000001</v>
      </c>
      <c r="H2032">
        <v>1340.8172606999999</v>
      </c>
      <c r="I2032">
        <v>1322.8499756000001</v>
      </c>
      <c r="J2032">
        <v>1319.1713867000001</v>
      </c>
      <c r="K2032">
        <v>2400</v>
      </c>
      <c r="L2032">
        <v>0</v>
      </c>
      <c r="M2032">
        <v>0</v>
      </c>
      <c r="N2032">
        <v>2400</v>
      </c>
    </row>
    <row r="2033" spans="1:14" x14ac:dyDescent="0.25">
      <c r="A2033">
        <v>1480.142887</v>
      </c>
      <c r="B2033" s="1">
        <f>DATE(2014,5,20) + TIME(3,25,45)</f>
        <v>41779.142881944441</v>
      </c>
      <c r="C2033">
        <v>80</v>
      </c>
      <c r="D2033">
        <v>79.975242614999999</v>
      </c>
      <c r="E2033">
        <v>50</v>
      </c>
      <c r="F2033">
        <v>48.977874755999999</v>
      </c>
      <c r="G2033">
        <v>1344.8785399999999</v>
      </c>
      <c r="H2033">
        <v>1340.8104248</v>
      </c>
      <c r="I2033">
        <v>1322.8479004000001</v>
      </c>
      <c r="J2033">
        <v>1319.1683350000001</v>
      </c>
      <c r="K2033">
        <v>2400</v>
      </c>
      <c r="L2033">
        <v>0</v>
      </c>
      <c r="M2033">
        <v>0</v>
      </c>
      <c r="N2033">
        <v>2400</v>
      </c>
    </row>
    <row r="2034" spans="1:14" x14ac:dyDescent="0.25">
      <c r="A2034">
        <v>1480.6099180000001</v>
      </c>
      <c r="B2034" s="1">
        <f>DATE(2014,5,20) + TIME(14,38,16)</f>
        <v>41779.609907407408</v>
      </c>
      <c r="C2034">
        <v>80</v>
      </c>
      <c r="D2034">
        <v>79.975227356000005</v>
      </c>
      <c r="E2034">
        <v>50</v>
      </c>
      <c r="F2034">
        <v>48.957706451</v>
      </c>
      <c r="G2034">
        <v>1344.8682861</v>
      </c>
      <c r="H2034">
        <v>1340.8034668</v>
      </c>
      <c r="I2034">
        <v>1322.8458252</v>
      </c>
      <c r="J2034">
        <v>1319.1652832</v>
      </c>
      <c r="K2034">
        <v>2400</v>
      </c>
      <c r="L2034">
        <v>0</v>
      </c>
      <c r="M2034">
        <v>0</v>
      </c>
      <c r="N2034">
        <v>2400</v>
      </c>
    </row>
    <row r="2035" spans="1:14" x14ac:dyDescent="0.25">
      <c r="A2035">
        <v>1481.0866599999999</v>
      </c>
      <c r="B2035" s="1">
        <f>DATE(2014,5,21) + TIME(2,4,47)</f>
        <v>41780.086655092593</v>
      </c>
      <c r="C2035">
        <v>80</v>
      </c>
      <c r="D2035">
        <v>79.975219726999995</v>
      </c>
      <c r="E2035">
        <v>50</v>
      </c>
      <c r="F2035">
        <v>48.937271117999998</v>
      </c>
      <c r="G2035">
        <v>1344.8580322</v>
      </c>
      <c r="H2035">
        <v>1340.7966309000001</v>
      </c>
      <c r="I2035">
        <v>1322.84375</v>
      </c>
      <c r="J2035">
        <v>1319.1619873</v>
      </c>
      <c r="K2035">
        <v>2400</v>
      </c>
      <c r="L2035">
        <v>0</v>
      </c>
      <c r="M2035">
        <v>0</v>
      </c>
      <c r="N2035">
        <v>2400</v>
      </c>
    </row>
    <row r="2036" spans="1:14" x14ac:dyDescent="0.25">
      <c r="A2036">
        <v>1481.574298</v>
      </c>
      <c r="B2036" s="1">
        <f>DATE(2014,5,21) + TIME(13,46,59)</f>
        <v>41780.574293981481</v>
      </c>
      <c r="C2036">
        <v>80</v>
      </c>
      <c r="D2036">
        <v>79.975204468000001</v>
      </c>
      <c r="E2036">
        <v>50</v>
      </c>
      <c r="F2036">
        <v>48.916526793999999</v>
      </c>
      <c r="G2036">
        <v>1344.8477783000001</v>
      </c>
      <c r="H2036">
        <v>1340.7896728999999</v>
      </c>
      <c r="I2036">
        <v>1322.8415527</v>
      </c>
      <c r="J2036">
        <v>1319.1586914</v>
      </c>
      <c r="K2036">
        <v>2400</v>
      </c>
      <c r="L2036">
        <v>0</v>
      </c>
      <c r="M2036">
        <v>0</v>
      </c>
      <c r="N2036">
        <v>2400</v>
      </c>
    </row>
    <row r="2037" spans="1:14" x14ac:dyDescent="0.25">
      <c r="A2037">
        <v>1482.0741069999999</v>
      </c>
      <c r="B2037" s="1">
        <f>DATE(2014,5,22) + TIME(1,46,42)</f>
        <v>41781.074097222219</v>
      </c>
      <c r="C2037">
        <v>80</v>
      </c>
      <c r="D2037">
        <v>79.975189209000007</v>
      </c>
      <c r="E2037">
        <v>50</v>
      </c>
      <c r="F2037">
        <v>48.895427703999999</v>
      </c>
      <c r="G2037">
        <v>1344.8374022999999</v>
      </c>
      <c r="H2037">
        <v>1340.7828368999999</v>
      </c>
      <c r="I2037">
        <v>1322.8393555</v>
      </c>
      <c r="J2037">
        <v>1319.1552733999999</v>
      </c>
      <c r="K2037">
        <v>2400</v>
      </c>
      <c r="L2037">
        <v>0</v>
      </c>
      <c r="M2037">
        <v>0</v>
      </c>
      <c r="N2037">
        <v>2400</v>
      </c>
    </row>
    <row r="2038" spans="1:14" x14ac:dyDescent="0.25">
      <c r="A2038">
        <v>1482.5876009999999</v>
      </c>
      <c r="B2038" s="1">
        <f>DATE(2014,5,22) + TIME(14,6,8)</f>
        <v>41781.587592592594</v>
      </c>
      <c r="C2038">
        <v>80</v>
      </c>
      <c r="D2038">
        <v>79.975181579999997</v>
      </c>
      <c r="E2038">
        <v>50</v>
      </c>
      <c r="F2038">
        <v>48.873924254999999</v>
      </c>
      <c r="G2038">
        <v>1344.8271483999999</v>
      </c>
      <c r="H2038">
        <v>1340.7758789</v>
      </c>
      <c r="I2038">
        <v>1322.8370361</v>
      </c>
      <c r="J2038">
        <v>1319.1517334</v>
      </c>
      <c r="K2038">
        <v>2400</v>
      </c>
      <c r="L2038">
        <v>0</v>
      </c>
      <c r="M2038">
        <v>0</v>
      </c>
      <c r="N2038">
        <v>2400</v>
      </c>
    </row>
    <row r="2039" spans="1:14" x14ac:dyDescent="0.25">
      <c r="A2039">
        <v>1483.1096709999999</v>
      </c>
      <c r="B2039" s="1">
        <f>DATE(2014,5,23) + TIME(2,37,55)</f>
        <v>41782.109664351854</v>
      </c>
      <c r="C2039">
        <v>80</v>
      </c>
      <c r="D2039">
        <v>79.975166321000003</v>
      </c>
      <c r="E2039">
        <v>50</v>
      </c>
      <c r="F2039">
        <v>48.852138519</v>
      </c>
      <c r="G2039">
        <v>1344.8166504000001</v>
      </c>
      <c r="H2039">
        <v>1340.7689209</v>
      </c>
      <c r="I2039">
        <v>1322.8345947</v>
      </c>
      <c r="J2039">
        <v>1319.1480713000001</v>
      </c>
      <c r="K2039">
        <v>2400</v>
      </c>
      <c r="L2039">
        <v>0</v>
      </c>
      <c r="M2039">
        <v>0</v>
      </c>
      <c r="N2039">
        <v>2400</v>
      </c>
    </row>
    <row r="2040" spans="1:14" x14ac:dyDescent="0.25">
      <c r="A2040">
        <v>1483.6418590000001</v>
      </c>
      <c r="B2040" s="1">
        <f>DATE(2014,5,23) + TIME(15,24,16)</f>
        <v>41782.641851851855</v>
      </c>
      <c r="C2040">
        <v>80</v>
      </c>
      <c r="D2040">
        <v>79.975151061999995</v>
      </c>
      <c r="E2040">
        <v>50</v>
      </c>
      <c r="F2040">
        <v>48.830051421999997</v>
      </c>
      <c r="G2040">
        <v>1344.8062743999999</v>
      </c>
      <c r="H2040">
        <v>1340.7619629000001</v>
      </c>
      <c r="I2040">
        <v>1322.8321533000001</v>
      </c>
      <c r="J2040">
        <v>1319.1444091999999</v>
      </c>
      <c r="K2040">
        <v>2400</v>
      </c>
      <c r="L2040">
        <v>0</v>
      </c>
      <c r="M2040">
        <v>0</v>
      </c>
      <c r="N2040">
        <v>2400</v>
      </c>
    </row>
    <row r="2041" spans="1:14" x14ac:dyDescent="0.25">
      <c r="A2041">
        <v>1484.185747</v>
      </c>
      <c r="B2041" s="1">
        <f>DATE(2014,5,24) + TIME(4,27,28)</f>
        <v>41783.185740740744</v>
      </c>
      <c r="C2041">
        <v>80</v>
      </c>
      <c r="D2041">
        <v>79.975143433</v>
      </c>
      <c r="E2041">
        <v>50</v>
      </c>
      <c r="F2041">
        <v>48.807632446</v>
      </c>
      <c r="G2041">
        <v>1344.7957764</v>
      </c>
      <c r="H2041">
        <v>1340.7550048999999</v>
      </c>
      <c r="I2041">
        <v>1322.8295897999999</v>
      </c>
      <c r="J2041">
        <v>1319.1405029</v>
      </c>
      <c r="K2041">
        <v>2400</v>
      </c>
      <c r="L2041">
        <v>0</v>
      </c>
      <c r="M2041">
        <v>0</v>
      </c>
      <c r="N2041">
        <v>2400</v>
      </c>
    </row>
    <row r="2042" spans="1:14" x14ac:dyDescent="0.25">
      <c r="A2042">
        <v>1484.7397659999999</v>
      </c>
      <c r="B2042" s="1">
        <f>DATE(2014,5,24) + TIME(17,45,15)</f>
        <v>41783.739756944444</v>
      </c>
      <c r="C2042">
        <v>80</v>
      </c>
      <c r="D2042">
        <v>79.975128174000005</v>
      </c>
      <c r="E2042">
        <v>50</v>
      </c>
      <c r="F2042">
        <v>48.784915924000003</v>
      </c>
      <c r="G2042">
        <v>1344.7852783000001</v>
      </c>
      <c r="H2042">
        <v>1340.7480469</v>
      </c>
      <c r="I2042">
        <v>1322.8270264</v>
      </c>
      <c r="J2042">
        <v>1319.1364745999999</v>
      </c>
      <c r="K2042">
        <v>2400</v>
      </c>
      <c r="L2042">
        <v>0</v>
      </c>
      <c r="M2042">
        <v>0</v>
      </c>
      <c r="N2042">
        <v>2400</v>
      </c>
    </row>
    <row r="2043" spans="1:14" x14ac:dyDescent="0.25">
      <c r="A2043">
        <v>1485.300872</v>
      </c>
      <c r="B2043" s="1">
        <f>DATE(2014,5,25) + TIME(7,13,15)</f>
        <v>41784.300868055558</v>
      </c>
      <c r="C2043">
        <v>80</v>
      </c>
      <c r="D2043">
        <v>79.975112914999997</v>
      </c>
      <c r="E2043">
        <v>50</v>
      </c>
      <c r="F2043">
        <v>48.761993408000002</v>
      </c>
      <c r="G2043">
        <v>1344.7747803</v>
      </c>
      <c r="H2043">
        <v>1340.7410889</v>
      </c>
      <c r="I2043">
        <v>1322.8243408000001</v>
      </c>
      <c r="J2043">
        <v>1319.1324463000001</v>
      </c>
      <c r="K2043">
        <v>2400</v>
      </c>
      <c r="L2043">
        <v>0</v>
      </c>
      <c r="M2043">
        <v>0</v>
      </c>
      <c r="N2043">
        <v>2400</v>
      </c>
    </row>
    <row r="2044" spans="1:14" x14ac:dyDescent="0.25">
      <c r="A2044">
        <v>1485.863746</v>
      </c>
      <c r="B2044" s="1">
        <f>DATE(2014,5,25) + TIME(20,43,47)</f>
        <v>41784.863738425927</v>
      </c>
      <c r="C2044">
        <v>80</v>
      </c>
      <c r="D2044">
        <v>79.975105286000002</v>
      </c>
      <c r="E2044">
        <v>50</v>
      </c>
      <c r="F2044">
        <v>48.739013671999999</v>
      </c>
      <c r="G2044">
        <v>1344.7644043</v>
      </c>
      <c r="H2044">
        <v>1340.7342529</v>
      </c>
      <c r="I2044">
        <v>1322.8215332</v>
      </c>
      <c r="J2044">
        <v>1319.1281738</v>
      </c>
      <c r="K2044">
        <v>2400</v>
      </c>
      <c r="L2044">
        <v>0</v>
      </c>
      <c r="M2044">
        <v>0</v>
      </c>
      <c r="N2044">
        <v>2400</v>
      </c>
    </row>
    <row r="2045" spans="1:14" x14ac:dyDescent="0.25">
      <c r="A2045">
        <v>1486.4296260000001</v>
      </c>
      <c r="B2045" s="1">
        <f>DATE(2014,5,26) + TIME(10,18,39)</f>
        <v>41785.429618055554</v>
      </c>
      <c r="C2045">
        <v>80</v>
      </c>
      <c r="D2045">
        <v>79.975090026999993</v>
      </c>
      <c r="E2045">
        <v>50</v>
      </c>
      <c r="F2045">
        <v>48.716003418</v>
      </c>
      <c r="G2045">
        <v>1344.7541504000001</v>
      </c>
      <c r="H2045">
        <v>1340.7274170000001</v>
      </c>
      <c r="I2045">
        <v>1322.8187256000001</v>
      </c>
      <c r="J2045">
        <v>1319.1239014</v>
      </c>
      <c r="K2045">
        <v>2400</v>
      </c>
      <c r="L2045">
        <v>0</v>
      </c>
      <c r="M2045">
        <v>0</v>
      </c>
      <c r="N2045">
        <v>2400</v>
      </c>
    </row>
    <row r="2046" spans="1:14" x14ac:dyDescent="0.25">
      <c r="A2046">
        <v>1486.9997800000001</v>
      </c>
      <c r="B2046" s="1">
        <f>DATE(2014,5,26) + TIME(23,59,41)</f>
        <v>41785.999780092592</v>
      </c>
      <c r="C2046">
        <v>80</v>
      </c>
      <c r="D2046">
        <v>79.975074767999999</v>
      </c>
      <c r="E2046">
        <v>50</v>
      </c>
      <c r="F2046">
        <v>48.692955017000003</v>
      </c>
      <c r="G2046">
        <v>1344.7438964999999</v>
      </c>
      <c r="H2046">
        <v>1340.7207031</v>
      </c>
      <c r="I2046">
        <v>1322.815918</v>
      </c>
      <c r="J2046">
        <v>1319.1196289</v>
      </c>
      <c r="K2046">
        <v>2400</v>
      </c>
      <c r="L2046">
        <v>0</v>
      </c>
      <c r="M2046">
        <v>0</v>
      </c>
      <c r="N2046">
        <v>2400</v>
      </c>
    </row>
    <row r="2047" spans="1:14" x14ac:dyDescent="0.25">
      <c r="A2047">
        <v>1487.5755979999999</v>
      </c>
      <c r="B2047" s="1">
        <f>DATE(2014,5,27) + TIME(13,48,51)</f>
        <v>41786.575590277775</v>
      </c>
      <c r="C2047">
        <v>80</v>
      </c>
      <c r="D2047">
        <v>79.975067139000004</v>
      </c>
      <c r="E2047">
        <v>50</v>
      </c>
      <c r="F2047">
        <v>48.669841765999998</v>
      </c>
      <c r="G2047">
        <v>1344.7338867000001</v>
      </c>
      <c r="H2047">
        <v>1340.7141113</v>
      </c>
      <c r="I2047">
        <v>1322.8129882999999</v>
      </c>
      <c r="J2047">
        <v>1319.1151123</v>
      </c>
      <c r="K2047">
        <v>2400</v>
      </c>
      <c r="L2047">
        <v>0</v>
      </c>
      <c r="M2047">
        <v>0</v>
      </c>
      <c r="N2047">
        <v>2400</v>
      </c>
    </row>
    <row r="2048" spans="1:14" x14ac:dyDescent="0.25">
      <c r="A2048">
        <v>1488.1581189999999</v>
      </c>
      <c r="B2048" s="1">
        <f>DATE(2014,5,28) + TIME(3,47,41)</f>
        <v>41787.158113425925</v>
      </c>
      <c r="C2048">
        <v>80</v>
      </c>
      <c r="D2048">
        <v>79.975051879999995</v>
      </c>
      <c r="E2048">
        <v>50</v>
      </c>
      <c r="F2048">
        <v>48.646633147999999</v>
      </c>
      <c r="G2048">
        <v>1344.7238769999999</v>
      </c>
      <c r="H2048">
        <v>1340.7075195</v>
      </c>
      <c r="I2048">
        <v>1322.8100586</v>
      </c>
      <c r="J2048">
        <v>1319.1105957</v>
      </c>
      <c r="K2048">
        <v>2400</v>
      </c>
      <c r="L2048">
        <v>0</v>
      </c>
      <c r="M2048">
        <v>0</v>
      </c>
      <c r="N2048">
        <v>2400</v>
      </c>
    </row>
    <row r="2049" spans="1:14" x14ac:dyDescent="0.25">
      <c r="A2049">
        <v>1488.7486220000001</v>
      </c>
      <c r="B2049" s="1">
        <f>DATE(2014,5,28) + TIME(17,58,0)</f>
        <v>41787.748611111114</v>
      </c>
      <c r="C2049">
        <v>80</v>
      </c>
      <c r="D2049">
        <v>79.975044249999996</v>
      </c>
      <c r="E2049">
        <v>50</v>
      </c>
      <c r="F2049">
        <v>48.623294829999999</v>
      </c>
      <c r="G2049">
        <v>1344.7139893000001</v>
      </c>
      <c r="H2049">
        <v>1340.7010498</v>
      </c>
      <c r="I2049">
        <v>1322.8071289</v>
      </c>
      <c r="J2049">
        <v>1319.105957</v>
      </c>
      <c r="K2049">
        <v>2400</v>
      </c>
      <c r="L2049">
        <v>0</v>
      </c>
      <c r="M2049">
        <v>0</v>
      </c>
      <c r="N2049">
        <v>2400</v>
      </c>
    </row>
    <row r="2050" spans="1:14" x14ac:dyDescent="0.25">
      <c r="A2050">
        <v>1489.3484350000001</v>
      </c>
      <c r="B2050" s="1">
        <f>DATE(2014,5,29) + TIME(8,21,44)</f>
        <v>41788.348425925928</v>
      </c>
      <c r="C2050">
        <v>80</v>
      </c>
      <c r="D2050">
        <v>79.975028992000006</v>
      </c>
      <c r="E2050">
        <v>50</v>
      </c>
      <c r="F2050">
        <v>48.599784851000003</v>
      </c>
      <c r="G2050">
        <v>1344.7039795000001</v>
      </c>
      <c r="H2050">
        <v>1340.6945800999999</v>
      </c>
      <c r="I2050">
        <v>1322.8039550999999</v>
      </c>
      <c r="J2050">
        <v>1319.1011963000001</v>
      </c>
      <c r="K2050">
        <v>2400</v>
      </c>
      <c r="L2050">
        <v>0</v>
      </c>
      <c r="M2050">
        <v>0</v>
      </c>
      <c r="N2050">
        <v>2400</v>
      </c>
    </row>
    <row r="2051" spans="1:14" x14ac:dyDescent="0.25">
      <c r="A2051">
        <v>1489.958991</v>
      </c>
      <c r="B2051" s="1">
        <f>DATE(2014,5,29) + TIME(23,0,56)</f>
        <v>41788.958981481483</v>
      </c>
      <c r="C2051">
        <v>80</v>
      </c>
      <c r="D2051">
        <v>79.975021362000007</v>
      </c>
      <c r="E2051">
        <v>50</v>
      </c>
      <c r="F2051">
        <v>48.576057433999999</v>
      </c>
      <c r="G2051">
        <v>1344.6940918</v>
      </c>
      <c r="H2051">
        <v>1340.6879882999999</v>
      </c>
      <c r="I2051">
        <v>1322.8007812000001</v>
      </c>
      <c r="J2051">
        <v>1319.0963135</v>
      </c>
      <c r="K2051">
        <v>2400</v>
      </c>
      <c r="L2051">
        <v>0</v>
      </c>
      <c r="M2051">
        <v>0</v>
      </c>
      <c r="N2051">
        <v>2400</v>
      </c>
    </row>
    <row r="2052" spans="1:14" x14ac:dyDescent="0.25">
      <c r="A2052">
        <v>1490.5818079999999</v>
      </c>
      <c r="B2052" s="1">
        <f>DATE(2014,5,30) + TIME(13,57,48)</f>
        <v>41789.581805555557</v>
      </c>
      <c r="C2052">
        <v>80</v>
      </c>
      <c r="D2052">
        <v>79.975006104000002</v>
      </c>
      <c r="E2052">
        <v>50</v>
      </c>
      <c r="F2052">
        <v>48.552062988000003</v>
      </c>
      <c r="G2052">
        <v>1344.6842041</v>
      </c>
      <c r="H2052">
        <v>1340.6815185999999</v>
      </c>
      <c r="I2052">
        <v>1322.7974853999999</v>
      </c>
      <c r="J2052">
        <v>1319.0913086</v>
      </c>
      <c r="K2052">
        <v>2400</v>
      </c>
      <c r="L2052">
        <v>0</v>
      </c>
      <c r="M2052">
        <v>0</v>
      </c>
      <c r="N2052">
        <v>2400</v>
      </c>
    </row>
    <row r="2053" spans="1:14" x14ac:dyDescent="0.25">
      <c r="A2053">
        <v>1491.219409</v>
      </c>
      <c r="B2053" s="1">
        <f>DATE(2014,5,31) + TIME(5,15,56)</f>
        <v>41790.219398148147</v>
      </c>
      <c r="C2053">
        <v>80</v>
      </c>
      <c r="D2053">
        <v>79.974998474000003</v>
      </c>
      <c r="E2053">
        <v>50</v>
      </c>
      <c r="F2053">
        <v>48.527732849000003</v>
      </c>
      <c r="G2053">
        <v>1344.6741943</v>
      </c>
      <c r="H2053">
        <v>1340.6750488</v>
      </c>
      <c r="I2053">
        <v>1322.7941894999999</v>
      </c>
      <c r="J2053">
        <v>1319.0860596</v>
      </c>
      <c r="K2053">
        <v>2400</v>
      </c>
      <c r="L2053">
        <v>0</v>
      </c>
      <c r="M2053">
        <v>0</v>
      </c>
      <c r="N2053">
        <v>2400</v>
      </c>
    </row>
    <row r="2054" spans="1:14" x14ac:dyDescent="0.25">
      <c r="A2054">
        <v>1491.873705</v>
      </c>
      <c r="B2054" s="1">
        <f>DATE(2014,5,31) + TIME(20,58,8)</f>
        <v>41790.873703703706</v>
      </c>
      <c r="C2054">
        <v>80</v>
      </c>
      <c r="D2054">
        <v>79.974983214999995</v>
      </c>
      <c r="E2054">
        <v>50</v>
      </c>
      <c r="F2054">
        <v>48.503005981000001</v>
      </c>
      <c r="G2054">
        <v>1344.6641846</v>
      </c>
      <c r="H2054">
        <v>1340.668457</v>
      </c>
      <c r="I2054">
        <v>1322.7906493999999</v>
      </c>
      <c r="J2054">
        <v>1319.0806885</v>
      </c>
      <c r="K2054">
        <v>2400</v>
      </c>
      <c r="L2054">
        <v>0</v>
      </c>
      <c r="M2054">
        <v>0</v>
      </c>
      <c r="N2054">
        <v>2400</v>
      </c>
    </row>
    <row r="2055" spans="1:14" x14ac:dyDescent="0.25">
      <c r="A2055">
        <v>1492</v>
      </c>
      <c r="B2055" s="1">
        <f>DATE(2014,6,1) + TIME(0,0,0)</f>
        <v>41791</v>
      </c>
      <c r="C2055">
        <v>80</v>
      </c>
      <c r="D2055">
        <v>79.974967957000004</v>
      </c>
      <c r="E2055">
        <v>50</v>
      </c>
      <c r="F2055">
        <v>48.495613098</v>
      </c>
      <c r="G2055">
        <v>1344.6561279</v>
      </c>
      <c r="H2055">
        <v>1340.6634521000001</v>
      </c>
      <c r="I2055">
        <v>1322.7873535000001</v>
      </c>
      <c r="J2055">
        <v>1319.0764160000001</v>
      </c>
      <c r="K2055">
        <v>2400</v>
      </c>
      <c r="L2055">
        <v>0</v>
      </c>
      <c r="M2055">
        <v>0</v>
      </c>
      <c r="N2055">
        <v>2400</v>
      </c>
    </row>
    <row r="2056" spans="1:14" x14ac:dyDescent="0.25">
      <c r="A2056">
        <v>1492.673121</v>
      </c>
      <c r="B2056" s="1">
        <f>DATE(2014,6,1) + TIME(16,9,17)</f>
        <v>41791.673113425924</v>
      </c>
      <c r="C2056">
        <v>80</v>
      </c>
      <c r="D2056">
        <v>79.974967957000004</v>
      </c>
      <c r="E2056">
        <v>50</v>
      </c>
      <c r="F2056">
        <v>48.471580504999999</v>
      </c>
      <c r="G2056">
        <v>1344.6517334</v>
      </c>
      <c r="H2056">
        <v>1340.6604004000001</v>
      </c>
      <c r="I2056">
        <v>1322.7861327999999</v>
      </c>
      <c r="J2056">
        <v>1319.0737305</v>
      </c>
      <c r="K2056">
        <v>2400</v>
      </c>
      <c r="L2056">
        <v>0</v>
      </c>
      <c r="M2056">
        <v>0</v>
      </c>
      <c r="N2056">
        <v>2400</v>
      </c>
    </row>
    <row r="2057" spans="1:14" x14ac:dyDescent="0.25">
      <c r="A2057">
        <v>1493.364564</v>
      </c>
      <c r="B2057" s="1">
        <f>DATE(2014,6,2) + TIME(8,44,58)</f>
        <v>41792.364560185182</v>
      </c>
      <c r="C2057">
        <v>80</v>
      </c>
      <c r="D2057">
        <v>79.974960327000005</v>
      </c>
      <c r="E2057">
        <v>50</v>
      </c>
      <c r="F2057">
        <v>48.446582794000001</v>
      </c>
      <c r="G2057">
        <v>1344.6418457</v>
      </c>
      <c r="H2057">
        <v>1340.6539307</v>
      </c>
      <c r="I2057">
        <v>1322.7824707</v>
      </c>
      <c r="J2057">
        <v>1319.0679932</v>
      </c>
      <c r="K2057">
        <v>2400</v>
      </c>
      <c r="L2057">
        <v>0</v>
      </c>
      <c r="M2057">
        <v>0</v>
      </c>
      <c r="N2057">
        <v>2400</v>
      </c>
    </row>
    <row r="2058" spans="1:14" x14ac:dyDescent="0.25">
      <c r="A2058">
        <v>1494.068387</v>
      </c>
      <c r="B2058" s="1">
        <f>DATE(2014,6,3) + TIME(1,38,28)</f>
        <v>41793.068379629629</v>
      </c>
      <c r="C2058">
        <v>80</v>
      </c>
      <c r="D2058">
        <v>79.974945067999997</v>
      </c>
      <c r="E2058">
        <v>50</v>
      </c>
      <c r="F2058">
        <v>48.420940399000003</v>
      </c>
      <c r="G2058">
        <v>1344.6314697</v>
      </c>
      <c r="H2058">
        <v>1340.6472168</v>
      </c>
      <c r="I2058">
        <v>1322.7784423999999</v>
      </c>
      <c r="J2058">
        <v>1319.0620117000001</v>
      </c>
      <c r="K2058">
        <v>2400</v>
      </c>
      <c r="L2058">
        <v>0</v>
      </c>
      <c r="M2058">
        <v>0</v>
      </c>
      <c r="N2058">
        <v>2400</v>
      </c>
    </row>
    <row r="2059" spans="1:14" x14ac:dyDescent="0.25">
      <c r="A2059">
        <v>1494.7838899999999</v>
      </c>
      <c r="B2059" s="1">
        <f>DATE(2014,6,3) + TIME(18,48,48)</f>
        <v>41793.783888888887</v>
      </c>
      <c r="C2059">
        <v>80</v>
      </c>
      <c r="D2059">
        <v>79.974937439000001</v>
      </c>
      <c r="E2059">
        <v>50</v>
      </c>
      <c r="F2059">
        <v>48.394836425999998</v>
      </c>
      <c r="G2059">
        <v>1344.6212158000001</v>
      </c>
      <c r="H2059">
        <v>1340.6405029</v>
      </c>
      <c r="I2059">
        <v>1322.7744141000001</v>
      </c>
      <c r="J2059">
        <v>1319.0556641000001</v>
      </c>
      <c r="K2059">
        <v>2400</v>
      </c>
      <c r="L2059">
        <v>0</v>
      </c>
      <c r="M2059">
        <v>0</v>
      </c>
      <c r="N2059">
        <v>2400</v>
      </c>
    </row>
    <row r="2060" spans="1:14" x14ac:dyDescent="0.25">
      <c r="A2060">
        <v>1495.5001970000001</v>
      </c>
      <c r="B2060" s="1">
        <f>DATE(2014,6,4) + TIME(12,0,17)</f>
        <v>41794.500196759262</v>
      </c>
      <c r="C2060">
        <v>80</v>
      </c>
      <c r="D2060">
        <v>79.974922179999993</v>
      </c>
      <c r="E2060">
        <v>50</v>
      </c>
      <c r="F2060">
        <v>48.368595122999999</v>
      </c>
      <c r="G2060">
        <v>1344.6108397999999</v>
      </c>
      <c r="H2060">
        <v>1340.6337891000001</v>
      </c>
      <c r="I2060">
        <v>1322.7701416</v>
      </c>
      <c r="J2060">
        <v>1319.0491943</v>
      </c>
      <c r="K2060">
        <v>2400</v>
      </c>
      <c r="L2060">
        <v>0</v>
      </c>
      <c r="M2060">
        <v>0</v>
      </c>
      <c r="N2060">
        <v>2400</v>
      </c>
    </row>
    <row r="2061" spans="1:14" x14ac:dyDescent="0.25">
      <c r="A2061">
        <v>1496.2189949999999</v>
      </c>
      <c r="B2061" s="1">
        <f>DATE(2014,6,5) + TIME(5,15,21)</f>
        <v>41795.218993055554</v>
      </c>
      <c r="C2061">
        <v>80</v>
      </c>
      <c r="D2061">
        <v>79.974914550999998</v>
      </c>
      <c r="E2061">
        <v>50</v>
      </c>
      <c r="F2061">
        <v>48.342327118</v>
      </c>
      <c r="G2061">
        <v>1344.6005858999999</v>
      </c>
      <c r="H2061">
        <v>1340.6271973</v>
      </c>
      <c r="I2061">
        <v>1322.7658690999999</v>
      </c>
      <c r="J2061">
        <v>1319.0426024999999</v>
      </c>
      <c r="K2061">
        <v>2400</v>
      </c>
      <c r="L2061">
        <v>0</v>
      </c>
      <c r="M2061">
        <v>0</v>
      </c>
      <c r="N2061">
        <v>2400</v>
      </c>
    </row>
    <row r="2062" spans="1:14" x14ac:dyDescent="0.25">
      <c r="A2062">
        <v>1496.9421130000001</v>
      </c>
      <c r="B2062" s="1">
        <f>DATE(2014,6,5) + TIME(22,36,38)</f>
        <v>41795.942106481481</v>
      </c>
      <c r="C2062">
        <v>80</v>
      </c>
      <c r="D2062">
        <v>79.974899292000003</v>
      </c>
      <c r="E2062">
        <v>50</v>
      </c>
      <c r="F2062">
        <v>48.316062926999997</v>
      </c>
      <c r="G2062">
        <v>1344.5905762</v>
      </c>
      <c r="H2062">
        <v>1340.6206055</v>
      </c>
      <c r="I2062">
        <v>1322.7614745999999</v>
      </c>
      <c r="J2062">
        <v>1319.0357666</v>
      </c>
      <c r="K2062">
        <v>2400</v>
      </c>
      <c r="L2062">
        <v>0</v>
      </c>
      <c r="M2062">
        <v>0</v>
      </c>
      <c r="N2062">
        <v>2400</v>
      </c>
    </row>
    <row r="2063" spans="1:14" x14ac:dyDescent="0.25">
      <c r="A2063">
        <v>1497.6712580000001</v>
      </c>
      <c r="B2063" s="1">
        <f>DATE(2014,6,6) + TIME(16,6,36)</f>
        <v>41796.671249999999</v>
      </c>
      <c r="C2063">
        <v>80</v>
      </c>
      <c r="D2063">
        <v>79.974891662999994</v>
      </c>
      <c r="E2063">
        <v>50</v>
      </c>
      <c r="F2063">
        <v>48.289787292</v>
      </c>
      <c r="G2063">
        <v>1344.5805664</v>
      </c>
      <c r="H2063">
        <v>1340.6141356999999</v>
      </c>
      <c r="I2063">
        <v>1322.7570800999999</v>
      </c>
      <c r="J2063">
        <v>1319.0289307</v>
      </c>
      <c r="K2063">
        <v>2400</v>
      </c>
      <c r="L2063">
        <v>0</v>
      </c>
      <c r="M2063">
        <v>0</v>
      </c>
      <c r="N2063">
        <v>2400</v>
      </c>
    </row>
    <row r="2064" spans="1:14" x14ac:dyDescent="0.25">
      <c r="A2064">
        <v>1498.4079750000001</v>
      </c>
      <c r="B2064" s="1">
        <f>DATE(2014,6,7) + TIME(9,47,29)</f>
        <v>41797.40797453704</v>
      </c>
      <c r="C2064">
        <v>80</v>
      </c>
      <c r="D2064">
        <v>79.974876404</v>
      </c>
      <c r="E2064">
        <v>50</v>
      </c>
      <c r="F2064">
        <v>48.263477324999997</v>
      </c>
      <c r="G2064">
        <v>1344.5706786999999</v>
      </c>
      <c r="H2064">
        <v>1340.6077881000001</v>
      </c>
      <c r="I2064">
        <v>1322.7524414</v>
      </c>
      <c r="J2064">
        <v>1319.0218506000001</v>
      </c>
      <c r="K2064">
        <v>2400</v>
      </c>
      <c r="L2064">
        <v>0</v>
      </c>
      <c r="M2064">
        <v>0</v>
      </c>
      <c r="N2064">
        <v>2400</v>
      </c>
    </row>
    <row r="2065" spans="1:14" x14ac:dyDescent="0.25">
      <c r="A2065">
        <v>1499.15398</v>
      </c>
      <c r="B2065" s="1">
        <f>DATE(2014,6,8) + TIME(3,41,43)</f>
        <v>41798.153969907406</v>
      </c>
      <c r="C2065">
        <v>80</v>
      </c>
      <c r="D2065">
        <v>79.974868774000001</v>
      </c>
      <c r="E2065">
        <v>50</v>
      </c>
      <c r="F2065">
        <v>48.237091063999998</v>
      </c>
      <c r="G2065">
        <v>1344.5607910000001</v>
      </c>
      <c r="H2065">
        <v>1340.6014404</v>
      </c>
      <c r="I2065">
        <v>1322.7478027</v>
      </c>
      <c r="J2065">
        <v>1319.0145264</v>
      </c>
      <c r="K2065">
        <v>2400</v>
      </c>
      <c r="L2065">
        <v>0</v>
      </c>
      <c r="M2065">
        <v>0</v>
      </c>
      <c r="N2065">
        <v>2400</v>
      </c>
    </row>
    <row r="2066" spans="1:14" x14ac:dyDescent="0.25">
      <c r="A2066">
        <v>1499.9110430000001</v>
      </c>
      <c r="B2066" s="1">
        <f>DATE(2014,6,8) + TIME(21,51,54)</f>
        <v>41798.911041666666</v>
      </c>
      <c r="C2066">
        <v>80</v>
      </c>
      <c r="D2066">
        <v>79.974861145000006</v>
      </c>
      <c r="E2066">
        <v>50</v>
      </c>
      <c r="F2066">
        <v>48.210578918000003</v>
      </c>
      <c r="G2066">
        <v>1344.5509033000001</v>
      </c>
      <c r="H2066">
        <v>1340.5949707</v>
      </c>
      <c r="I2066">
        <v>1322.7429199000001</v>
      </c>
      <c r="J2066">
        <v>1319.0070800999999</v>
      </c>
      <c r="K2066">
        <v>2400</v>
      </c>
      <c r="L2066">
        <v>0</v>
      </c>
      <c r="M2066">
        <v>0</v>
      </c>
      <c r="N2066">
        <v>2400</v>
      </c>
    </row>
    <row r="2067" spans="1:14" x14ac:dyDescent="0.25">
      <c r="A2067">
        <v>1500.6823139999999</v>
      </c>
      <c r="B2067" s="1">
        <f>DATE(2014,6,9) + TIME(16,22,31)</f>
        <v>41799.682303240741</v>
      </c>
      <c r="C2067">
        <v>80</v>
      </c>
      <c r="D2067">
        <v>79.974845885999997</v>
      </c>
      <c r="E2067">
        <v>50</v>
      </c>
      <c r="F2067">
        <v>48.183868408000002</v>
      </c>
      <c r="G2067">
        <v>1344.5410156</v>
      </c>
      <c r="H2067">
        <v>1340.5886230000001</v>
      </c>
      <c r="I2067">
        <v>1322.7379149999999</v>
      </c>
      <c r="J2067">
        <v>1318.9993896000001</v>
      </c>
      <c r="K2067">
        <v>2400</v>
      </c>
      <c r="L2067">
        <v>0</v>
      </c>
      <c r="M2067">
        <v>0</v>
      </c>
      <c r="N2067">
        <v>2400</v>
      </c>
    </row>
    <row r="2068" spans="1:14" x14ac:dyDescent="0.25">
      <c r="A2068">
        <v>1501.4699519999999</v>
      </c>
      <c r="B2068" s="1">
        <f>DATE(2014,6,10) + TIME(11,16,43)</f>
        <v>41800.469942129632</v>
      </c>
      <c r="C2068">
        <v>80</v>
      </c>
      <c r="D2068">
        <v>79.974838257000002</v>
      </c>
      <c r="E2068">
        <v>50</v>
      </c>
      <c r="F2068">
        <v>48.156894684000001</v>
      </c>
      <c r="G2068">
        <v>1344.5311279</v>
      </c>
      <c r="H2068">
        <v>1340.5822754000001</v>
      </c>
      <c r="I2068">
        <v>1322.7327881000001</v>
      </c>
      <c r="J2068">
        <v>1318.9914550999999</v>
      </c>
      <c r="K2068">
        <v>2400</v>
      </c>
      <c r="L2068">
        <v>0</v>
      </c>
      <c r="M2068">
        <v>0</v>
      </c>
      <c r="N2068">
        <v>2400</v>
      </c>
    </row>
    <row r="2069" spans="1:14" x14ac:dyDescent="0.25">
      <c r="A2069">
        <v>1502.2711609999999</v>
      </c>
      <c r="B2069" s="1">
        <f>DATE(2014,6,11) + TIME(6,30,28)</f>
        <v>41801.271157407406</v>
      </c>
      <c r="C2069">
        <v>80</v>
      </c>
      <c r="D2069">
        <v>79.974830627000003</v>
      </c>
      <c r="E2069">
        <v>50</v>
      </c>
      <c r="F2069">
        <v>48.129680634000003</v>
      </c>
      <c r="G2069">
        <v>1344.5211182</v>
      </c>
      <c r="H2069">
        <v>1340.5758057</v>
      </c>
      <c r="I2069">
        <v>1322.7275391000001</v>
      </c>
      <c r="J2069">
        <v>1318.9831543</v>
      </c>
      <c r="K2069">
        <v>2400</v>
      </c>
      <c r="L2069">
        <v>0</v>
      </c>
      <c r="M2069">
        <v>0</v>
      </c>
      <c r="N2069">
        <v>2400</v>
      </c>
    </row>
    <row r="2070" spans="1:14" x14ac:dyDescent="0.25">
      <c r="A2070">
        <v>1503.0850800000001</v>
      </c>
      <c r="B2070" s="1">
        <f>DATE(2014,6,12) + TIME(2,2,30)</f>
        <v>41802.085069444445</v>
      </c>
      <c r="C2070">
        <v>80</v>
      </c>
      <c r="D2070">
        <v>79.974815368999998</v>
      </c>
      <c r="E2070">
        <v>50</v>
      </c>
      <c r="F2070">
        <v>48.102252960000001</v>
      </c>
      <c r="G2070">
        <v>1344.5112305</v>
      </c>
      <c r="H2070">
        <v>1340.5693358999999</v>
      </c>
      <c r="I2070">
        <v>1322.7220459</v>
      </c>
      <c r="J2070">
        <v>1318.9746094</v>
      </c>
      <c r="K2070">
        <v>2400</v>
      </c>
      <c r="L2070">
        <v>0</v>
      </c>
      <c r="M2070">
        <v>0</v>
      </c>
      <c r="N2070">
        <v>2400</v>
      </c>
    </row>
    <row r="2071" spans="1:14" x14ac:dyDescent="0.25">
      <c r="A2071">
        <v>1503.9136659999999</v>
      </c>
      <c r="B2071" s="1">
        <f>DATE(2014,6,12) + TIME(21,55,40)</f>
        <v>41802.913657407407</v>
      </c>
      <c r="C2071">
        <v>80</v>
      </c>
      <c r="D2071">
        <v>79.974807738999999</v>
      </c>
      <c r="E2071">
        <v>50</v>
      </c>
      <c r="F2071">
        <v>48.074600220000001</v>
      </c>
      <c r="G2071">
        <v>1344.5012207</v>
      </c>
      <c r="H2071">
        <v>1340.5629882999999</v>
      </c>
      <c r="I2071">
        <v>1322.7163086</v>
      </c>
      <c r="J2071">
        <v>1318.9658202999999</v>
      </c>
      <c r="K2071">
        <v>2400</v>
      </c>
      <c r="L2071">
        <v>0</v>
      </c>
      <c r="M2071">
        <v>0</v>
      </c>
      <c r="N2071">
        <v>2400</v>
      </c>
    </row>
    <row r="2072" spans="1:14" x14ac:dyDescent="0.25">
      <c r="A2072">
        <v>1504.760526</v>
      </c>
      <c r="B2072" s="1">
        <f>DATE(2014,6,13) + TIME(18,15,9)</f>
        <v>41803.760520833333</v>
      </c>
      <c r="C2072">
        <v>80</v>
      </c>
      <c r="D2072">
        <v>79.974800110000004</v>
      </c>
      <c r="E2072">
        <v>50</v>
      </c>
      <c r="F2072">
        <v>48.046665191999999</v>
      </c>
      <c r="G2072">
        <v>1344.4910889</v>
      </c>
      <c r="H2072">
        <v>1340.5565185999999</v>
      </c>
      <c r="I2072">
        <v>1322.7104492000001</v>
      </c>
      <c r="J2072">
        <v>1318.9567870999999</v>
      </c>
      <c r="K2072">
        <v>2400</v>
      </c>
      <c r="L2072">
        <v>0</v>
      </c>
      <c r="M2072">
        <v>0</v>
      </c>
      <c r="N2072">
        <v>2400</v>
      </c>
    </row>
    <row r="2073" spans="1:14" x14ac:dyDescent="0.25">
      <c r="A2073">
        <v>1505.6281489999999</v>
      </c>
      <c r="B2073" s="1">
        <f>DATE(2014,6,14) + TIME(15,4,32)</f>
        <v>41804.628148148149</v>
      </c>
      <c r="C2073">
        <v>80</v>
      </c>
      <c r="D2073">
        <v>79.974784850999995</v>
      </c>
      <c r="E2073">
        <v>50</v>
      </c>
      <c r="F2073">
        <v>48.018390656000001</v>
      </c>
      <c r="G2073">
        <v>1344.4810791</v>
      </c>
      <c r="H2073">
        <v>1340.5499268000001</v>
      </c>
      <c r="I2073">
        <v>1322.7043457</v>
      </c>
      <c r="J2073">
        <v>1318.9472656</v>
      </c>
      <c r="K2073">
        <v>2400</v>
      </c>
      <c r="L2073">
        <v>0</v>
      </c>
      <c r="M2073">
        <v>0</v>
      </c>
      <c r="N2073">
        <v>2400</v>
      </c>
    </row>
    <row r="2074" spans="1:14" x14ac:dyDescent="0.25">
      <c r="A2074">
        <v>1506.5177900000001</v>
      </c>
      <c r="B2074" s="1">
        <f>DATE(2014,6,15) + TIME(12,25,37)</f>
        <v>41805.517789351848</v>
      </c>
      <c r="C2074">
        <v>80</v>
      </c>
      <c r="D2074">
        <v>79.974777222</v>
      </c>
      <c r="E2074">
        <v>50</v>
      </c>
      <c r="F2074">
        <v>47.989727019999997</v>
      </c>
      <c r="G2074">
        <v>1344.4708252</v>
      </c>
      <c r="H2074">
        <v>1340.5433350000001</v>
      </c>
      <c r="I2074">
        <v>1322.6981201000001</v>
      </c>
      <c r="J2074">
        <v>1318.9373779</v>
      </c>
      <c r="K2074">
        <v>2400</v>
      </c>
      <c r="L2074">
        <v>0</v>
      </c>
      <c r="M2074">
        <v>0</v>
      </c>
      <c r="N2074">
        <v>2400</v>
      </c>
    </row>
    <row r="2075" spans="1:14" x14ac:dyDescent="0.25">
      <c r="A2075">
        <v>1507.409251</v>
      </c>
      <c r="B2075" s="1">
        <f>DATE(2014,6,16) + TIME(9,49,19)</f>
        <v>41806.409247685187</v>
      </c>
      <c r="C2075">
        <v>80</v>
      </c>
      <c r="D2075">
        <v>79.974769592000001</v>
      </c>
      <c r="E2075">
        <v>50</v>
      </c>
      <c r="F2075">
        <v>47.960987091</v>
      </c>
      <c r="G2075">
        <v>1344.4605713000001</v>
      </c>
      <c r="H2075">
        <v>1340.5367432</v>
      </c>
      <c r="I2075">
        <v>1322.6915283000001</v>
      </c>
      <c r="J2075">
        <v>1318.9272461</v>
      </c>
      <c r="K2075">
        <v>2400</v>
      </c>
      <c r="L2075">
        <v>0</v>
      </c>
      <c r="M2075">
        <v>0</v>
      </c>
      <c r="N2075">
        <v>2400</v>
      </c>
    </row>
    <row r="2076" spans="1:14" x14ac:dyDescent="0.25">
      <c r="A2076">
        <v>1508.3049639999999</v>
      </c>
      <c r="B2076" s="1">
        <f>DATE(2014,6,17) + TIME(7,19,8)</f>
        <v>41807.3049537037</v>
      </c>
      <c r="C2076">
        <v>80</v>
      </c>
      <c r="D2076">
        <v>79.974761963000006</v>
      </c>
      <c r="E2076">
        <v>50</v>
      </c>
      <c r="F2076">
        <v>47.932300568000002</v>
      </c>
      <c r="G2076">
        <v>1344.4503173999999</v>
      </c>
      <c r="H2076">
        <v>1340.5301514</v>
      </c>
      <c r="I2076">
        <v>1322.6848144999999</v>
      </c>
      <c r="J2076">
        <v>1318.9167480000001</v>
      </c>
      <c r="K2076">
        <v>2400</v>
      </c>
      <c r="L2076">
        <v>0</v>
      </c>
      <c r="M2076">
        <v>0</v>
      </c>
      <c r="N2076">
        <v>2400</v>
      </c>
    </row>
    <row r="2077" spans="1:14" x14ac:dyDescent="0.25">
      <c r="A2077">
        <v>1509.207224</v>
      </c>
      <c r="B2077" s="1">
        <f>DATE(2014,6,18) + TIME(4,58,24)</f>
        <v>41808.20722222222</v>
      </c>
      <c r="C2077">
        <v>80</v>
      </c>
      <c r="D2077">
        <v>79.974746703999998</v>
      </c>
      <c r="E2077">
        <v>50</v>
      </c>
      <c r="F2077">
        <v>47.903697968000003</v>
      </c>
      <c r="G2077">
        <v>1344.4401855000001</v>
      </c>
      <c r="H2077">
        <v>1340.5236815999999</v>
      </c>
      <c r="I2077">
        <v>1322.6778564000001</v>
      </c>
      <c r="J2077">
        <v>1318.9060059000001</v>
      </c>
      <c r="K2077">
        <v>2400</v>
      </c>
      <c r="L2077">
        <v>0</v>
      </c>
      <c r="M2077">
        <v>0</v>
      </c>
      <c r="N2077">
        <v>2400</v>
      </c>
    </row>
    <row r="2078" spans="1:14" x14ac:dyDescent="0.25">
      <c r="A2078">
        <v>1510.118021</v>
      </c>
      <c r="B2078" s="1">
        <f>DATE(2014,6,19) + TIME(2,49,57)</f>
        <v>41809.118020833332</v>
      </c>
      <c r="C2078">
        <v>80</v>
      </c>
      <c r="D2078">
        <v>79.974739075000002</v>
      </c>
      <c r="E2078">
        <v>50</v>
      </c>
      <c r="F2078">
        <v>47.875167847</v>
      </c>
      <c r="G2078">
        <v>1344.4301757999999</v>
      </c>
      <c r="H2078">
        <v>1340.5172118999999</v>
      </c>
      <c r="I2078">
        <v>1322.6708983999999</v>
      </c>
      <c r="J2078">
        <v>1318.8950195</v>
      </c>
      <c r="K2078">
        <v>2400</v>
      </c>
      <c r="L2078">
        <v>0</v>
      </c>
      <c r="M2078">
        <v>0</v>
      </c>
      <c r="N2078">
        <v>2400</v>
      </c>
    </row>
    <row r="2079" spans="1:14" x14ac:dyDescent="0.25">
      <c r="A2079">
        <v>1511.034388</v>
      </c>
      <c r="B2079" s="1">
        <f>DATE(2014,6,20) + TIME(0,49,31)</f>
        <v>41810.034386574072</v>
      </c>
      <c r="C2079">
        <v>80</v>
      </c>
      <c r="D2079">
        <v>79.974731445000003</v>
      </c>
      <c r="E2079">
        <v>50</v>
      </c>
      <c r="F2079">
        <v>47.846752166999998</v>
      </c>
      <c r="G2079">
        <v>1344.4201660000001</v>
      </c>
      <c r="H2079">
        <v>1340.5107422000001</v>
      </c>
      <c r="I2079">
        <v>1322.6636963000001</v>
      </c>
      <c r="J2079">
        <v>1318.8837891000001</v>
      </c>
      <c r="K2079">
        <v>2400</v>
      </c>
      <c r="L2079">
        <v>0</v>
      </c>
      <c r="M2079">
        <v>0</v>
      </c>
      <c r="N2079">
        <v>2400</v>
      </c>
    </row>
    <row r="2080" spans="1:14" x14ac:dyDescent="0.25">
      <c r="A2080">
        <v>1511.958024</v>
      </c>
      <c r="B2080" s="1">
        <f>DATE(2014,6,20) + TIME(22,59,33)</f>
        <v>41810.958020833335</v>
      </c>
      <c r="C2080">
        <v>80</v>
      </c>
      <c r="D2080">
        <v>79.974723815999994</v>
      </c>
      <c r="E2080">
        <v>50</v>
      </c>
      <c r="F2080">
        <v>47.818458557</v>
      </c>
      <c r="G2080">
        <v>1344.4102783000001</v>
      </c>
      <c r="H2080">
        <v>1340.5043945</v>
      </c>
      <c r="I2080">
        <v>1322.65625</v>
      </c>
      <c r="J2080">
        <v>1318.8723144999999</v>
      </c>
      <c r="K2080">
        <v>2400</v>
      </c>
      <c r="L2080">
        <v>0</v>
      </c>
      <c r="M2080">
        <v>0</v>
      </c>
      <c r="N2080">
        <v>2400</v>
      </c>
    </row>
    <row r="2081" spans="1:14" x14ac:dyDescent="0.25">
      <c r="A2081">
        <v>1512.891116</v>
      </c>
      <c r="B2081" s="1">
        <f>DATE(2014,6,21) + TIME(21,23,12)</f>
        <v>41811.891111111108</v>
      </c>
      <c r="C2081">
        <v>80</v>
      </c>
      <c r="D2081">
        <v>79.974716186999999</v>
      </c>
      <c r="E2081">
        <v>50</v>
      </c>
      <c r="F2081">
        <v>47.790256499999998</v>
      </c>
      <c r="G2081">
        <v>1344.4003906</v>
      </c>
      <c r="H2081">
        <v>1340.4980469</v>
      </c>
      <c r="I2081">
        <v>1322.6488036999999</v>
      </c>
      <c r="J2081">
        <v>1318.8604736</v>
      </c>
      <c r="K2081">
        <v>2400</v>
      </c>
      <c r="L2081">
        <v>0</v>
      </c>
      <c r="M2081">
        <v>0</v>
      </c>
      <c r="N2081">
        <v>2400</v>
      </c>
    </row>
    <row r="2082" spans="1:14" x14ac:dyDescent="0.25">
      <c r="A2082">
        <v>1513.8355449999999</v>
      </c>
      <c r="B2082" s="1">
        <f>DATE(2014,6,22) + TIME(20,3,11)</f>
        <v>41812.835543981484</v>
      </c>
      <c r="C2082">
        <v>80</v>
      </c>
      <c r="D2082">
        <v>79.974708557</v>
      </c>
      <c r="E2082">
        <v>50</v>
      </c>
      <c r="F2082">
        <v>47.762115479000002</v>
      </c>
      <c r="G2082">
        <v>1344.390625</v>
      </c>
      <c r="H2082">
        <v>1340.4916992000001</v>
      </c>
      <c r="I2082">
        <v>1322.6409911999999</v>
      </c>
      <c r="J2082">
        <v>1318.8483887</v>
      </c>
      <c r="K2082">
        <v>2400</v>
      </c>
      <c r="L2082">
        <v>0</v>
      </c>
      <c r="M2082">
        <v>0</v>
      </c>
      <c r="N2082">
        <v>2400</v>
      </c>
    </row>
    <row r="2083" spans="1:14" x14ac:dyDescent="0.25">
      <c r="A2083">
        <v>1514.7937380000001</v>
      </c>
      <c r="B2083" s="1">
        <f>DATE(2014,6,23) + TIME(19,2,58)</f>
        <v>41813.793726851851</v>
      </c>
      <c r="C2083">
        <v>80</v>
      </c>
      <c r="D2083">
        <v>79.974700928000004</v>
      </c>
      <c r="E2083">
        <v>50</v>
      </c>
      <c r="F2083">
        <v>47.733997344999999</v>
      </c>
      <c r="G2083">
        <v>1344.3807373</v>
      </c>
      <c r="H2083">
        <v>1340.4853516000001</v>
      </c>
      <c r="I2083">
        <v>1322.6330565999999</v>
      </c>
      <c r="J2083">
        <v>1318.8359375</v>
      </c>
      <c r="K2083">
        <v>2400</v>
      </c>
      <c r="L2083">
        <v>0</v>
      </c>
      <c r="M2083">
        <v>0</v>
      </c>
      <c r="N2083">
        <v>2400</v>
      </c>
    </row>
    <row r="2084" spans="1:14" x14ac:dyDescent="0.25">
      <c r="A2084">
        <v>1515.76989</v>
      </c>
      <c r="B2084" s="1">
        <f>DATE(2014,6,24) + TIME(18,28,38)</f>
        <v>41814.769884259258</v>
      </c>
      <c r="C2084">
        <v>80</v>
      </c>
      <c r="D2084">
        <v>79.974693298000005</v>
      </c>
      <c r="E2084">
        <v>50</v>
      </c>
      <c r="F2084">
        <v>47.705825806</v>
      </c>
      <c r="G2084">
        <v>1344.3709716999999</v>
      </c>
      <c r="H2084">
        <v>1340.4790039</v>
      </c>
      <c r="I2084">
        <v>1322.6248779</v>
      </c>
      <c r="J2084">
        <v>1318.8231201000001</v>
      </c>
      <c r="K2084">
        <v>2400</v>
      </c>
      <c r="L2084">
        <v>0</v>
      </c>
      <c r="M2084">
        <v>0</v>
      </c>
      <c r="N2084">
        <v>2400</v>
      </c>
    </row>
    <row r="2085" spans="1:14" x14ac:dyDescent="0.25">
      <c r="A2085">
        <v>1516.766672</v>
      </c>
      <c r="B2085" s="1">
        <f>DATE(2014,6,25) + TIME(18,24,0)</f>
        <v>41815.76666666667</v>
      </c>
      <c r="C2085">
        <v>80</v>
      </c>
      <c r="D2085">
        <v>79.974678040000001</v>
      </c>
      <c r="E2085">
        <v>50</v>
      </c>
      <c r="F2085">
        <v>47.677547455000003</v>
      </c>
      <c r="G2085">
        <v>1344.3610839999999</v>
      </c>
      <c r="H2085">
        <v>1340.4726562000001</v>
      </c>
      <c r="I2085">
        <v>1322.6164550999999</v>
      </c>
      <c r="J2085">
        <v>1318.8098144999999</v>
      </c>
      <c r="K2085">
        <v>2400</v>
      </c>
      <c r="L2085">
        <v>0</v>
      </c>
      <c r="M2085">
        <v>0</v>
      </c>
      <c r="N2085">
        <v>2400</v>
      </c>
    </row>
    <row r="2086" spans="1:14" x14ac:dyDescent="0.25">
      <c r="A2086">
        <v>1517.7870089999999</v>
      </c>
      <c r="B2086" s="1">
        <f>DATE(2014,6,26) + TIME(18,53,17)</f>
        <v>41816.787002314813</v>
      </c>
      <c r="C2086">
        <v>80</v>
      </c>
      <c r="D2086">
        <v>79.974670410000002</v>
      </c>
      <c r="E2086">
        <v>50</v>
      </c>
      <c r="F2086">
        <v>47.649112701</v>
      </c>
      <c r="G2086">
        <v>1344.3510742000001</v>
      </c>
      <c r="H2086">
        <v>1340.4661865</v>
      </c>
      <c r="I2086">
        <v>1322.6076660000001</v>
      </c>
      <c r="J2086">
        <v>1318.7961425999999</v>
      </c>
      <c r="K2086">
        <v>2400</v>
      </c>
      <c r="L2086">
        <v>0</v>
      </c>
      <c r="M2086">
        <v>0</v>
      </c>
      <c r="N2086">
        <v>2400</v>
      </c>
    </row>
    <row r="2087" spans="1:14" x14ac:dyDescent="0.25">
      <c r="A2087">
        <v>1518.8341379999999</v>
      </c>
      <c r="B2087" s="1">
        <f>DATE(2014,6,27) + TIME(20,1,9)</f>
        <v>41817.834131944444</v>
      </c>
      <c r="C2087">
        <v>80</v>
      </c>
      <c r="D2087">
        <v>79.974662781000006</v>
      </c>
      <c r="E2087">
        <v>50</v>
      </c>
      <c r="F2087">
        <v>47.620464325</v>
      </c>
      <c r="G2087">
        <v>1344.3410644999999</v>
      </c>
      <c r="H2087">
        <v>1340.4597168</v>
      </c>
      <c r="I2087">
        <v>1322.5986327999999</v>
      </c>
      <c r="J2087">
        <v>1318.7818603999999</v>
      </c>
      <c r="K2087">
        <v>2400</v>
      </c>
      <c r="L2087">
        <v>0</v>
      </c>
      <c r="M2087">
        <v>0</v>
      </c>
      <c r="N2087">
        <v>2400</v>
      </c>
    </row>
    <row r="2088" spans="1:14" x14ac:dyDescent="0.25">
      <c r="A2088">
        <v>1519.372901</v>
      </c>
      <c r="B2088" s="1">
        <f>DATE(2014,6,28) + TIME(8,56,58)</f>
        <v>41818.372893518521</v>
      </c>
      <c r="C2088">
        <v>80</v>
      </c>
      <c r="D2088">
        <v>79.974655150999993</v>
      </c>
      <c r="E2088">
        <v>50</v>
      </c>
      <c r="F2088">
        <v>47.600341796999999</v>
      </c>
      <c r="G2088">
        <v>1344.3316649999999</v>
      </c>
      <c r="H2088">
        <v>1340.4538574000001</v>
      </c>
      <c r="I2088">
        <v>1322.5899658000001</v>
      </c>
      <c r="J2088">
        <v>1318.7684326000001</v>
      </c>
      <c r="K2088">
        <v>2400</v>
      </c>
      <c r="L2088">
        <v>0</v>
      </c>
      <c r="M2088">
        <v>0</v>
      </c>
      <c r="N2088">
        <v>2400</v>
      </c>
    </row>
    <row r="2089" spans="1:14" x14ac:dyDescent="0.25">
      <c r="A2089">
        <v>1519.911664</v>
      </c>
      <c r="B2089" s="1">
        <f>DATE(2014,6,28) + TIME(21,52,47)</f>
        <v>41818.91165509259</v>
      </c>
      <c r="C2089">
        <v>80</v>
      </c>
      <c r="D2089">
        <v>79.974647521999998</v>
      </c>
      <c r="E2089">
        <v>50</v>
      </c>
      <c r="F2089">
        <v>47.582469940000003</v>
      </c>
      <c r="G2089">
        <v>1344.3259277</v>
      </c>
      <c r="H2089">
        <v>1340.4500731999999</v>
      </c>
      <c r="I2089">
        <v>1322.5843506000001</v>
      </c>
      <c r="J2089">
        <v>1318.7595214999999</v>
      </c>
      <c r="K2089">
        <v>2400</v>
      </c>
      <c r="L2089">
        <v>0</v>
      </c>
      <c r="M2089">
        <v>0</v>
      </c>
      <c r="N2089">
        <v>2400</v>
      </c>
    </row>
    <row r="2090" spans="1:14" x14ac:dyDescent="0.25">
      <c r="A2090">
        <v>1520.4504260000001</v>
      </c>
      <c r="B2090" s="1">
        <f>DATE(2014,6,29) + TIME(10,48,36)</f>
        <v>41819.450416666667</v>
      </c>
      <c r="C2090">
        <v>80</v>
      </c>
      <c r="D2090">
        <v>79.974639893000003</v>
      </c>
      <c r="E2090">
        <v>50</v>
      </c>
      <c r="F2090">
        <v>47.566017150999997</v>
      </c>
      <c r="G2090">
        <v>1344.3205565999999</v>
      </c>
      <c r="H2090">
        <v>1340.4465332</v>
      </c>
      <c r="I2090">
        <v>1322.5789795000001</v>
      </c>
      <c r="J2090">
        <v>1318.7510986</v>
      </c>
      <c r="K2090">
        <v>2400</v>
      </c>
      <c r="L2090">
        <v>0</v>
      </c>
      <c r="M2090">
        <v>0</v>
      </c>
      <c r="N2090">
        <v>2400</v>
      </c>
    </row>
    <row r="2091" spans="1:14" x14ac:dyDescent="0.25">
      <c r="A2091">
        <v>1520.9891889999999</v>
      </c>
      <c r="B2091" s="1">
        <f>DATE(2014,6,29) + TIME(23,44,25)</f>
        <v>41819.989178240743</v>
      </c>
      <c r="C2091">
        <v>80</v>
      </c>
      <c r="D2091">
        <v>79.974639893000003</v>
      </c>
      <c r="E2091">
        <v>50</v>
      </c>
      <c r="F2091">
        <v>47.550479889000002</v>
      </c>
      <c r="G2091">
        <v>1344.3154297000001</v>
      </c>
      <c r="H2091">
        <v>1340.4431152</v>
      </c>
      <c r="I2091">
        <v>1322.5737305</v>
      </c>
      <c r="J2091">
        <v>1318.7427978999999</v>
      </c>
      <c r="K2091">
        <v>2400</v>
      </c>
      <c r="L2091">
        <v>0</v>
      </c>
      <c r="M2091">
        <v>0</v>
      </c>
      <c r="N2091">
        <v>2400</v>
      </c>
    </row>
    <row r="2092" spans="1:14" x14ac:dyDescent="0.25">
      <c r="A2092">
        <v>1522</v>
      </c>
      <c r="B2092" s="1">
        <f>DATE(2014,7,1) + TIME(0,0,0)</f>
        <v>41821</v>
      </c>
      <c r="C2092">
        <v>80</v>
      </c>
      <c r="D2092">
        <v>79.974639893000003</v>
      </c>
      <c r="E2092">
        <v>50</v>
      </c>
      <c r="F2092">
        <v>47.529655456999997</v>
      </c>
      <c r="G2092">
        <v>1344.3098144999999</v>
      </c>
      <c r="H2092">
        <v>1340.4394531</v>
      </c>
      <c r="I2092">
        <v>1322.5679932</v>
      </c>
      <c r="J2092">
        <v>1318.7336425999999</v>
      </c>
      <c r="K2092">
        <v>2400</v>
      </c>
      <c r="L2092">
        <v>0</v>
      </c>
      <c r="M2092">
        <v>0</v>
      </c>
      <c r="N2092">
        <v>2400</v>
      </c>
    </row>
    <row r="2093" spans="1:14" x14ac:dyDescent="0.25">
      <c r="A2093">
        <v>1523.077526</v>
      </c>
      <c r="B2093" s="1">
        <f>DATE(2014,7,2) + TIME(1,51,38)</f>
        <v>41822.077523148146</v>
      </c>
      <c r="C2093">
        <v>80</v>
      </c>
      <c r="D2093">
        <v>79.974639893000003</v>
      </c>
      <c r="E2093">
        <v>50</v>
      </c>
      <c r="F2093">
        <v>47.505374908</v>
      </c>
      <c r="G2093">
        <v>1344.3006591999999</v>
      </c>
      <c r="H2093">
        <v>1340.4335937999999</v>
      </c>
      <c r="I2093">
        <v>1322.559082</v>
      </c>
      <c r="J2093">
        <v>1318.7194824000001</v>
      </c>
      <c r="K2093">
        <v>2400</v>
      </c>
      <c r="L2093">
        <v>0</v>
      </c>
      <c r="M2093">
        <v>0</v>
      </c>
      <c r="N2093">
        <v>2400</v>
      </c>
    </row>
    <row r="2094" spans="1:14" x14ac:dyDescent="0.25">
      <c r="A2094">
        <v>1524.160097</v>
      </c>
      <c r="B2094" s="1">
        <f>DATE(2014,7,3) + TIME(3,50,32)</f>
        <v>41823.160092592596</v>
      </c>
      <c r="C2094">
        <v>80</v>
      </c>
      <c r="D2094">
        <v>79.974632263000004</v>
      </c>
      <c r="E2094">
        <v>50</v>
      </c>
      <c r="F2094">
        <v>47.479503631999997</v>
      </c>
      <c r="G2094">
        <v>1344.2907714999999</v>
      </c>
      <c r="H2094">
        <v>1340.4272461</v>
      </c>
      <c r="I2094">
        <v>1322.5491943</v>
      </c>
      <c r="J2094">
        <v>1318.7038574000001</v>
      </c>
      <c r="K2094">
        <v>2400</v>
      </c>
      <c r="L2094">
        <v>0</v>
      </c>
      <c r="M2094">
        <v>0</v>
      </c>
      <c r="N2094">
        <v>2400</v>
      </c>
    </row>
    <row r="2095" spans="1:14" x14ac:dyDescent="0.25">
      <c r="A2095">
        <v>1525.2512790000001</v>
      </c>
      <c r="B2095" s="1">
        <f>DATE(2014,7,4) + TIME(6,1,50)</f>
        <v>41824.251273148147</v>
      </c>
      <c r="C2095">
        <v>80</v>
      </c>
      <c r="D2095">
        <v>79.974624633999994</v>
      </c>
      <c r="E2095">
        <v>50</v>
      </c>
      <c r="F2095">
        <v>47.453174591</v>
      </c>
      <c r="G2095">
        <v>1344.2810059000001</v>
      </c>
      <c r="H2095">
        <v>1340.4207764</v>
      </c>
      <c r="I2095">
        <v>1322.5389404</v>
      </c>
      <c r="J2095">
        <v>1318.6875</v>
      </c>
      <c r="K2095">
        <v>2400</v>
      </c>
      <c r="L2095">
        <v>0</v>
      </c>
      <c r="M2095">
        <v>0</v>
      </c>
      <c r="N2095">
        <v>2400</v>
      </c>
    </row>
    <row r="2096" spans="1:14" x14ac:dyDescent="0.25">
      <c r="A2096">
        <v>1526.3536790000001</v>
      </c>
      <c r="B2096" s="1">
        <f>DATE(2014,7,5) + TIME(8,29,17)</f>
        <v>41825.353668981479</v>
      </c>
      <c r="C2096">
        <v>80</v>
      </c>
      <c r="D2096">
        <v>79.974617003999995</v>
      </c>
      <c r="E2096">
        <v>50</v>
      </c>
      <c r="F2096">
        <v>47.426872252999999</v>
      </c>
      <c r="G2096">
        <v>1344.2711182</v>
      </c>
      <c r="H2096">
        <v>1340.4144286999999</v>
      </c>
      <c r="I2096">
        <v>1322.5283202999999</v>
      </c>
      <c r="J2096">
        <v>1318.6707764</v>
      </c>
      <c r="K2096">
        <v>2400</v>
      </c>
      <c r="L2096">
        <v>0</v>
      </c>
      <c r="M2096">
        <v>0</v>
      </c>
      <c r="N2096">
        <v>2400</v>
      </c>
    </row>
    <row r="2097" spans="1:14" x14ac:dyDescent="0.25">
      <c r="A2097">
        <v>1527.4706510000001</v>
      </c>
      <c r="B2097" s="1">
        <f>DATE(2014,7,6) + TIME(11,17,44)</f>
        <v>41826.470648148148</v>
      </c>
      <c r="C2097">
        <v>80</v>
      </c>
      <c r="D2097">
        <v>79.974609375</v>
      </c>
      <c r="E2097">
        <v>50</v>
      </c>
      <c r="F2097">
        <v>47.400791167999998</v>
      </c>
      <c r="G2097">
        <v>1344.2612305</v>
      </c>
      <c r="H2097">
        <v>1340.4080810999999</v>
      </c>
      <c r="I2097">
        <v>1322.5173339999999</v>
      </c>
      <c r="J2097">
        <v>1318.6534423999999</v>
      </c>
      <c r="K2097">
        <v>2400</v>
      </c>
      <c r="L2097">
        <v>0</v>
      </c>
      <c r="M2097">
        <v>0</v>
      </c>
      <c r="N2097">
        <v>2400</v>
      </c>
    </row>
    <row r="2098" spans="1:14" x14ac:dyDescent="0.25">
      <c r="A2098">
        <v>1528.6065659999999</v>
      </c>
      <c r="B2098" s="1">
        <f>DATE(2014,7,7) + TIME(14,33,27)</f>
        <v>41827.606562499997</v>
      </c>
      <c r="C2098">
        <v>80</v>
      </c>
      <c r="D2098">
        <v>79.974601746000005</v>
      </c>
      <c r="E2098">
        <v>50</v>
      </c>
      <c r="F2098">
        <v>47.374980927000003</v>
      </c>
      <c r="G2098">
        <v>1344.2514647999999</v>
      </c>
      <c r="H2098">
        <v>1340.4016113</v>
      </c>
      <c r="I2098">
        <v>1322.5062256000001</v>
      </c>
      <c r="J2098">
        <v>1318.6357422000001</v>
      </c>
      <c r="K2098">
        <v>2400</v>
      </c>
      <c r="L2098">
        <v>0</v>
      </c>
      <c r="M2098">
        <v>0</v>
      </c>
      <c r="N2098">
        <v>2400</v>
      </c>
    </row>
    <row r="2099" spans="1:14" x14ac:dyDescent="0.25">
      <c r="A2099">
        <v>1529.764541</v>
      </c>
      <c r="B2099" s="1">
        <f>DATE(2014,7,8) + TIME(18,20,56)</f>
        <v>41828.764537037037</v>
      </c>
      <c r="C2099">
        <v>80</v>
      </c>
      <c r="D2099">
        <v>79.974601746000005</v>
      </c>
      <c r="E2099">
        <v>50</v>
      </c>
      <c r="F2099">
        <v>47.349460602000001</v>
      </c>
      <c r="G2099">
        <v>1344.2415771000001</v>
      </c>
      <c r="H2099">
        <v>1340.3952637</v>
      </c>
      <c r="I2099">
        <v>1322.4946289</v>
      </c>
      <c r="J2099">
        <v>1318.6174315999999</v>
      </c>
      <c r="K2099">
        <v>2400</v>
      </c>
      <c r="L2099">
        <v>0</v>
      </c>
      <c r="M2099">
        <v>0</v>
      </c>
      <c r="N2099">
        <v>2400</v>
      </c>
    </row>
    <row r="2100" spans="1:14" x14ac:dyDescent="0.25">
      <c r="A2100">
        <v>1530.947997</v>
      </c>
      <c r="B2100" s="1">
        <f>DATE(2014,7,9) + TIME(22,45,6)</f>
        <v>41829.94798611111</v>
      </c>
      <c r="C2100">
        <v>80</v>
      </c>
      <c r="D2100">
        <v>79.974594116000006</v>
      </c>
      <c r="E2100">
        <v>50</v>
      </c>
      <c r="F2100">
        <v>47.324245453000003</v>
      </c>
      <c r="G2100">
        <v>1344.2315673999999</v>
      </c>
      <c r="H2100">
        <v>1340.3887939000001</v>
      </c>
      <c r="I2100">
        <v>1322.4827881000001</v>
      </c>
      <c r="J2100">
        <v>1318.5986327999999</v>
      </c>
      <c r="K2100">
        <v>2400</v>
      </c>
      <c r="L2100">
        <v>0</v>
      </c>
      <c r="M2100">
        <v>0</v>
      </c>
      <c r="N2100">
        <v>2400</v>
      </c>
    </row>
    <row r="2101" spans="1:14" x14ac:dyDescent="0.25">
      <c r="A2101">
        <v>1532.1606710000001</v>
      </c>
      <c r="B2101" s="1">
        <f>DATE(2014,7,11) + TIME(3,51,22)</f>
        <v>41831.160671296297</v>
      </c>
      <c r="C2101">
        <v>80</v>
      </c>
      <c r="D2101">
        <v>79.974586486999996</v>
      </c>
      <c r="E2101">
        <v>50</v>
      </c>
      <c r="F2101">
        <v>47.299343108999999</v>
      </c>
      <c r="G2101">
        <v>1344.2215576000001</v>
      </c>
      <c r="H2101">
        <v>1340.3822021000001</v>
      </c>
      <c r="I2101">
        <v>1322.4705810999999</v>
      </c>
      <c r="J2101">
        <v>1318.5791016000001</v>
      </c>
      <c r="K2101">
        <v>2400</v>
      </c>
      <c r="L2101">
        <v>0</v>
      </c>
      <c r="M2101">
        <v>0</v>
      </c>
      <c r="N2101">
        <v>2400</v>
      </c>
    </row>
    <row r="2102" spans="1:14" x14ac:dyDescent="0.25">
      <c r="A2102">
        <v>1533.400095</v>
      </c>
      <c r="B2102" s="1">
        <f>DATE(2014,7,12) + TIME(9,36,8)</f>
        <v>41832.400092592594</v>
      </c>
      <c r="C2102">
        <v>80</v>
      </c>
      <c r="D2102">
        <v>79.974586486999996</v>
      </c>
      <c r="E2102">
        <v>50</v>
      </c>
      <c r="F2102">
        <v>47.274826050000001</v>
      </c>
      <c r="G2102">
        <v>1344.2114257999999</v>
      </c>
      <c r="H2102">
        <v>1340.3754882999999</v>
      </c>
      <c r="I2102">
        <v>1322.4578856999999</v>
      </c>
      <c r="J2102">
        <v>1318.5589600000001</v>
      </c>
      <c r="K2102">
        <v>2400</v>
      </c>
      <c r="L2102">
        <v>0</v>
      </c>
      <c r="M2102">
        <v>0</v>
      </c>
      <c r="N2102">
        <v>2400</v>
      </c>
    </row>
    <row r="2103" spans="1:14" x14ac:dyDescent="0.25">
      <c r="A2103">
        <v>1534.6606810000001</v>
      </c>
      <c r="B2103" s="1">
        <f>DATE(2014,7,13) + TIME(15,51,22)</f>
        <v>41833.660671296297</v>
      </c>
      <c r="C2103">
        <v>80</v>
      </c>
      <c r="D2103">
        <v>79.974578856999997</v>
      </c>
      <c r="E2103">
        <v>50</v>
      </c>
      <c r="F2103">
        <v>47.250831603999998</v>
      </c>
      <c r="G2103">
        <v>1344.2010498</v>
      </c>
      <c r="H2103">
        <v>1340.3687743999999</v>
      </c>
      <c r="I2103">
        <v>1322.4448242000001</v>
      </c>
      <c r="J2103">
        <v>1318.5380858999999</v>
      </c>
      <c r="K2103">
        <v>2400</v>
      </c>
      <c r="L2103">
        <v>0</v>
      </c>
      <c r="M2103">
        <v>0</v>
      </c>
      <c r="N2103">
        <v>2400</v>
      </c>
    </row>
    <row r="2104" spans="1:14" x14ac:dyDescent="0.25">
      <c r="A2104">
        <v>1535.935146</v>
      </c>
      <c r="B2104" s="1">
        <f>DATE(2014,7,14) + TIME(22,26,36)</f>
        <v>41834.93513888889</v>
      </c>
      <c r="C2104">
        <v>80</v>
      </c>
      <c r="D2104">
        <v>79.974571228000002</v>
      </c>
      <c r="E2104">
        <v>50</v>
      </c>
      <c r="F2104">
        <v>47.227550506999997</v>
      </c>
      <c r="G2104">
        <v>1344.1907959</v>
      </c>
      <c r="H2104">
        <v>1340.3620605000001</v>
      </c>
      <c r="I2104">
        <v>1322.4313964999999</v>
      </c>
      <c r="J2104">
        <v>1318.5167236</v>
      </c>
      <c r="K2104">
        <v>2400</v>
      </c>
      <c r="L2104">
        <v>0</v>
      </c>
      <c r="M2104">
        <v>0</v>
      </c>
      <c r="N2104">
        <v>2400</v>
      </c>
    </row>
    <row r="2105" spans="1:14" x14ac:dyDescent="0.25">
      <c r="A2105">
        <v>1537.211436</v>
      </c>
      <c r="B2105" s="1">
        <f>DATE(2014,7,16) + TIME(5,4,28)</f>
        <v>41836.211435185185</v>
      </c>
      <c r="C2105">
        <v>80</v>
      </c>
      <c r="D2105">
        <v>79.974563599000007</v>
      </c>
      <c r="E2105">
        <v>50</v>
      </c>
      <c r="F2105">
        <v>47.205219268999997</v>
      </c>
      <c r="G2105">
        <v>1344.1805420000001</v>
      </c>
      <c r="H2105">
        <v>1340.3553466999999</v>
      </c>
      <c r="I2105">
        <v>1322.4177245999999</v>
      </c>
      <c r="J2105">
        <v>1318.494751</v>
      </c>
      <c r="K2105">
        <v>2400</v>
      </c>
      <c r="L2105">
        <v>0</v>
      </c>
      <c r="M2105">
        <v>0</v>
      </c>
      <c r="N2105">
        <v>2400</v>
      </c>
    </row>
    <row r="2106" spans="1:14" x14ac:dyDescent="0.25">
      <c r="A2106">
        <v>1538.4929609999999</v>
      </c>
      <c r="B2106" s="1">
        <f>DATE(2014,7,17) + TIME(11,49,51)</f>
        <v>41837.492951388886</v>
      </c>
      <c r="C2106">
        <v>80</v>
      </c>
      <c r="D2106">
        <v>79.974563599000007</v>
      </c>
      <c r="E2106">
        <v>50</v>
      </c>
      <c r="F2106">
        <v>47.183990479000002</v>
      </c>
      <c r="G2106">
        <v>1344.1702881000001</v>
      </c>
      <c r="H2106">
        <v>1340.3486327999999</v>
      </c>
      <c r="I2106">
        <v>1322.4038086</v>
      </c>
      <c r="J2106">
        <v>1318.4725341999999</v>
      </c>
      <c r="K2106">
        <v>2400</v>
      </c>
      <c r="L2106">
        <v>0</v>
      </c>
      <c r="M2106">
        <v>0</v>
      </c>
      <c r="N2106">
        <v>2400</v>
      </c>
    </row>
    <row r="2107" spans="1:14" x14ac:dyDescent="0.25">
      <c r="A2107">
        <v>1539.7832599999999</v>
      </c>
      <c r="B2107" s="1">
        <f>DATE(2014,7,18) + TIME(18,47,53)</f>
        <v>41838.783252314817</v>
      </c>
      <c r="C2107">
        <v>80</v>
      </c>
      <c r="D2107">
        <v>79.974555968999994</v>
      </c>
      <c r="E2107">
        <v>50</v>
      </c>
      <c r="F2107">
        <v>47.163925171000002</v>
      </c>
      <c r="G2107">
        <v>1344.1601562000001</v>
      </c>
      <c r="H2107">
        <v>1340.3420410000001</v>
      </c>
      <c r="I2107">
        <v>1322.3897704999999</v>
      </c>
      <c r="J2107">
        <v>1318.4499512</v>
      </c>
      <c r="K2107">
        <v>2400</v>
      </c>
      <c r="L2107">
        <v>0</v>
      </c>
      <c r="M2107">
        <v>0</v>
      </c>
      <c r="N2107">
        <v>2400</v>
      </c>
    </row>
    <row r="2108" spans="1:14" x14ac:dyDescent="0.25">
      <c r="A2108">
        <v>1541.086474</v>
      </c>
      <c r="B2108" s="1">
        <f>DATE(2014,7,20) + TIME(2,4,31)</f>
        <v>41840.086469907408</v>
      </c>
      <c r="C2108">
        <v>80</v>
      </c>
      <c r="D2108">
        <v>79.974555968999994</v>
      </c>
      <c r="E2108">
        <v>50</v>
      </c>
      <c r="F2108">
        <v>47.145069122000002</v>
      </c>
      <c r="G2108">
        <v>1344.1501464999999</v>
      </c>
      <c r="H2108">
        <v>1340.3353271000001</v>
      </c>
      <c r="I2108">
        <v>1322.3754882999999</v>
      </c>
      <c r="J2108">
        <v>1318.4270019999999</v>
      </c>
      <c r="K2108">
        <v>2400</v>
      </c>
      <c r="L2108">
        <v>0</v>
      </c>
      <c r="M2108">
        <v>0</v>
      </c>
      <c r="N2108">
        <v>2400</v>
      </c>
    </row>
    <row r="2109" spans="1:14" x14ac:dyDescent="0.25">
      <c r="A2109">
        <v>1542.4082000000001</v>
      </c>
      <c r="B2109" s="1">
        <f>DATE(2014,7,21) + TIME(9,47,48)</f>
        <v>41841.408194444448</v>
      </c>
      <c r="C2109">
        <v>80</v>
      </c>
      <c r="D2109">
        <v>79.974548339999998</v>
      </c>
      <c r="E2109">
        <v>50</v>
      </c>
      <c r="F2109">
        <v>47.127452849999997</v>
      </c>
      <c r="G2109">
        <v>1344.1401367000001</v>
      </c>
      <c r="H2109">
        <v>1340.3287353999999</v>
      </c>
      <c r="I2109">
        <v>1322.3609618999999</v>
      </c>
      <c r="J2109">
        <v>1318.4036865</v>
      </c>
      <c r="K2109">
        <v>2400</v>
      </c>
      <c r="L2109">
        <v>0</v>
      </c>
      <c r="M2109">
        <v>0</v>
      </c>
      <c r="N2109">
        <v>2400</v>
      </c>
    </row>
    <row r="2110" spans="1:14" x14ac:dyDescent="0.25">
      <c r="A2110">
        <v>1543.7521380000001</v>
      </c>
      <c r="B2110" s="1">
        <f>DATE(2014,7,22) + TIME(18,3,4)</f>
        <v>41842.752129629633</v>
      </c>
      <c r="C2110">
        <v>80</v>
      </c>
      <c r="D2110">
        <v>79.974548339999998</v>
      </c>
      <c r="E2110">
        <v>50</v>
      </c>
      <c r="F2110">
        <v>47.111125946000001</v>
      </c>
      <c r="G2110">
        <v>1344.1300048999999</v>
      </c>
      <c r="H2110">
        <v>1340.3220214999999</v>
      </c>
      <c r="I2110">
        <v>1322.3461914</v>
      </c>
      <c r="J2110">
        <v>1318.3797606999999</v>
      </c>
      <c r="K2110">
        <v>2400</v>
      </c>
      <c r="L2110">
        <v>0</v>
      </c>
      <c r="M2110">
        <v>0</v>
      </c>
      <c r="N2110">
        <v>2400</v>
      </c>
    </row>
    <row r="2111" spans="1:14" x14ac:dyDescent="0.25">
      <c r="A2111">
        <v>1545.122282</v>
      </c>
      <c r="B2111" s="1">
        <f>DATE(2014,7,24) + TIME(2,56,5)</f>
        <v>41844.12228009259</v>
      </c>
      <c r="C2111">
        <v>80</v>
      </c>
      <c r="D2111">
        <v>79.974540709999999</v>
      </c>
      <c r="E2111">
        <v>50</v>
      </c>
      <c r="F2111">
        <v>47.096179962000001</v>
      </c>
      <c r="G2111">
        <v>1344.1198730000001</v>
      </c>
      <c r="H2111">
        <v>1340.3153076000001</v>
      </c>
      <c r="I2111">
        <v>1322.3310547000001</v>
      </c>
      <c r="J2111">
        <v>1318.3553466999999</v>
      </c>
      <c r="K2111">
        <v>2400</v>
      </c>
      <c r="L2111">
        <v>0</v>
      </c>
      <c r="M2111">
        <v>0</v>
      </c>
      <c r="N2111">
        <v>2400</v>
      </c>
    </row>
    <row r="2112" spans="1:14" x14ac:dyDescent="0.25">
      <c r="A2112">
        <v>1546.5080840000001</v>
      </c>
      <c r="B2112" s="1">
        <f>DATE(2014,7,25) + TIME(12,11,38)</f>
        <v>41845.5080787037</v>
      </c>
      <c r="C2112">
        <v>80</v>
      </c>
      <c r="D2112">
        <v>79.974540709999999</v>
      </c>
      <c r="E2112">
        <v>50</v>
      </c>
      <c r="F2112">
        <v>47.082782745000003</v>
      </c>
      <c r="G2112">
        <v>1344.1097411999999</v>
      </c>
      <c r="H2112">
        <v>1340.3085937999999</v>
      </c>
      <c r="I2112">
        <v>1322.3155518000001</v>
      </c>
      <c r="J2112">
        <v>1318.3304443</v>
      </c>
      <c r="K2112">
        <v>2400</v>
      </c>
      <c r="L2112">
        <v>0</v>
      </c>
      <c r="M2112">
        <v>0</v>
      </c>
      <c r="N2112">
        <v>2400</v>
      </c>
    </row>
    <row r="2113" spans="1:14" x14ac:dyDescent="0.25">
      <c r="A2113">
        <v>1547.9110089999999</v>
      </c>
      <c r="B2113" s="1">
        <f>DATE(2014,7,26) + TIME(21,51,51)</f>
        <v>41846.911006944443</v>
      </c>
      <c r="C2113">
        <v>80</v>
      </c>
      <c r="D2113">
        <v>79.974533081000004</v>
      </c>
      <c r="E2113">
        <v>50</v>
      </c>
      <c r="F2113">
        <v>47.071105957</v>
      </c>
      <c r="G2113">
        <v>1344.0994873</v>
      </c>
      <c r="H2113">
        <v>1340.3018798999999</v>
      </c>
      <c r="I2113">
        <v>1322.2996826000001</v>
      </c>
      <c r="J2113">
        <v>1318.3049315999999</v>
      </c>
      <c r="K2113">
        <v>2400</v>
      </c>
      <c r="L2113">
        <v>0</v>
      </c>
      <c r="M2113">
        <v>0</v>
      </c>
      <c r="N2113">
        <v>2400</v>
      </c>
    </row>
    <row r="2114" spans="1:14" x14ac:dyDescent="0.25">
      <c r="A2114">
        <v>1549.337536</v>
      </c>
      <c r="B2114" s="1">
        <f>DATE(2014,7,28) + TIME(8,6,3)</f>
        <v>41848.337534722225</v>
      </c>
      <c r="C2114">
        <v>80</v>
      </c>
      <c r="D2114">
        <v>79.974533081000004</v>
      </c>
      <c r="E2114">
        <v>50</v>
      </c>
      <c r="F2114">
        <v>47.061283111999998</v>
      </c>
      <c r="G2114">
        <v>1344.0892334</v>
      </c>
      <c r="H2114">
        <v>1340.2950439000001</v>
      </c>
      <c r="I2114">
        <v>1322.2836914</v>
      </c>
      <c r="J2114">
        <v>1318.2789307</v>
      </c>
      <c r="K2114">
        <v>2400</v>
      </c>
      <c r="L2114">
        <v>0</v>
      </c>
      <c r="M2114">
        <v>0</v>
      </c>
      <c r="N2114">
        <v>2400</v>
      </c>
    </row>
    <row r="2115" spans="1:14" x14ac:dyDescent="0.25">
      <c r="A2115">
        <v>1550.7922249999999</v>
      </c>
      <c r="B2115" s="1">
        <f>DATE(2014,7,29) + TIME(19,0,48)</f>
        <v>41849.792222222219</v>
      </c>
      <c r="C2115">
        <v>80</v>
      </c>
      <c r="D2115">
        <v>79.974533081000004</v>
      </c>
      <c r="E2115">
        <v>50</v>
      </c>
      <c r="F2115">
        <v>47.053474426000001</v>
      </c>
      <c r="G2115">
        <v>1344.0789795000001</v>
      </c>
      <c r="H2115">
        <v>1340.2882079999999</v>
      </c>
      <c r="I2115">
        <v>1322.2673339999999</v>
      </c>
      <c r="J2115">
        <v>1318.2523193</v>
      </c>
      <c r="K2115">
        <v>2400</v>
      </c>
      <c r="L2115">
        <v>0</v>
      </c>
      <c r="M2115">
        <v>0</v>
      </c>
      <c r="N2115">
        <v>2400</v>
      </c>
    </row>
    <row r="2116" spans="1:14" x14ac:dyDescent="0.25">
      <c r="A2116">
        <v>1552.2795410000001</v>
      </c>
      <c r="B2116" s="1">
        <f>DATE(2014,7,31) + TIME(6,42,32)</f>
        <v>41851.279537037037</v>
      </c>
      <c r="C2116">
        <v>80</v>
      </c>
      <c r="D2116">
        <v>79.974525451999995</v>
      </c>
      <c r="E2116">
        <v>50</v>
      </c>
      <c r="F2116">
        <v>47.047851561999998</v>
      </c>
      <c r="G2116">
        <v>1344.0686035000001</v>
      </c>
      <c r="H2116">
        <v>1340.28125</v>
      </c>
      <c r="I2116">
        <v>1322.2504882999999</v>
      </c>
      <c r="J2116">
        <v>1318.2252197</v>
      </c>
      <c r="K2116">
        <v>2400</v>
      </c>
      <c r="L2116">
        <v>0</v>
      </c>
      <c r="M2116">
        <v>0</v>
      </c>
      <c r="N2116">
        <v>2400</v>
      </c>
    </row>
    <row r="2117" spans="1:14" x14ac:dyDescent="0.25">
      <c r="A2117">
        <v>1553</v>
      </c>
      <c r="B2117" s="1">
        <f>DATE(2014,8,1) + TIME(0,0,0)</f>
        <v>41852</v>
      </c>
      <c r="C2117">
        <v>80</v>
      </c>
      <c r="D2117">
        <v>79.974517821999996</v>
      </c>
      <c r="E2117">
        <v>50</v>
      </c>
      <c r="F2117">
        <v>47.045528412000003</v>
      </c>
      <c r="G2117">
        <v>1344.0592041</v>
      </c>
      <c r="H2117">
        <v>1340.2751464999999</v>
      </c>
      <c r="I2117">
        <v>1322.2352295000001</v>
      </c>
      <c r="J2117">
        <v>1318.1999512</v>
      </c>
      <c r="K2117">
        <v>2400</v>
      </c>
      <c r="L2117">
        <v>0</v>
      </c>
      <c r="M2117">
        <v>0</v>
      </c>
      <c r="N2117">
        <v>2400</v>
      </c>
    </row>
    <row r="2118" spans="1:14" x14ac:dyDescent="0.25">
      <c r="A2118">
        <v>1554.4984979999999</v>
      </c>
      <c r="B2118" s="1">
        <f>DATE(2014,8,2) + TIME(11,57,50)</f>
        <v>41853.498495370368</v>
      </c>
      <c r="C2118">
        <v>80</v>
      </c>
      <c r="D2118">
        <v>79.974525451999995</v>
      </c>
      <c r="E2118">
        <v>50</v>
      </c>
      <c r="F2118">
        <v>47.044124603</v>
      </c>
      <c r="G2118">
        <v>1344.0527344</v>
      </c>
      <c r="H2118">
        <v>1340.2706298999999</v>
      </c>
      <c r="I2118">
        <v>1322.2235106999999</v>
      </c>
      <c r="J2118">
        <v>1318.1816406</v>
      </c>
      <c r="K2118">
        <v>2400</v>
      </c>
      <c r="L2118">
        <v>0</v>
      </c>
      <c r="M2118">
        <v>0</v>
      </c>
      <c r="N2118">
        <v>2400</v>
      </c>
    </row>
    <row r="2119" spans="1:14" x14ac:dyDescent="0.25">
      <c r="A2119">
        <v>1556.0112819999999</v>
      </c>
      <c r="B2119" s="1">
        <f>DATE(2014,8,4) + TIME(0,16,14)</f>
        <v>41855.011273148149</v>
      </c>
      <c r="C2119">
        <v>80</v>
      </c>
      <c r="D2119">
        <v>79.974525451999995</v>
      </c>
      <c r="E2119">
        <v>50</v>
      </c>
      <c r="F2119">
        <v>47.045116425000003</v>
      </c>
      <c r="G2119">
        <v>1344.0427245999999</v>
      </c>
      <c r="H2119">
        <v>1340.2639160000001</v>
      </c>
      <c r="I2119">
        <v>1322.2071533000001</v>
      </c>
      <c r="J2119">
        <v>1318.1547852000001</v>
      </c>
      <c r="K2119">
        <v>2400</v>
      </c>
      <c r="L2119">
        <v>0</v>
      </c>
      <c r="M2119">
        <v>0</v>
      </c>
      <c r="N2119">
        <v>2400</v>
      </c>
    </row>
    <row r="2120" spans="1:14" x14ac:dyDescent="0.25">
      <c r="A2120">
        <v>1557.5426990000001</v>
      </c>
      <c r="B2120" s="1">
        <f>DATE(2014,8,5) + TIME(13,1,29)</f>
        <v>41856.542696759258</v>
      </c>
      <c r="C2120">
        <v>80</v>
      </c>
      <c r="D2120">
        <v>79.974525451999995</v>
      </c>
      <c r="E2120">
        <v>50</v>
      </c>
      <c r="F2120">
        <v>47.048931121999999</v>
      </c>
      <c r="G2120">
        <v>1344.0324707</v>
      </c>
      <c r="H2120">
        <v>1340.2569579999999</v>
      </c>
      <c r="I2120">
        <v>1322.1899414</v>
      </c>
      <c r="J2120">
        <v>1318.1267089999999</v>
      </c>
      <c r="K2120">
        <v>2400</v>
      </c>
      <c r="L2120">
        <v>0</v>
      </c>
      <c r="M2120">
        <v>0</v>
      </c>
      <c r="N2120">
        <v>2400</v>
      </c>
    </row>
    <row r="2121" spans="1:14" x14ac:dyDescent="0.25">
      <c r="A2121">
        <v>1559.096755</v>
      </c>
      <c r="B2121" s="1">
        <f>DATE(2014,8,7) + TIME(2,19,19)</f>
        <v>41858.096747685187</v>
      </c>
      <c r="C2121">
        <v>80</v>
      </c>
      <c r="D2121">
        <v>79.974517821999996</v>
      </c>
      <c r="E2121">
        <v>50</v>
      </c>
      <c r="F2121">
        <v>47.055866240999997</v>
      </c>
      <c r="G2121">
        <v>1344.0220947</v>
      </c>
      <c r="H2121">
        <v>1340.25</v>
      </c>
      <c r="I2121">
        <v>1322.1723632999999</v>
      </c>
      <c r="J2121">
        <v>1318.0979004000001</v>
      </c>
      <c r="K2121">
        <v>2400</v>
      </c>
      <c r="L2121">
        <v>0</v>
      </c>
      <c r="M2121">
        <v>0</v>
      </c>
      <c r="N2121">
        <v>2400</v>
      </c>
    </row>
    <row r="2122" spans="1:14" x14ac:dyDescent="0.25">
      <c r="A2122">
        <v>1560.664264</v>
      </c>
      <c r="B2122" s="1">
        <f>DATE(2014,8,8) + TIME(15,56,32)</f>
        <v>41859.664259259262</v>
      </c>
      <c r="C2122">
        <v>80</v>
      </c>
      <c r="D2122">
        <v>79.974517821999996</v>
      </c>
      <c r="E2122">
        <v>50</v>
      </c>
      <c r="F2122">
        <v>47.066188812</v>
      </c>
      <c r="G2122">
        <v>1344.0117187999999</v>
      </c>
      <c r="H2122">
        <v>1340.2430420000001</v>
      </c>
      <c r="I2122">
        <v>1322.1544189000001</v>
      </c>
      <c r="J2122">
        <v>1318.0686035000001</v>
      </c>
      <c r="K2122">
        <v>2400</v>
      </c>
      <c r="L2122">
        <v>0</v>
      </c>
      <c r="M2122">
        <v>0</v>
      </c>
      <c r="N2122">
        <v>2400</v>
      </c>
    </row>
    <row r="2123" spans="1:14" x14ac:dyDescent="0.25">
      <c r="A2123">
        <v>1562.2442860000001</v>
      </c>
      <c r="B2123" s="1">
        <f>DATE(2014,8,10) + TIME(5,51,46)</f>
        <v>41861.24428240741</v>
      </c>
      <c r="C2123">
        <v>80</v>
      </c>
      <c r="D2123">
        <v>79.974517821999996</v>
      </c>
      <c r="E2123">
        <v>50</v>
      </c>
      <c r="F2123">
        <v>47.080112456999998</v>
      </c>
      <c r="G2123">
        <v>1344.0013428</v>
      </c>
      <c r="H2123">
        <v>1340.2359618999999</v>
      </c>
      <c r="I2123">
        <v>1322.1362305</v>
      </c>
      <c r="J2123">
        <v>1318.0390625</v>
      </c>
      <c r="K2123">
        <v>2400</v>
      </c>
      <c r="L2123">
        <v>0</v>
      </c>
      <c r="M2123">
        <v>0</v>
      </c>
      <c r="N2123">
        <v>2400</v>
      </c>
    </row>
    <row r="2124" spans="1:14" x14ac:dyDescent="0.25">
      <c r="A2124">
        <v>1563.841336</v>
      </c>
      <c r="B2124" s="1">
        <f>DATE(2014,8,11) + TIME(20,11,31)</f>
        <v>41862.841331018521</v>
      </c>
      <c r="C2124">
        <v>80</v>
      </c>
      <c r="D2124">
        <v>79.974517821999996</v>
      </c>
      <c r="E2124">
        <v>50</v>
      </c>
      <c r="F2124">
        <v>47.097873688</v>
      </c>
      <c r="G2124">
        <v>1343.9909668</v>
      </c>
      <c r="H2124">
        <v>1340.2290039</v>
      </c>
      <c r="I2124">
        <v>1322.1180420000001</v>
      </c>
      <c r="J2124">
        <v>1318.0092772999999</v>
      </c>
      <c r="K2124">
        <v>2400</v>
      </c>
      <c r="L2124">
        <v>0</v>
      </c>
      <c r="M2124">
        <v>0</v>
      </c>
      <c r="N2124">
        <v>2400</v>
      </c>
    </row>
    <row r="2125" spans="1:14" x14ac:dyDescent="0.25">
      <c r="A2125">
        <v>1565.4635000000001</v>
      </c>
      <c r="B2125" s="1">
        <f>DATE(2014,8,13) + TIME(11,7,26)</f>
        <v>41864.463495370372</v>
      </c>
      <c r="C2125">
        <v>80</v>
      </c>
      <c r="D2125">
        <v>79.974517821999996</v>
      </c>
      <c r="E2125">
        <v>50</v>
      </c>
      <c r="F2125">
        <v>47.119766235</v>
      </c>
      <c r="G2125">
        <v>1343.9807129000001</v>
      </c>
      <c r="H2125">
        <v>1340.2219238</v>
      </c>
      <c r="I2125">
        <v>1322.0996094</v>
      </c>
      <c r="J2125">
        <v>1317.979126</v>
      </c>
      <c r="K2125">
        <v>2400</v>
      </c>
      <c r="L2125">
        <v>0</v>
      </c>
      <c r="M2125">
        <v>0</v>
      </c>
      <c r="N2125">
        <v>2400</v>
      </c>
    </row>
    <row r="2126" spans="1:14" x14ac:dyDescent="0.25">
      <c r="A2126">
        <v>1567.1159700000001</v>
      </c>
      <c r="B2126" s="1">
        <f>DATE(2014,8,15) + TIME(2,46,59)</f>
        <v>41866.115960648145</v>
      </c>
      <c r="C2126">
        <v>80</v>
      </c>
      <c r="D2126">
        <v>79.974517821999996</v>
      </c>
      <c r="E2126">
        <v>50</v>
      </c>
      <c r="F2126">
        <v>47.146175384999999</v>
      </c>
      <c r="G2126">
        <v>1343.9703368999999</v>
      </c>
      <c r="H2126">
        <v>1340.2148437999999</v>
      </c>
      <c r="I2126">
        <v>1322.0810547000001</v>
      </c>
      <c r="J2126">
        <v>1317.9487305</v>
      </c>
      <c r="K2126">
        <v>2400</v>
      </c>
      <c r="L2126">
        <v>0</v>
      </c>
      <c r="M2126">
        <v>0</v>
      </c>
      <c r="N2126">
        <v>2400</v>
      </c>
    </row>
    <row r="2127" spans="1:14" x14ac:dyDescent="0.25">
      <c r="A2127">
        <v>1568.8039240000001</v>
      </c>
      <c r="B2127" s="1">
        <f>DATE(2014,8,16) + TIME(19,17,38)</f>
        <v>41867.803912037038</v>
      </c>
      <c r="C2127">
        <v>80</v>
      </c>
      <c r="D2127">
        <v>79.974517821999996</v>
      </c>
      <c r="E2127">
        <v>50</v>
      </c>
      <c r="F2127">
        <v>47.177551270000002</v>
      </c>
      <c r="G2127">
        <v>1343.9598389</v>
      </c>
      <c r="H2127">
        <v>1340.2077637</v>
      </c>
      <c r="I2127">
        <v>1322.0622559000001</v>
      </c>
      <c r="J2127">
        <v>1317.9179687999999</v>
      </c>
      <c r="K2127">
        <v>2400</v>
      </c>
      <c r="L2127">
        <v>0</v>
      </c>
      <c r="M2127">
        <v>0</v>
      </c>
      <c r="N2127">
        <v>2400</v>
      </c>
    </row>
    <row r="2128" spans="1:14" x14ac:dyDescent="0.25">
      <c r="A2128">
        <v>1570.5330650000001</v>
      </c>
      <c r="B2128" s="1">
        <f>DATE(2014,8,18) + TIME(12,47,36)</f>
        <v>41869.533055555556</v>
      </c>
      <c r="C2128">
        <v>80</v>
      </c>
      <c r="D2128">
        <v>79.974517821999996</v>
      </c>
      <c r="E2128">
        <v>50</v>
      </c>
      <c r="F2128">
        <v>47.214412689</v>
      </c>
      <c r="G2128">
        <v>1343.9492187999999</v>
      </c>
      <c r="H2128">
        <v>1340.2004394999999</v>
      </c>
      <c r="I2128">
        <v>1322.0432129000001</v>
      </c>
      <c r="J2128">
        <v>1317.8867187999999</v>
      </c>
      <c r="K2128">
        <v>2400</v>
      </c>
      <c r="L2128">
        <v>0</v>
      </c>
      <c r="M2128">
        <v>0</v>
      </c>
      <c r="N2128">
        <v>2400</v>
      </c>
    </row>
    <row r="2129" spans="1:14" x14ac:dyDescent="0.25">
      <c r="A2129">
        <v>1572.289471</v>
      </c>
      <c r="B2129" s="1">
        <f>DATE(2014,8,20) + TIME(6,56,50)</f>
        <v>41871.289467592593</v>
      </c>
      <c r="C2129">
        <v>80</v>
      </c>
      <c r="D2129">
        <v>79.974517821999996</v>
      </c>
      <c r="E2129">
        <v>50</v>
      </c>
      <c r="F2129">
        <v>47.257225036999998</v>
      </c>
      <c r="G2129">
        <v>1343.9384766000001</v>
      </c>
      <c r="H2129">
        <v>1340.1931152</v>
      </c>
      <c r="I2129">
        <v>1322.0238036999999</v>
      </c>
      <c r="J2129">
        <v>1317.8549805</v>
      </c>
      <c r="K2129">
        <v>2400</v>
      </c>
      <c r="L2129">
        <v>0</v>
      </c>
      <c r="M2129">
        <v>0</v>
      </c>
      <c r="N2129">
        <v>2400</v>
      </c>
    </row>
    <row r="2130" spans="1:14" x14ac:dyDescent="0.25">
      <c r="A2130">
        <v>1574.0626600000001</v>
      </c>
      <c r="B2130" s="1">
        <f>DATE(2014,8,22) + TIME(1,30,13)</f>
        <v>41873.062650462962</v>
      </c>
      <c r="C2130">
        <v>80</v>
      </c>
      <c r="D2130">
        <v>79.974525451999995</v>
      </c>
      <c r="E2130">
        <v>50</v>
      </c>
      <c r="F2130">
        <v>47.306240082000002</v>
      </c>
      <c r="G2130">
        <v>1343.9277344</v>
      </c>
      <c r="H2130">
        <v>1340.1856689000001</v>
      </c>
      <c r="I2130">
        <v>1322.0042725000001</v>
      </c>
      <c r="J2130">
        <v>1317.822876</v>
      </c>
      <c r="K2130">
        <v>2400</v>
      </c>
      <c r="L2130">
        <v>0</v>
      </c>
      <c r="M2130">
        <v>0</v>
      </c>
      <c r="N2130">
        <v>2400</v>
      </c>
    </row>
    <row r="2131" spans="1:14" x14ac:dyDescent="0.25">
      <c r="A2131">
        <v>1575.8552729999999</v>
      </c>
      <c r="B2131" s="1">
        <f>DATE(2014,8,23) + TIME(20,31,35)</f>
        <v>41874.855266203704</v>
      </c>
      <c r="C2131">
        <v>80</v>
      </c>
      <c r="D2131">
        <v>79.974525451999995</v>
      </c>
      <c r="E2131">
        <v>50</v>
      </c>
      <c r="F2131">
        <v>47.361705780000001</v>
      </c>
      <c r="G2131">
        <v>1343.9169922000001</v>
      </c>
      <c r="H2131">
        <v>1340.1783447</v>
      </c>
      <c r="I2131">
        <v>1321.9847411999999</v>
      </c>
      <c r="J2131">
        <v>1317.7908935999999</v>
      </c>
      <c r="K2131">
        <v>2400</v>
      </c>
      <c r="L2131">
        <v>0</v>
      </c>
      <c r="M2131">
        <v>0</v>
      </c>
      <c r="N2131">
        <v>2400</v>
      </c>
    </row>
    <row r="2132" spans="1:14" x14ac:dyDescent="0.25">
      <c r="A2132">
        <v>1577.6540709999999</v>
      </c>
      <c r="B2132" s="1">
        <f>DATE(2014,8,25) + TIME(15,41,51)</f>
        <v>41876.654062499998</v>
      </c>
      <c r="C2132">
        <v>80</v>
      </c>
      <c r="D2132">
        <v>79.974525451999995</v>
      </c>
      <c r="E2132">
        <v>50</v>
      </c>
      <c r="F2132">
        <v>47.423851012999997</v>
      </c>
      <c r="G2132">
        <v>1343.90625</v>
      </c>
      <c r="H2132">
        <v>1340.1708983999999</v>
      </c>
      <c r="I2132">
        <v>1321.9652100000001</v>
      </c>
      <c r="J2132">
        <v>1317.7589111</v>
      </c>
      <c r="K2132">
        <v>2400</v>
      </c>
      <c r="L2132">
        <v>0</v>
      </c>
      <c r="M2132">
        <v>0</v>
      </c>
      <c r="N2132">
        <v>2400</v>
      </c>
    </row>
    <row r="2133" spans="1:14" x14ac:dyDescent="0.25">
      <c r="A2133">
        <v>1579.463919</v>
      </c>
      <c r="B2133" s="1">
        <f>DATE(2014,8,27) + TIME(11,8,2)</f>
        <v>41878.463912037034</v>
      </c>
      <c r="C2133">
        <v>80</v>
      </c>
      <c r="D2133">
        <v>79.974525451999995</v>
      </c>
      <c r="E2133">
        <v>50</v>
      </c>
      <c r="F2133">
        <v>47.49281311</v>
      </c>
      <c r="G2133">
        <v>1343.8955077999999</v>
      </c>
      <c r="H2133">
        <v>1340.1634521000001</v>
      </c>
      <c r="I2133">
        <v>1321.9456786999999</v>
      </c>
      <c r="J2133">
        <v>1317.7270507999999</v>
      </c>
      <c r="K2133">
        <v>2400</v>
      </c>
      <c r="L2133">
        <v>0</v>
      </c>
      <c r="M2133">
        <v>0</v>
      </c>
      <c r="N2133">
        <v>2400</v>
      </c>
    </row>
    <row r="2134" spans="1:14" x14ac:dyDescent="0.25">
      <c r="A2134">
        <v>1581.2897579999999</v>
      </c>
      <c r="B2134" s="1">
        <f>DATE(2014,8,29) + TIME(6,57,15)</f>
        <v>41880.289756944447</v>
      </c>
      <c r="C2134">
        <v>80</v>
      </c>
      <c r="D2134">
        <v>79.974525451999995</v>
      </c>
      <c r="E2134">
        <v>50</v>
      </c>
      <c r="F2134">
        <v>47.568977355999998</v>
      </c>
      <c r="G2134">
        <v>1343.8848877</v>
      </c>
      <c r="H2134">
        <v>1340.1560059000001</v>
      </c>
      <c r="I2134">
        <v>1321.9263916</v>
      </c>
      <c r="J2134">
        <v>1317.6955565999999</v>
      </c>
      <c r="K2134">
        <v>2400</v>
      </c>
      <c r="L2134">
        <v>0</v>
      </c>
      <c r="M2134">
        <v>0</v>
      </c>
      <c r="N2134">
        <v>2400</v>
      </c>
    </row>
    <row r="2135" spans="1:14" x14ac:dyDescent="0.25">
      <c r="A2135">
        <v>1583.141345</v>
      </c>
      <c r="B2135" s="1">
        <f>DATE(2014,8,31) + TIME(3,23,32)</f>
        <v>41882.141342592593</v>
      </c>
      <c r="C2135">
        <v>80</v>
      </c>
      <c r="D2135">
        <v>79.974533081000004</v>
      </c>
      <c r="E2135">
        <v>50</v>
      </c>
      <c r="F2135">
        <v>47.652908324999999</v>
      </c>
      <c r="G2135">
        <v>1343.8742675999999</v>
      </c>
      <c r="H2135">
        <v>1340.1486815999999</v>
      </c>
      <c r="I2135">
        <v>1321.9072266000001</v>
      </c>
      <c r="J2135">
        <v>1317.6643065999999</v>
      </c>
      <c r="K2135">
        <v>2400</v>
      </c>
      <c r="L2135">
        <v>0</v>
      </c>
      <c r="M2135">
        <v>0</v>
      </c>
      <c r="N2135">
        <v>2400</v>
      </c>
    </row>
    <row r="2136" spans="1:14" x14ac:dyDescent="0.25">
      <c r="A2136">
        <v>1584</v>
      </c>
      <c r="B2136" s="1">
        <f>DATE(2014,9,1) + TIME(0,0,0)</f>
        <v>41883</v>
      </c>
      <c r="C2136">
        <v>80</v>
      </c>
      <c r="D2136">
        <v>79.974517821999996</v>
      </c>
      <c r="E2136">
        <v>50</v>
      </c>
      <c r="F2136">
        <v>47.721920013000002</v>
      </c>
      <c r="G2136">
        <v>1343.8647461</v>
      </c>
      <c r="H2136">
        <v>1340.1422118999999</v>
      </c>
      <c r="I2136">
        <v>1321.8913574000001</v>
      </c>
      <c r="J2136">
        <v>1317.6362305</v>
      </c>
      <c r="K2136">
        <v>2400</v>
      </c>
      <c r="L2136">
        <v>0</v>
      </c>
      <c r="M2136">
        <v>0</v>
      </c>
      <c r="N2136">
        <v>2400</v>
      </c>
    </row>
    <row r="2137" spans="1:14" x14ac:dyDescent="0.25">
      <c r="A2137">
        <v>1585.8844449999999</v>
      </c>
      <c r="B2137" s="1">
        <f>DATE(2014,9,2) + TIME(21,13,36)</f>
        <v>41884.884444444448</v>
      </c>
      <c r="C2137">
        <v>80</v>
      </c>
      <c r="D2137">
        <v>79.974533081000004</v>
      </c>
      <c r="E2137">
        <v>50</v>
      </c>
      <c r="F2137">
        <v>47.799110413000001</v>
      </c>
      <c r="G2137">
        <v>1343.8581543</v>
      </c>
      <c r="H2137">
        <v>1340.1373291</v>
      </c>
      <c r="I2137">
        <v>1321.8771973</v>
      </c>
      <c r="J2137">
        <v>1317.6164550999999</v>
      </c>
      <c r="K2137">
        <v>2400</v>
      </c>
      <c r="L2137">
        <v>0</v>
      </c>
      <c r="M2137">
        <v>0</v>
      </c>
      <c r="N2137">
        <v>2400</v>
      </c>
    </row>
    <row r="2138" spans="1:14" x14ac:dyDescent="0.25">
      <c r="A2138">
        <v>1587.8281030000001</v>
      </c>
      <c r="B2138" s="1">
        <f>DATE(2014,9,4) + TIME(19,52,28)</f>
        <v>41886.828101851854</v>
      </c>
      <c r="C2138">
        <v>80</v>
      </c>
      <c r="D2138">
        <v>79.974540709999999</v>
      </c>
      <c r="E2138">
        <v>50</v>
      </c>
      <c r="F2138">
        <v>47.899421691999997</v>
      </c>
      <c r="G2138">
        <v>1343.8479004000001</v>
      </c>
      <c r="H2138">
        <v>1340.1301269999999</v>
      </c>
      <c r="I2138">
        <v>1321.8596190999999</v>
      </c>
      <c r="J2138">
        <v>1317.5874022999999</v>
      </c>
      <c r="K2138">
        <v>2400</v>
      </c>
      <c r="L2138">
        <v>0</v>
      </c>
      <c r="M2138">
        <v>0</v>
      </c>
      <c r="N2138">
        <v>2400</v>
      </c>
    </row>
    <row r="2139" spans="1:14" x14ac:dyDescent="0.25">
      <c r="A2139">
        <v>1589.8198110000001</v>
      </c>
      <c r="B2139" s="1">
        <f>DATE(2014,9,6) + TIME(19,40,31)</f>
        <v>41888.819803240738</v>
      </c>
      <c r="C2139">
        <v>80</v>
      </c>
      <c r="D2139">
        <v>79.974540709999999</v>
      </c>
      <c r="E2139">
        <v>50</v>
      </c>
      <c r="F2139">
        <v>48.014698029000002</v>
      </c>
      <c r="G2139">
        <v>1343.8370361</v>
      </c>
      <c r="H2139">
        <v>1340.1225586</v>
      </c>
      <c r="I2139">
        <v>1321.8410644999999</v>
      </c>
      <c r="J2139">
        <v>1317.5571289</v>
      </c>
      <c r="K2139">
        <v>2400</v>
      </c>
      <c r="L2139">
        <v>0</v>
      </c>
      <c r="M2139">
        <v>0</v>
      </c>
      <c r="N2139">
        <v>2400</v>
      </c>
    </row>
    <row r="2140" spans="1:14" x14ac:dyDescent="0.25">
      <c r="A2140">
        <v>1591.834163</v>
      </c>
      <c r="B2140" s="1">
        <f>DATE(2014,9,8) + TIME(20,1,11)</f>
        <v>41890.834155092591</v>
      </c>
      <c r="C2140">
        <v>80</v>
      </c>
      <c r="D2140">
        <v>79.974548339999998</v>
      </c>
      <c r="E2140">
        <v>50</v>
      </c>
      <c r="F2140">
        <v>48.142356872999997</v>
      </c>
      <c r="G2140">
        <v>1343.8259277</v>
      </c>
      <c r="H2140">
        <v>1340.1147461</v>
      </c>
      <c r="I2140">
        <v>1321.8220214999999</v>
      </c>
      <c r="J2140">
        <v>1317.5264893000001</v>
      </c>
      <c r="K2140">
        <v>2400</v>
      </c>
      <c r="L2140">
        <v>0</v>
      </c>
      <c r="M2140">
        <v>0</v>
      </c>
      <c r="N2140">
        <v>2400</v>
      </c>
    </row>
    <row r="2141" spans="1:14" x14ac:dyDescent="0.25">
      <c r="A2141">
        <v>1593.8675679999999</v>
      </c>
      <c r="B2141" s="1">
        <f>DATE(2014,9,10) + TIME(20,49,17)</f>
        <v>41892.86755787037</v>
      </c>
      <c r="C2141">
        <v>80</v>
      </c>
      <c r="D2141">
        <v>79.974548339999998</v>
      </c>
      <c r="E2141">
        <v>50</v>
      </c>
      <c r="F2141">
        <v>48.281166077000002</v>
      </c>
      <c r="G2141">
        <v>1343.8148193</v>
      </c>
      <c r="H2141">
        <v>1340.1069336</v>
      </c>
      <c r="I2141">
        <v>1321.8031006000001</v>
      </c>
      <c r="J2141">
        <v>1317.4962158000001</v>
      </c>
      <c r="K2141">
        <v>2400</v>
      </c>
      <c r="L2141">
        <v>0</v>
      </c>
      <c r="M2141">
        <v>0</v>
      </c>
      <c r="N2141">
        <v>2400</v>
      </c>
    </row>
    <row r="2142" spans="1:14" x14ac:dyDescent="0.25">
      <c r="A2142">
        <v>1595.9265399999999</v>
      </c>
      <c r="B2142" s="1">
        <f>DATE(2014,9,12) + TIME(22,14,13)</f>
        <v>41894.926539351851</v>
      </c>
      <c r="C2142">
        <v>80</v>
      </c>
      <c r="D2142">
        <v>79.974555968999994</v>
      </c>
      <c r="E2142">
        <v>50</v>
      </c>
      <c r="F2142">
        <v>48.430999755999999</v>
      </c>
      <c r="G2142">
        <v>1343.8038329999999</v>
      </c>
      <c r="H2142">
        <v>1340.098999</v>
      </c>
      <c r="I2142">
        <v>1321.7844238</v>
      </c>
      <c r="J2142">
        <v>1317.4664307</v>
      </c>
      <c r="K2142">
        <v>2400</v>
      </c>
      <c r="L2142">
        <v>0</v>
      </c>
      <c r="M2142">
        <v>0</v>
      </c>
      <c r="N2142">
        <v>2400</v>
      </c>
    </row>
    <row r="2143" spans="1:14" x14ac:dyDescent="0.25">
      <c r="A2143">
        <v>1598.0096570000001</v>
      </c>
      <c r="B2143" s="1">
        <f>DATE(2014,9,15) + TIME(0,13,54)</f>
        <v>41897.009652777779</v>
      </c>
      <c r="C2143">
        <v>80</v>
      </c>
      <c r="D2143">
        <v>79.974563599000007</v>
      </c>
      <c r="E2143">
        <v>50</v>
      </c>
      <c r="F2143">
        <v>48.592205047999997</v>
      </c>
      <c r="G2143">
        <v>1343.7927245999999</v>
      </c>
      <c r="H2143">
        <v>1340.0911865</v>
      </c>
      <c r="I2143">
        <v>1321.7659911999999</v>
      </c>
      <c r="J2143">
        <v>1317.4373779</v>
      </c>
      <c r="K2143">
        <v>2400</v>
      </c>
      <c r="L2143">
        <v>0</v>
      </c>
      <c r="M2143">
        <v>0</v>
      </c>
      <c r="N2143">
        <v>2400</v>
      </c>
    </row>
    <row r="2144" spans="1:14" x14ac:dyDescent="0.25">
      <c r="A2144">
        <v>1600.1067949999999</v>
      </c>
      <c r="B2144" s="1">
        <f>DATE(2014,9,17) + TIME(2,33,47)</f>
        <v>41899.106793981482</v>
      </c>
      <c r="C2144">
        <v>80</v>
      </c>
      <c r="D2144">
        <v>79.974563599000007</v>
      </c>
      <c r="E2144">
        <v>50</v>
      </c>
      <c r="F2144">
        <v>48.764720916999998</v>
      </c>
      <c r="G2144">
        <v>1343.7816161999999</v>
      </c>
      <c r="H2144">
        <v>1340.0832519999999</v>
      </c>
      <c r="I2144">
        <v>1321.7479248</v>
      </c>
      <c r="J2144">
        <v>1317.4090576000001</v>
      </c>
      <c r="K2144">
        <v>2400</v>
      </c>
      <c r="L2144">
        <v>0</v>
      </c>
      <c r="M2144">
        <v>0</v>
      </c>
      <c r="N2144">
        <v>2400</v>
      </c>
    </row>
    <row r="2145" spans="1:14" x14ac:dyDescent="0.25">
      <c r="A2145">
        <v>1602.226762</v>
      </c>
      <c r="B2145" s="1">
        <f>DATE(2014,9,19) + TIME(5,26,32)</f>
        <v>41901.226759259262</v>
      </c>
      <c r="C2145">
        <v>80</v>
      </c>
      <c r="D2145">
        <v>79.974571228000002</v>
      </c>
      <c r="E2145">
        <v>50</v>
      </c>
      <c r="F2145">
        <v>48.948326111</v>
      </c>
      <c r="G2145">
        <v>1343.7705077999999</v>
      </c>
      <c r="H2145">
        <v>1340.0753173999999</v>
      </c>
      <c r="I2145">
        <v>1321.7302245999999</v>
      </c>
      <c r="J2145">
        <v>1317.3815918</v>
      </c>
      <c r="K2145">
        <v>2400</v>
      </c>
      <c r="L2145">
        <v>0</v>
      </c>
      <c r="M2145">
        <v>0</v>
      </c>
      <c r="N2145">
        <v>2400</v>
      </c>
    </row>
    <row r="2146" spans="1:14" x14ac:dyDescent="0.25">
      <c r="A2146">
        <v>1604.381474</v>
      </c>
      <c r="B2146" s="1">
        <f>DATE(2014,9,21) + TIME(9,9,19)</f>
        <v>41903.381469907406</v>
      </c>
      <c r="C2146">
        <v>80</v>
      </c>
      <c r="D2146">
        <v>79.974578856999997</v>
      </c>
      <c r="E2146">
        <v>50</v>
      </c>
      <c r="F2146">
        <v>49.143554688000002</v>
      </c>
      <c r="G2146">
        <v>1343.7593993999999</v>
      </c>
      <c r="H2146">
        <v>1340.0673827999999</v>
      </c>
      <c r="I2146">
        <v>1321.7130127</v>
      </c>
      <c r="J2146">
        <v>1317.3552245999999</v>
      </c>
      <c r="K2146">
        <v>2400</v>
      </c>
      <c r="L2146">
        <v>0</v>
      </c>
      <c r="M2146">
        <v>0</v>
      </c>
      <c r="N2146">
        <v>2400</v>
      </c>
    </row>
    <row r="2147" spans="1:14" x14ac:dyDescent="0.25">
      <c r="A2147">
        <v>1606.5782670000001</v>
      </c>
      <c r="B2147" s="1">
        <f>DATE(2014,9,23) + TIME(13,52,42)</f>
        <v>41905.578263888892</v>
      </c>
      <c r="C2147">
        <v>80</v>
      </c>
      <c r="D2147">
        <v>79.974578856999997</v>
      </c>
      <c r="E2147">
        <v>50</v>
      </c>
      <c r="F2147">
        <v>49.35124588</v>
      </c>
      <c r="G2147">
        <v>1343.7482910000001</v>
      </c>
      <c r="H2147">
        <v>1340.0593262</v>
      </c>
      <c r="I2147">
        <v>1321.6960449000001</v>
      </c>
      <c r="J2147">
        <v>1317.3295897999999</v>
      </c>
      <c r="K2147">
        <v>2400</v>
      </c>
      <c r="L2147">
        <v>0</v>
      </c>
      <c r="M2147">
        <v>0</v>
      </c>
      <c r="N2147">
        <v>2400</v>
      </c>
    </row>
    <row r="2148" spans="1:14" x14ac:dyDescent="0.25">
      <c r="A2148">
        <v>1608.8243359999999</v>
      </c>
      <c r="B2148" s="1">
        <f>DATE(2014,9,25) + TIME(19,47,2)</f>
        <v>41907.824328703704</v>
      </c>
      <c r="C2148">
        <v>80</v>
      </c>
      <c r="D2148">
        <v>79.974586486999996</v>
      </c>
      <c r="E2148">
        <v>50</v>
      </c>
      <c r="F2148">
        <v>49.572128296000002</v>
      </c>
      <c r="G2148">
        <v>1343.7370605000001</v>
      </c>
      <c r="H2148">
        <v>1340.0512695</v>
      </c>
      <c r="I2148">
        <v>1321.6795654</v>
      </c>
      <c r="J2148">
        <v>1317.3048096</v>
      </c>
      <c r="K2148">
        <v>2400</v>
      </c>
      <c r="L2148">
        <v>0</v>
      </c>
      <c r="M2148">
        <v>0</v>
      </c>
      <c r="N2148">
        <v>2400</v>
      </c>
    </row>
    <row r="2149" spans="1:14" x14ac:dyDescent="0.25">
      <c r="A2149">
        <v>1611.1057350000001</v>
      </c>
      <c r="B2149" s="1">
        <f>DATE(2014,9,28) + TIME(2,32,15)</f>
        <v>41910.105729166666</v>
      </c>
      <c r="C2149">
        <v>80</v>
      </c>
      <c r="D2149">
        <v>79.974594116000006</v>
      </c>
      <c r="E2149">
        <v>50</v>
      </c>
      <c r="F2149">
        <v>49.806365966999998</v>
      </c>
      <c r="G2149">
        <v>1343.7257079999999</v>
      </c>
      <c r="H2149">
        <v>1340.0430908000001</v>
      </c>
      <c r="I2149">
        <v>1321.6633300999999</v>
      </c>
      <c r="J2149">
        <v>1317.2808838000001</v>
      </c>
      <c r="K2149">
        <v>2400</v>
      </c>
      <c r="L2149">
        <v>0</v>
      </c>
      <c r="M2149">
        <v>0</v>
      </c>
      <c r="N2149">
        <v>2400</v>
      </c>
    </row>
    <row r="2150" spans="1:14" x14ac:dyDescent="0.25">
      <c r="A2150">
        <v>1613.409386</v>
      </c>
      <c r="B2150" s="1">
        <f>DATE(2014,9,30) + TIME(9,49,30)</f>
        <v>41912.409375000003</v>
      </c>
      <c r="C2150">
        <v>80</v>
      </c>
      <c r="D2150">
        <v>79.974601746000005</v>
      </c>
      <c r="E2150">
        <v>50</v>
      </c>
      <c r="F2150">
        <v>50.052612304999997</v>
      </c>
      <c r="G2150">
        <v>1343.7143555</v>
      </c>
      <c r="H2150">
        <v>1340.0349120999999</v>
      </c>
      <c r="I2150">
        <v>1321.6477050999999</v>
      </c>
      <c r="J2150">
        <v>1317.2581786999999</v>
      </c>
      <c r="K2150">
        <v>2400</v>
      </c>
      <c r="L2150">
        <v>0</v>
      </c>
      <c r="M2150">
        <v>0</v>
      </c>
      <c r="N2150">
        <v>2400</v>
      </c>
    </row>
    <row r="2151" spans="1:14" x14ac:dyDescent="0.25">
      <c r="A2151">
        <v>1614</v>
      </c>
      <c r="B2151" s="1">
        <f>DATE(2014,10,1) + TIME(0,0,0)</f>
        <v>41913</v>
      </c>
      <c r="C2151">
        <v>80</v>
      </c>
      <c r="D2151">
        <v>79.974594116000006</v>
      </c>
      <c r="E2151">
        <v>50</v>
      </c>
      <c r="F2151">
        <v>50.205947876000003</v>
      </c>
      <c r="G2151">
        <v>1343.7053223</v>
      </c>
      <c r="H2151">
        <v>1340.0288086</v>
      </c>
      <c r="I2151">
        <v>1321.640625</v>
      </c>
      <c r="J2151">
        <v>1317.2412108999999</v>
      </c>
      <c r="K2151">
        <v>2400</v>
      </c>
      <c r="L2151">
        <v>0</v>
      </c>
      <c r="M2151">
        <v>0</v>
      </c>
      <c r="N2151">
        <v>2400</v>
      </c>
    </row>
    <row r="2152" spans="1:14" x14ac:dyDescent="0.25">
      <c r="A2152">
        <v>1616.33458</v>
      </c>
      <c r="B2152" s="1">
        <f>DATE(2014,10,3) + TIME(8,1,47)</f>
        <v>41915.33457175926</v>
      </c>
      <c r="C2152">
        <v>80</v>
      </c>
      <c r="D2152">
        <v>79.974609375</v>
      </c>
      <c r="E2152">
        <v>50</v>
      </c>
      <c r="F2152">
        <v>50.397045134999999</v>
      </c>
      <c r="G2152">
        <v>1343.6994629000001</v>
      </c>
      <c r="H2152">
        <v>1340.0240478999999</v>
      </c>
      <c r="I2152">
        <v>1321.6273193</v>
      </c>
      <c r="J2152">
        <v>1317.2308350000001</v>
      </c>
      <c r="K2152">
        <v>2400</v>
      </c>
      <c r="L2152">
        <v>0</v>
      </c>
      <c r="M2152">
        <v>0</v>
      </c>
      <c r="N2152">
        <v>2400</v>
      </c>
    </row>
    <row r="2153" spans="1:14" x14ac:dyDescent="0.25">
      <c r="A2153">
        <v>1618.714381</v>
      </c>
      <c r="B2153" s="1">
        <f>DATE(2014,10,5) + TIME(17,8,42)</f>
        <v>41917.714375000003</v>
      </c>
      <c r="C2153">
        <v>80</v>
      </c>
      <c r="D2153">
        <v>79.974617003999995</v>
      </c>
      <c r="E2153">
        <v>50</v>
      </c>
      <c r="F2153">
        <v>50.650444030999999</v>
      </c>
      <c r="G2153">
        <v>1343.6885986</v>
      </c>
      <c r="H2153">
        <v>1340.0161132999999</v>
      </c>
      <c r="I2153">
        <v>1321.6142577999999</v>
      </c>
      <c r="J2153">
        <v>1317.2115478999999</v>
      </c>
      <c r="K2153">
        <v>2400</v>
      </c>
      <c r="L2153">
        <v>0</v>
      </c>
      <c r="M2153">
        <v>0</v>
      </c>
      <c r="N2153">
        <v>2400</v>
      </c>
    </row>
    <row r="2154" spans="1:14" x14ac:dyDescent="0.25">
      <c r="A2154">
        <v>1621.101962</v>
      </c>
      <c r="B2154" s="1">
        <f>DATE(2014,10,8) + TIME(2,26,49)</f>
        <v>41920.101956018516</v>
      </c>
      <c r="C2154">
        <v>80</v>
      </c>
      <c r="D2154">
        <v>79.974624633999994</v>
      </c>
      <c r="E2154">
        <v>50</v>
      </c>
      <c r="F2154">
        <v>50.925659179999997</v>
      </c>
      <c r="G2154">
        <v>1343.6772461</v>
      </c>
      <c r="H2154">
        <v>1340.0078125</v>
      </c>
      <c r="I2154">
        <v>1321.6010742000001</v>
      </c>
      <c r="J2154">
        <v>1317.1933594</v>
      </c>
      <c r="K2154">
        <v>2400</v>
      </c>
      <c r="L2154">
        <v>0</v>
      </c>
      <c r="M2154">
        <v>0</v>
      </c>
      <c r="N2154">
        <v>2400</v>
      </c>
    </row>
    <row r="2155" spans="1:14" x14ac:dyDescent="0.25">
      <c r="A2155">
        <v>1623.509558</v>
      </c>
      <c r="B2155" s="1">
        <f>DATE(2014,10,10) + TIME(12,13,45)</f>
        <v>41922.509548611109</v>
      </c>
      <c r="C2155">
        <v>80</v>
      </c>
      <c r="D2155">
        <v>79.974639893000003</v>
      </c>
      <c r="E2155">
        <v>50</v>
      </c>
      <c r="F2155">
        <v>51.210205078000001</v>
      </c>
      <c r="G2155">
        <v>1343.6658935999999</v>
      </c>
      <c r="H2155">
        <v>1339.9996338000001</v>
      </c>
      <c r="I2155">
        <v>1321.5883789</v>
      </c>
      <c r="J2155">
        <v>1317.1765137</v>
      </c>
      <c r="K2155">
        <v>2400</v>
      </c>
      <c r="L2155">
        <v>0</v>
      </c>
      <c r="M2155">
        <v>0</v>
      </c>
      <c r="N2155">
        <v>2400</v>
      </c>
    </row>
    <row r="2156" spans="1:14" x14ac:dyDescent="0.25">
      <c r="A2156">
        <v>1625.952974</v>
      </c>
      <c r="B2156" s="1">
        <f>DATE(2014,10,12) + TIME(22,52,16)</f>
        <v>41924.952962962961</v>
      </c>
      <c r="C2156">
        <v>80</v>
      </c>
      <c r="D2156">
        <v>79.974647521999998</v>
      </c>
      <c r="E2156">
        <v>50</v>
      </c>
      <c r="F2156">
        <v>51.501743316999999</v>
      </c>
      <c r="G2156">
        <v>1343.6545410000001</v>
      </c>
      <c r="H2156">
        <v>1339.9913329999999</v>
      </c>
      <c r="I2156">
        <v>1321.5764160000001</v>
      </c>
      <c r="J2156">
        <v>1317.1612548999999</v>
      </c>
      <c r="K2156">
        <v>2400</v>
      </c>
      <c r="L2156">
        <v>0</v>
      </c>
      <c r="M2156">
        <v>0</v>
      </c>
      <c r="N2156">
        <v>2400</v>
      </c>
    </row>
    <row r="2157" spans="1:14" x14ac:dyDescent="0.25">
      <c r="A2157">
        <v>1628.4421110000001</v>
      </c>
      <c r="B2157" s="1">
        <f>DATE(2014,10,15) + TIME(10,36,38)</f>
        <v>41927.442106481481</v>
      </c>
      <c r="C2157">
        <v>80</v>
      </c>
      <c r="D2157">
        <v>79.974655150999993</v>
      </c>
      <c r="E2157">
        <v>50</v>
      </c>
      <c r="F2157">
        <v>51.799957274999997</v>
      </c>
      <c r="G2157">
        <v>1343.6431885</v>
      </c>
      <c r="H2157">
        <v>1339.9830322</v>
      </c>
      <c r="I2157">
        <v>1321.5650635</v>
      </c>
      <c r="J2157">
        <v>1317.1472168</v>
      </c>
      <c r="K2157">
        <v>2400</v>
      </c>
      <c r="L2157">
        <v>0</v>
      </c>
      <c r="M2157">
        <v>0</v>
      </c>
      <c r="N2157">
        <v>2400</v>
      </c>
    </row>
    <row r="2158" spans="1:14" x14ac:dyDescent="0.25">
      <c r="A2158">
        <v>1631.000867</v>
      </c>
      <c r="B2158" s="1">
        <f>DATE(2014,10,18) + TIME(0,1,14)</f>
        <v>41930.000856481478</v>
      </c>
      <c r="C2158">
        <v>80</v>
      </c>
      <c r="D2158">
        <v>79.974662781000006</v>
      </c>
      <c r="E2158">
        <v>50</v>
      </c>
      <c r="F2158">
        <v>52.105384827000002</v>
      </c>
      <c r="G2158">
        <v>1343.6317139</v>
      </c>
      <c r="H2158">
        <v>1339.9746094</v>
      </c>
      <c r="I2158">
        <v>1321.5545654</v>
      </c>
      <c r="J2158">
        <v>1317.1346435999999</v>
      </c>
      <c r="K2158">
        <v>2400</v>
      </c>
      <c r="L2158">
        <v>0</v>
      </c>
      <c r="M2158">
        <v>0</v>
      </c>
      <c r="N2158">
        <v>2400</v>
      </c>
    </row>
    <row r="2159" spans="1:14" x14ac:dyDescent="0.25">
      <c r="A2159">
        <v>1633.5980079999999</v>
      </c>
      <c r="B2159" s="1">
        <f>DATE(2014,10,20) + TIME(14,21,7)</f>
        <v>41932.597997685189</v>
      </c>
      <c r="C2159">
        <v>80</v>
      </c>
      <c r="D2159">
        <v>79.974670410000002</v>
      </c>
      <c r="E2159">
        <v>50</v>
      </c>
      <c r="F2159">
        <v>52.418010711999997</v>
      </c>
      <c r="G2159">
        <v>1343.6201172000001</v>
      </c>
      <c r="H2159">
        <v>1339.9661865</v>
      </c>
      <c r="I2159">
        <v>1321.5446777</v>
      </c>
      <c r="J2159">
        <v>1317.1235352000001</v>
      </c>
      <c r="K2159">
        <v>2400</v>
      </c>
      <c r="L2159">
        <v>0</v>
      </c>
      <c r="M2159">
        <v>0</v>
      </c>
      <c r="N2159">
        <v>2400</v>
      </c>
    </row>
    <row r="2160" spans="1:14" x14ac:dyDescent="0.25">
      <c r="A2160">
        <v>1636.221235</v>
      </c>
      <c r="B2160" s="1">
        <f>DATE(2014,10,23) + TIME(5,18,34)</f>
        <v>41935.221226851849</v>
      </c>
      <c r="C2160">
        <v>80</v>
      </c>
      <c r="D2160">
        <v>79.974685668999996</v>
      </c>
      <c r="E2160">
        <v>50</v>
      </c>
      <c r="F2160">
        <v>52.734481811999999</v>
      </c>
      <c r="G2160">
        <v>1343.6085204999999</v>
      </c>
      <c r="H2160">
        <v>1339.9576416</v>
      </c>
      <c r="I2160">
        <v>1321.5357666</v>
      </c>
      <c r="J2160">
        <v>1317.1138916</v>
      </c>
      <c r="K2160">
        <v>2400</v>
      </c>
      <c r="L2160">
        <v>0</v>
      </c>
      <c r="M2160">
        <v>0</v>
      </c>
      <c r="N2160">
        <v>2400</v>
      </c>
    </row>
    <row r="2161" spans="1:14" x14ac:dyDescent="0.25">
      <c r="A2161">
        <v>1638.8824709999999</v>
      </c>
      <c r="B2161" s="1">
        <f>DATE(2014,10,25) + TIME(21,10,45)</f>
        <v>41937.882465277777</v>
      </c>
      <c r="C2161">
        <v>80</v>
      </c>
      <c r="D2161">
        <v>79.974693298000005</v>
      </c>
      <c r="E2161">
        <v>50</v>
      </c>
      <c r="F2161">
        <v>53.052131653000004</v>
      </c>
      <c r="G2161">
        <v>1343.5969238</v>
      </c>
      <c r="H2161">
        <v>1339.9490966999999</v>
      </c>
      <c r="I2161">
        <v>1321.5277100000001</v>
      </c>
      <c r="J2161">
        <v>1317.1057129000001</v>
      </c>
      <c r="K2161">
        <v>2400</v>
      </c>
      <c r="L2161">
        <v>0</v>
      </c>
      <c r="M2161">
        <v>0</v>
      </c>
      <c r="N2161">
        <v>2400</v>
      </c>
    </row>
    <row r="2162" spans="1:14" x14ac:dyDescent="0.25">
      <c r="A2162">
        <v>1641.5924219999999</v>
      </c>
      <c r="B2162" s="1">
        <f>DATE(2014,10,28) + TIME(14,13,5)</f>
        <v>41940.592418981483</v>
      </c>
      <c r="C2162">
        <v>80</v>
      </c>
      <c r="D2162">
        <v>79.974708557</v>
      </c>
      <c r="E2162">
        <v>50</v>
      </c>
      <c r="F2162">
        <v>53.370937347000002</v>
      </c>
      <c r="G2162">
        <v>1343.5853271000001</v>
      </c>
      <c r="H2162">
        <v>1339.9406738</v>
      </c>
      <c r="I2162">
        <v>1321.5205077999999</v>
      </c>
      <c r="J2162">
        <v>1317.0991211</v>
      </c>
      <c r="K2162">
        <v>2400</v>
      </c>
      <c r="L2162">
        <v>0</v>
      </c>
      <c r="M2162">
        <v>0</v>
      </c>
      <c r="N2162">
        <v>2400</v>
      </c>
    </row>
    <row r="2163" spans="1:14" x14ac:dyDescent="0.25">
      <c r="A2163">
        <v>1644.353877</v>
      </c>
      <c r="B2163" s="1">
        <f>DATE(2014,10,31) + TIME(8,29,35)</f>
        <v>41943.353877314818</v>
      </c>
      <c r="C2163">
        <v>80</v>
      </c>
      <c r="D2163">
        <v>79.974716186999999</v>
      </c>
      <c r="E2163">
        <v>50</v>
      </c>
      <c r="F2163">
        <v>53.690563202</v>
      </c>
      <c r="G2163">
        <v>1343.5737305</v>
      </c>
      <c r="H2163">
        <v>1339.9321289</v>
      </c>
      <c r="I2163">
        <v>1321.5142822</v>
      </c>
      <c r="J2163">
        <v>1317.0941161999999</v>
      </c>
      <c r="K2163">
        <v>2400</v>
      </c>
      <c r="L2163">
        <v>0</v>
      </c>
      <c r="M2163">
        <v>0</v>
      </c>
      <c r="N2163">
        <v>2400</v>
      </c>
    </row>
    <row r="2164" spans="1:14" x14ac:dyDescent="0.25">
      <c r="A2164">
        <v>1645</v>
      </c>
      <c r="B2164" s="1">
        <f>DATE(2014,11,1) + TIME(0,0,0)</f>
        <v>41944</v>
      </c>
      <c r="C2164">
        <v>80</v>
      </c>
      <c r="D2164">
        <v>79.974700928000004</v>
      </c>
      <c r="E2164">
        <v>50</v>
      </c>
      <c r="F2164">
        <v>53.887142181000002</v>
      </c>
      <c r="G2164">
        <v>1343.5646973</v>
      </c>
      <c r="H2164">
        <v>1339.9259033000001</v>
      </c>
      <c r="I2164">
        <v>1321.5164795000001</v>
      </c>
      <c r="J2164">
        <v>1317.0932617000001</v>
      </c>
      <c r="K2164">
        <v>2400</v>
      </c>
      <c r="L2164">
        <v>0</v>
      </c>
      <c r="M2164">
        <v>0</v>
      </c>
      <c r="N2164">
        <v>2400</v>
      </c>
    </row>
    <row r="2165" spans="1:14" x14ac:dyDescent="0.25">
      <c r="A2165">
        <v>1645.0000010000001</v>
      </c>
      <c r="B2165" s="1">
        <f>DATE(2014,11,1) + TIME(0,0,0)</f>
        <v>41944</v>
      </c>
      <c r="C2165">
        <v>80</v>
      </c>
      <c r="D2165">
        <v>79.974670410000002</v>
      </c>
      <c r="E2165">
        <v>50</v>
      </c>
      <c r="F2165">
        <v>53.887157440000003</v>
      </c>
      <c r="G2165">
        <v>1339.9158935999999</v>
      </c>
      <c r="H2165">
        <v>1338.4907227000001</v>
      </c>
      <c r="I2165">
        <v>1326.0944824000001</v>
      </c>
      <c r="J2165">
        <v>1321.5288086</v>
      </c>
      <c r="K2165">
        <v>0</v>
      </c>
      <c r="L2165">
        <v>2400</v>
      </c>
      <c r="M2165">
        <v>2400</v>
      </c>
      <c r="N2165">
        <v>0</v>
      </c>
    </row>
    <row r="2166" spans="1:14" x14ac:dyDescent="0.25">
      <c r="A2166">
        <v>1645.000004</v>
      </c>
      <c r="B2166" s="1">
        <f>DATE(2014,11,1) + TIME(0,0,0)</f>
        <v>41944</v>
      </c>
      <c r="C2166">
        <v>80</v>
      </c>
      <c r="D2166">
        <v>79.974578856999997</v>
      </c>
      <c r="E2166">
        <v>50</v>
      </c>
      <c r="F2166">
        <v>53.887203217</v>
      </c>
      <c r="G2166">
        <v>1339.8863524999999</v>
      </c>
      <c r="H2166">
        <v>1338.4611815999999</v>
      </c>
      <c r="I2166">
        <v>1326.1246338000001</v>
      </c>
      <c r="J2166">
        <v>1321.5653076000001</v>
      </c>
      <c r="K2166">
        <v>0</v>
      </c>
      <c r="L2166">
        <v>2400</v>
      </c>
      <c r="M2166">
        <v>2400</v>
      </c>
      <c r="N2166">
        <v>0</v>
      </c>
    </row>
    <row r="2167" spans="1:14" x14ac:dyDescent="0.25">
      <c r="A2167">
        <v>1645.0000130000001</v>
      </c>
      <c r="B2167" s="1">
        <f>DATE(2014,11,1) + TIME(0,0,1)</f>
        <v>41944.000011574077</v>
      </c>
      <c r="C2167">
        <v>80</v>
      </c>
      <c r="D2167">
        <v>79.974296570000007</v>
      </c>
      <c r="E2167">
        <v>50</v>
      </c>
      <c r="F2167">
        <v>53.88734436</v>
      </c>
      <c r="G2167">
        <v>1339.8001709</v>
      </c>
      <c r="H2167">
        <v>1338.375</v>
      </c>
      <c r="I2167">
        <v>1326.2133789</v>
      </c>
      <c r="J2167">
        <v>1321.6721190999999</v>
      </c>
      <c r="K2167">
        <v>0</v>
      </c>
      <c r="L2167">
        <v>2400</v>
      </c>
      <c r="M2167">
        <v>2400</v>
      </c>
      <c r="N2167">
        <v>0</v>
      </c>
    </row>
    <row r="2168" spans="1:14" x14ac:dyDescent="0.25">
      <c r="A2168">
        <v>1645.0000399999999</v>
      </c>
      <c r="B2168" s="1">
        <f>DATE(2014,11,1) + TIME(0,0,3)</f>
        <v>41944.000034722223</v>
      </c>
      <c r="C2168">
        <v>80</v>
      </c>
      <c r="D2168">
        <v>79.973541260000005</v>
      </c>
      <c r="E2168">
        <v>50</v>
      </c>
      <c r="F2168">
        <v>53.887725830000001</v>
      </c>
      <c r="G2168">
        <v>1339.5640868999999</v>
      </c>
      <c r="H2168">
        <v>1338.1387939000001</v>
      </c>
      <c r="I2168">
        <v>1326.465332</v>
      </c>
      <c r="J2168">
        <v>1321.9715576000001</v>
      </c>
      <c r="K2168">
        <v>0</v>
      </c>
      <c r="L2168">
        <v>2400</v>
      </c>
      <c r="M2168">
        <v>2400</v>
      </c>
      <c r="N2168">
        <v>0</v>
      </c>
    </row>
    <row r="2169" spans="1:14" x14ac:dyDescent="0.25">
      <c r="A2169">
        <v>1645.000121</v>
      </c>
      <c r="B2169" s="1">
        <f>DATE(2014,11,1) + TIME(0,0,10)</f>
        <v>41944.000115740739</v>
      </c>
      <c r="C2169">
        <v>80</v>
      </c>
      <c r="D2169">
        <v>79.971725464000002</v>
      </c>
      <c r="E2169">
        <v>50</v>
      </c>
      <c r="F2169">
        <v>53.888633728000002</v>
      </c>
      <c r="G2169">
        <v>1339.0019531</v>
      </c>
      <c r="H2169">
        <v>1337.5766602000001</v>
      </c>
      <c r="I2169">
        <v>1327.1174315999999</v>
      </c>
      <c r="J2169">
        <v>1322.7215576000001</v>
      </c>
      <c r="K2169">
        <v>0</v>
      </c>
      <c r="L2169">
        <v>2400</v>
      </c>
      <c r="M2169">
        <v>2400</v>
      </c>
      <c r="N2169">
        <v>0</v>
      </c>
    </row>
    <row r="2170" spans="1:14" x14ac:dyDescent="0.25">
      <c r="A2170">
        <v>1645.000364</v>
      </c>
      <c r="B2170" s="1">
        <f>DATE(2014,11,1) + TIME(0,0,31)</f>
        <v>41944.000358796293</v>
      </c>
      <c r="C2170">
        <v>80</v>
      </c>
      <c r="D2170">
        <v>79.968414307000003</v>
      </c>
      <c r="E2170">
        <v>50</v>
      </c>
      <c r="F2170">
        <v>53.890007019000002</v>
      </c>
      <c r="G2170">
        <v>1337.9747314000001</v>
      </c>
      <c r="H2170">
        <v>1336.5488281</v>
      </c>
      <c r="I2170">
        <v>1328.5001221</v>
      </c>
      <c r="J2170">
        <v>1324.2188721</v>
      </c>
      <c r="K2170">
        <v>0</v>
      </c>
      <c r="L2170">
        <v>2400</v>
      </c>
      <c r="M2170">
        <v>2400</v>
      </c>
      <c r="N2170">
        <v>0</v>
      </c>
    </row>
    <row r="2171" spans="1:14" x14ac:dyDescent="0.25">
      <c r="A2171">
        <v>1645.0010930000001</v>
      </c>
      <c r="B2171" s="1">
        <f>DATE(2014,11,1) + TIME(0,1,34)</f>
        <v>41944.001087962963</v>
      </c>
      <c r="C2171">
        <v>80</v>
      </c>
      <c r="D2171">
        <v>79.963996886999993</v>
      </c>
      <c r="E2171">
        <v>50</v>
      </c>
      <c r="F2171">
        <v>53.889678955000001</v>
      </c>
      <c r="G2171">
        <v>1336.6171875</v>
      </c>
      <c r="H2171">
        <v>1335.1905518000001</v>
      </c>
      <c r="I2171">
        <v>1330.6563721</v>
      </c>
      <c r="J2171">
        <v>1326.4036865</v>
      </c>
      <c r="K2171">
        <v>0</v>
      </c>
      <c r="L2171">
        <v>2400</v>
      </c>
      <c r="M2171">
        <v>2400</v>
      </c>
      <c r="N2171">
        <v>0</v>
      </c>
    </row>
    <row r="2172" spans="1:14" x14ac:dyDescent="0.25">
      <c r="A2172">
        <v>1645.0032799999999</v>
      </c>
      <c r="B2172" s="1">
        <f>DATE(2014,11,1) + TIME(0,4,43)</f>
        <v>41944.003275462965</v>
      </c>
      <c r="C2172">
        <v>80</v>
      </c>
      <c r="D2172">
        <v>79.959167480000005</v>
      </c>
      <c r="E2172">
        <v>50</v>
      </c>
      <c r="F2172">
        <v>53.881362914999997</v>
      </c>
      <c r="G2172">
        <v>1335.1711425999999</v>
      </c>
      <c r="H2172">
        <v>1333.7412108999999</v>
      </c>
      <c r="I2172">
        <v>1333.1879882999999</v>
      </c>
      <c r="J2172">
        <v>1328.8989257999999</v>
      </c>
      <c r="K2172">
        <v>0</v>
      </c>
      <c r="L2172">
        <v>2400</v>
      </c>
      <c r="M2172">
        <v>2400</v>
      </c>
      <c r="N2172">
        <v>0</v>
      </c>
    </row>
    <row r="2173" spans="1:14" x14ac:dyDescent="0.25">
      <c r="A2173">
        <v>1645.0098410000001</v>
      </c>
      <c r="B2173" s="1">
        <f>DATE(2014,11,1) + TIME(0,14,10)</f>
        <v>41944.009837962964</v>
      </c>
      <c r="C2173">
        <v>80</v>
      </c>
      <c r="D2173">
        <v>79.953872681000007</v>
      </c>
      <c r="E2173">
        <v>50</v>
      </c>
      <c r="F2173">
        <v>53.847721100000001</v>
      </c>
      <c r="G2173">
        <v>1333.7048339999999</v>
      </c>
      <c r="H2173">
        <v>1332.2586670000001</v>
      </c>
      <c r="I2173">
        <v>1335.7927245999999</v>
      </c>
      <c r="J2173">
        <v>1331.4694824000001</v>
      </c>
      <c r="K2173">
        <v>0</v>
      </c>
      <c r="L2173">
        <v>2400</v>
      </c>
      <c r="M2173">
        <v>2400</v>
      </c>
      <c r="N2173">
        <v>0</v>
      </c>
    </row>
    <row r="2174" spans="1:14" x14ac:dyDescent="0.25">
      <c r="A2174">
        <v>1645.029524</v>
      </c>
      <c r="B2174" s="1">
        <f>DATE(2014,11,1) + TIME(0,42,30)</f>
        <v>41944.029513888891</v>
      </c>
      <c r="C2174">
        <v>80</v>
      </c>
      <c r="D2174">
        <v>79.947174071999996</v>
      </c>
      <c r="E2174">
        <v>50</v>
      </c>
      <c r="F2174">
        <v>53.740238189999999</v>
      </c>
      <c r="G2174">
        <v>1332.1790771000001</v>
      </c>
      <c r="H2174">
        <v>1330.6773682</v>
      </c>
      <c r="I2174">
        <v>1338.4219971</v>
      </c>
      <c r="J2174">
        <v>1334.0650635</v>
      </c>
      <c r="K2174">
        <v>0</v>
      </c>
      <c r="L2174">
        <v>2400</v>
      </c>
      <c r="M2174">
        <v>2400</v>
      </c>
      <c r="N2174">
        <v>0</v>
      </c>
    </row>
    <row r="2175" spans="1:14" x14ac:dyDescent="0.25">
      <c r="A2175">
        <v>1645.0786149999999</v>
      </c>
      <c r="B2175" s="1">
        <f>DATE(2014,11,1) + TIME(1,53,12)</f>
        <v>41944.078611111108</v>
      </c>
      <c r="C2175">
        <v>80</v>
      </c>
      <c r="D2175">
        <v>79.938003539999997</v>
      </c>
      <c r="E2175">
        <v>50</v>
      </c>
      <c r="F2175">
        <v>53.482509612999998</v>
      </c>
      <c r="G2175">
        <v>1330.7335204999999</v>
      </c>
      <c r="H2175">
        <v>1329.1219481999999</v>
      </c>
      <c r="I2175">
        <v>1340.7724608999999</v>
      </c>
      <c r="J2175">
        <v>1336.3708495999999</v>
      </c>
      <c r="K2175">
        <v>0</v>
      </c>
      <c r="L2175">
        <v>2400</v>
      </c>
      <c r="M2175">
        <v>2400</v>
      </c>
      <c r="N2175">
        <v>0</v>
      </c>
    </row>
    <row r="2176" spans="1:14" x14ac:dyDescent="0.25">
      <c r="A2176">
        <v>1645.1303780000001</v>
      </c>
      <c r="B2176" s="1">
        <f>DATE(2014,11,1) + TIME(3,7,44)</f>
        <v>41944.130370370367</v>
      </c>
      <c r="C2176">
        <v>80</v>
      </c>
      <c r="D2176">
        <v>79.930458068999997</v>
      </c>
      <c r="E2176">
        <v>50</v>
      </c>
      <c r="F2176">
        <v>53.227981567</v>
      </c>
      <c r="G2176">
        <v>1329.921875</v>
      </c>
      <c r="H2176">
        <v>1328.2281493999999</v>
      </c>
      <c r="I2176">
        <v>1342.0324707</v>
      </c>
      <c r="J2176">
        <v>1337.5972899999999</v>
      </c>
      <c r="K2176">
        <v>0</v>
      </c>
      <c r="L2176">
        <v>2400</v>
      </c>
      <c r="M2176">
        <v>2400</v>
      </c>
      <c r="N2176">
        <v>0</v>
      </c>
    </row>
    <row r="2177" spans="1:14" x14ac:dyDescent="0.25">
      <c r="A2177">
        <v>1645.184857</v>
      </c>
      <c r="B2177" s="1">
        <f>DATE(2014,11,1) + TIME(4,26,11)</f>
        <v>41944.184849537036</v>
      </c>
      <c r="C2177">
        <v>80</v>
      </c>
      <c r="D2177">
        <v>79.923484802000004</v>
      </c>
      <c r="E2177">
        <v>50</v>
      </c>
      <c r="F2177">
        <v>52.979614257999998</v>
      </c>
      <c r="G2177">
        <v>1329.3909911999999</v>
      </c>
      <c r="H2177">
        <v>1327.6383057</v>
      </c>
      <c r="I2177">
        <v>1342.8236084</v>
      </c>
      <c r="J2177">
        <v>1338.3641356999999</v>
      </c>
      <c r="K2177">
        <v>0</v>
      </c>
      <c r="L2177">
        <v>2400</v>
      </c>
      <c r="M2177">
        <v>2400</v>
      </c>
      <c r="N2177">
        <v>0</v>
      </c>
    </row>
    <row r="2178" spans="1:14" x14ac:dyDescent="0.25">
      <c r="A2178">
        <v>1645.242129</v>
      </c>
      <c r="B2178" s="1">
        <f>DATE(2014,11,1) + TIME(5,48,39)</f>
        <v>41944.242118055554</v>
      </c>
      <c r="C2178">
        <v>80</v>
      </c>
      <c r="D2178">
        <v>79.916709900000001</v>
      </c>
      <c r="E2178">
        <v>50</v>
      </c>
      <c r="F2178">
        <v>52.739166259999998</v>
      </c>
      <c r="G2178">
        <v>1329.0139160000001</v>
      </c>
      <c r="H2178">
        <v>1327.2196045000001</v>
      </c>
      <c r="I2178">
        <v>1343.3640137</v>
      </c>
      <c r="J2178">
        <v>1338.8869629000001</v>
      </c>
      <c r="K2178">
        <v>0</v>
      </c>
      <c r="L2178">
        <v>2400</v>
      </c>
      <c r="M2178">
        <v>2400</v>
      </c>
      <c r="N2178">
        <v>0</v>
      </c>
    </row>
    <row r="2179" spans="1:14" x14ac:dyDescent="0.25">
      <c r="A2179">
        <v>1645.3023459999999</v>
      </c>
      <c r="B2179" s="1">
        <f>DATE(2014,11,1) + TIME(7,15,22)</f>
        <v>41944.302337962959</v>
      </c>
      <c r="C2179">
        <v>80</v>
      </c>
      <c r="D2179">
        <v>79.909957886000001</v>
      </c>
      <c r="E2179">
        <v>50</v>
      </c>
      <c r="F2179">
        <v>52.507644653</v>
      </c>
      <c r="G2179">
        <v>1328.7324219</v>
      </c>
      <c r="H2179">
        <v>1326.9083252</v>
      </c>
      <c r="I2179">
        <v>1343.7523193</v>
      </c>
      <c r="J2179">
        <v>1339.2619629000001</v>
      </c>
      <c r="K2179">
        <v>0</v>
      </c>
      <c r="L2179">
        <v>2400</v>
      </c>
      <c r="M2179">
        <v>2400</v>
      </c>
      <c r="N2179">
        <v>0</v>
      </c>
    </row>
    <row r="2180" spans="1:14" x14ac:dyDescent="0.25">
      <c r="A2180">
        <v>1645.3657109999999</v>
      </c>
      <c r="B2180" s="1">
        <f>DATE(2014,11,1) + TIME(8,46,37)</f>
        <v>41944.365706018521</v>
      </c>
      <c r="C2180">
        <v>80</v>
      </c>
      <c r="D2180">
        <v>79.903129578000005</v>
      </c>
      <c r="E2180">
        <v>50</v>
      </c>
      <c r="F2180">
        <v>52.285675048999998</v>
      </c>
      <c r="G2180">
        <v>1328.5152588000001</v>
      </c>
      <c r="H2180">
        <v>1326.6695557</v>
      </c>
      <c r="I2180">
        <v>1344.0400391000001</v>
      </c>
      <c r="J2180">
        <v>1339.5396728999999</v>
      </c>
      <c r="K2180">
        <v>0</v>
      </c>
      <c r="L2180">
        <v>2400</v>
      </c>
      <c r="M2180">
        <v>2400</v>
      </c>
      <c r="N2180">
        <v>0</v>
      </c>
    </row>
    <row r="2181" spans="1:14" x14ac:dyDescent="0.25">
      <c r="A2181">
        <v>1645.4325120000001</v>
      </c>
      <c r="B2181" s="1">
        <f>DATE(2014,11,1) + TIME(10,22,49)</f>
        <v>41944.432511574072</v>
      </c>
      <c r="C2181">
        <v>80</v>
      </c>
      <c r="D2181">
        <v>79.896163939999994</v>
      </c>
      <c r="E2181">
        <v>50</v>
      </c>
      <c r="F2181">
        <v>52.073566436999997</v>
      </c>
      <c r="G2181">
        <v>1328.3442382999999</v>
      </c>
      <c r="H2181">
        <v>1326.4825439000001</v>
      </c>
      <c r="I2181">
        <v>1344.2574463000001</v>
      </c>
      <c r="J2181">
        <v>1339.7492675999999</v>
      </c>
      <c r="K2181">
        <v>0</v>
      </c>
      <c r="L2181">
        <v>2400</v>
      </c>
      <c r="M2181">
        <v>2400</v>
      </c>
      <c r="N2181">
        <v>0</v>
      </c>
    </row>
    <row r="2182" spans="1:14" x14ac:dyDescent="0.25">
      <c r="A2182">
        <v>1645.5030899999999</v>
      </c>
      <c r="B2182" s="1">
        <f>DATE(2014,11,1) + TIME(12,4,26)</f>
        <v>41944.503078703703</v>
      </c>
      <c r="C2182">
        <v>80</v>
      </c>
      <c r="D2182">
        <v>79.889007567999997</v>
      </c>
      <c r="E2182">
        <v>50</v>
      </c>
      <c r="F2182">
        <v>51.871517181000002</v>
      </c>
      <c r="G2182">
        <v>1328.2076416</v>
      </c>
      <c r="H2182">
        <v>1326.3338623</v>
      </c>
      <c r="I2182">
        <v>1344.4230957</v>
      </c>
      <c r="J2182">
        <v>1339.9088135</v>
      </c>
      <c r="K2182">
        <v>0</v>
      </c>
      <c r="L2182">
        <v>2400</v>
      </c>
      <c r="M2182">
        <v>2400</v>
      </c>
      <c r="N2182">
        <v>0</v>
      </c>
    </row>
    <row r="2183" spans="1:14" x14ac:dyDescent="0.25">
      <c r="A2183">
        <v>1645.5778519999999</v>
      </c>
      <c r="B2183" s="1">
        <f>DATE(2014,11,1) + TIME(13,52,6)</f>
        <v>41944.577847222223</v>
      </c>
      <c r="C2183">
        <v>80</v>
      </c>
      <c r="D2183">
        <v>79.881607056000007</v>
      </c>
      <c r="E2183">
        <v>50</v>
      </c>
      <c r="F2183">
        <v>51.679645538000003</v>
      </c>
      <c r="G2183">
        <v>1328.0980225000001</v>
      </c>
      <c r="H2183">
        <v>1326.2149658000001</v>
      </c>
      <c r="I2183">
        <v>1344.5495605000001</v>
      </c>
      <c r="J2183">
        <v>1340.0303954999999</v>
      </c>
      <c r="K2183">
        <v>0</v>
      </c>
      <c r="L2183">
        <v>2400</v>
      </c>
      <c r="M2183">
        <v>2400</v>
      </c>
      <c r="N2183">
        <v>0</v>
      </c>
    </row>
    <row r="2184" spans="1:14" x14ac:dyDescent="0.25">
      <c r="A2184">
        <v>1645.6572920000001</v>
      </c>
      <c r="B2184" s="1">
        <f>DATE(2014,11,1) + TIME(15,46,29)</f>
        <v>41944.657280092593</v>
      </c>
      <c r="C2184">
        <v>80</v>
      </c>
      <c r="D2184">
        <v>79.873908997000001</v>
      </c>
      <c r="E2184">
        <v>50</v>
      </c>
      <c r="F2184">
        <v>51.498012543000002</v>
      </c>
      <c r="G2184">
        <v>1328.0097656</v>
      </c>
      <c r="H2184">
        <v>1326.1195068</v>
      </c>
      <c r="I2184">
        <v>1344.6451416</v>
      </c>
      <c r="J2184">
        <v>1340.1224365</v>
      </c>
      <c r="K2184">
        <v>0</v>
      </c>
      <c r="L2184">
        <v>2400</v>
      </c>
      <c r="M2184">
        <v>2400</v>
      </c>
      <c r="N2184">
        <v>0</v>
      </c>
    </row>
    <row r="2185" spans="1:14" x14ac:dyDescent="0.25">
      <c r="A2185">
        <v>1645.741996</v>
      </c>
      <c r="B2185" s="1">
        <f>DATE(2014,11,1) + TIME(17,48,28)</f>
        <v>41944.741990740738</v>
      </c>
      <c r="C2185">
        <v>80</v>
      </c>
      <c r="D2185">
        <v>79.865867614999999</v>
      </c>
      <c r="E2185">
        <v>50</v>
      </c>
      <c r="F2185">
        <v>51.326667786000002</v>
      </c>
      <c r="G2185">
        <v>1327.9388428</v>
      </c>
      <c r="H2185">
        <v>1326.0428466999999</v>
      </c>
      <c r="I2185">
        <v>1344.7163086</v>
      </c>
      <c r="J2185">
        <v>1340.190918</v>
      </c>
      <c r="K2185">
        <v>0</v>
      </c>
      <c r="L2185">
        <v>2400</v>
      </c>
      <c r="M2185">
        <v>2400</v>
      </c>
      <c r="N2185">
        <v>0</v>
      </c>
    </row>
    <row r="2186" spans="1:14" x14ac:dyDescent="0.25">
      <c r="A2186">
        <v>1645.832678</v>
      </c>
      <c r="B2186" s="1">
        <f>DATE(2014,11,1) + TIME(19,59,3)</f>
        <v>41944.832673611112</v>
      </c>
      <c r="C2186">
        <v>80</v>
      </c>
      <c r="D2186">
        <v>79.857429503999995</v>
      </c>
      <c r="E2186">
        <v>50</v>
      </c>
      <c r="F2186">
        <v>51.165622710999997</v>
      </c>
      <c r="G2186">
        <v>1327.8819579999999</v>
      </c>
      <c r="H2186">
        <v>1325.9815673999999</v>
      </c>
      <c r="I2186">
        <v>1344.7678223</v>
      </c>
      <c r="J2186">
        <v>1340.2407227000001</v>
      </c>
      <c r="K2186">
        <v>0</v>
      </c>
      <c r="L2186">
        <v>2400</v>
      </c>
      <c r="M2186">
        <v>2400</v>
      </c>
      <c r="N2186">
        <v>0</v>
      </c>
    </row>
    <row r="2187" spans="1:14" x14ac:dyDescent="0.25">
      <c r="A2187">
        <v>1645.9302009999999</v>
      </c>
      <c r="B2187" s="1">
        <f>DATE(2014,11,1) + TIME(22,19,29)</f>
        <v>41944.930196759262</v>
      </c>
      <c r="C2187">
        <v>80</v>
      </c>
      <c r="D2187">
        <v>79.848526000999996</v>
      </c>
      <c r="E2187">
        <v>50</v>
      </c>
      <c r="F2187">
        <v>51.014896393000001</v>
      </c>
      <c r="G2187">
        <v>1327.8366699000001</v>
      </c>
      <c r="H2187">
        <v>1325.9327393000001</v>
      </c>
      <c r="I2187">
        <v>1344.8033447</v>
      </c>
      <c r="J2187">
        <v>1340.2755127</v>
      </c>
      <c r="K2187">
        <v>0</v>
      </c>
      <c r="L2187">
        <v>2400</v>
      </c>
      <c r="M2187">
        <v>2400</v>
      </c>
      <c r="N2187">
        <v>0</v>
      </c>
    </row>
    <row r="2188" spans="1:14" x14ac:dyDescent="0.25">
      <c r="A2188">
        <v>1646.035635</v>
      </c>
      <c r="B2188" s="1">
        <f>DATE(2014,11,2) + TIME(0,51,18)</f>
        <v>41945.035624999997</v>
      </c>
      <c r="C2188">
        <v>80</v>
      </c>
      <c r="D2188">
        <v>79.839073181000003</v>
      </c>
      <c r="E2188">
        <v>50</v>
      </c>
      <c r="F2188">
        <v>50.874492644999997</v>
      </c>
      <c r="G2188">
        <v>1327.8009033000001</v>
      </c>
      <c r="H2188">
        <v>1325.8941649999999</v>
      </c>
      <c r="I2188">
        <v>1344.8259277</v>
      </c>
      <c r="J2188">
        <v>1340.2980957</v>
      </c>
      <c r="K2188">
        <v>0</v>
      </c>
      <c r="L2188">
        <v>2400</v>
      </c>
      <c r="M2188">
        <v>2400</v>
      </c>
      <c r="N2188">
        <v>0</v>
      </c>
    </row>
    <row r="2189" spans="1:14" x14ac:dyDescent="0.25">
      <c r="A2189">
        <v>1646.1503110000001</v>
      </c>
      <c r="B2189" s="1">
        <f>DATE(2014,11,2) + TIME(3,36,26)</f>
        <v>41945.150300925925</v>
      </c>
      <c r="C2189">
        <v>80</v>
      </c>
      <c r="D2189">
        <v>79.828971863000007</v>
      </c>
      <c r="E2189">
        <v>50</v>
      </c>
      <c r="F2189">
        <v>50.744422913000001</v>
      </c>
      <c r="G2189">
        <v>1327.7727050999999</v>
      </c>
      <c r="H2189">
        <v>1325.8638916</v>
      </c>
      <c r="I2189">
        <v>1344.8382568</v>
      </c>
      <c r="J2189">
        <v>1340.3112793</v>
      </c>
      <c r="K2189">
        <v>0</v>
      </c>
      <c r="L2189">
        <v>2400</v>
      </c>
      <c r="M2189">
        <v>2400</v>
      </c>
      <c r="N2189">
        <v>0</v>
      </c>
    </row>
    <row r="2190" spans="1:14" x14ac:dyDescent="0.25">
      <c r="A2190">
        <v>1646.2759080000001</v>
      </c>
      <c r="B2190" s="1">
        <f>DATE(2014,11,2) + TIME(6,37,18)</f>
        <v>41945.275902777779</v>
      </c>
      <c r="C2190">
        <v>80</v>
      </c>
      <c r="D2190">
        <v>79.818122864000003</v>
      </c>
      <c r="E2190">
        <v>50</v>
      </c>
      <c r="F2190">
        <v>50.624698639000002</v>
      </c>
      <c r="G2190">
        <v>1327.7507324000001</v>
      </c>
      <c r="H2190">
        <v>1325.840332</v>
      </c>
      <c r="I2190">
        <v>1344.8421631000001</v>
      </c>
      <c r="J2190">
        <v>1340.3167725000001</v>
      </c>
      <c r="K2190">
        <v>0</v>
      </c>
      <c r="L2190">
        <v>2400</v>
      </c>
      <c r="M2190">
        <v>2400</v>
      </c>
      <c r="N2190">
        <v>0</v>
      </c>
    </row>
    <row r="2191" spans="1:14" x14ac:dyDescent="0.25">
      <c r="A2191">
        <v>1646.41461</v>
      </c>
      <c r="B2191" s="1">
        <f>DATE(2014,11,2) + TIME(9,57,2)</f>
        <v>41945.414606481485</v>
      </c>
      <c r="C2191">
        <v>80</v>
      </c>
      <c r="D2191">
        <v>79.806365967000005</v>
      </c>
      <c r="E2191">
        <v>50</v>
      </c>
      <c r="F2191">
        <v>50.515338898000003</v>
      </c>
      <c r="G2191">
        <v>1327.7336425999999</v>
      </c>
      <c r="H2191">
        <v>1325.8217772999999</v>
      </c>
      <c r="I2191">
        <v>1344.8397216999999</v>
      </c>
      <c r="J2191">
        <v>1340.3165283000001</v>
      </c>
      <c r="K2191">
        <v>0</v>
      </c>
      <c r="L2191">
        <v>2400</v>
      </c>
      <c r="M2191">
        <v>2400</v>
      </c>
      <c r="N2191">
        <v>0</v>
      </c>
    </row>
    <row r="2192" spans="1:14" x14ac:dyDescent="0.25">
      <c r="A2192">
        <v>1646.5693269999999</v>
      </c>
      <c r="B2192" s="1">
        <f>DATE(2014,11,2) + TIME(13,39,49)</f>
        <v>41945.56931712963</v>
      </c>
      <c r="C2192">
        <v>80</v>
      </c>
      <c r="D2192">
        <v>79.793510436999995</v>
      </c>
      <c r="E2192">
        <v>50</v>
      </c>
      <c r="F2192">
        <v>50.416332245</v>
      </c>
      <c r="G2192">
        <v>1327.7202147999999</v>
      </c>
      <c r="H2192">
        <v>1325.8073730000001</v>
      </c>
      <c r="I2192">
        <v>1344.8321533000001</v>
      </c>
      <c r="J2192">
        <v>1340.3118896000001</v>
      </c>
      <c r="K2192">
        <v>0</v>
      </c>
      <c r="L2192">
        <v>2400</v>
      </c>
      <c r="M2192">
        <v>2400</v>
      </c>
      <c r="N2192">
        <v>0</v>
      </c>
    </row>
    <row r="2193" spans="1:14" x14ac:dyDescent="0.25">
      <c r="A2193">
        <v>1646.7439939999999</v>
      </c>
      <c r="B2193" s="1">
        <f>DATE(2014,11,2) + TIME(17,51,21)</f>
        <v>41945.743993055556</v>
      </c>
      <c r="C2193">
        <v>80</v>
      </c>
      <c r="D2193">
        <v>79.779304503999995</v>
      </c>
      <c r="E2193">
        <v>50</v>
      </c>
      <c r="F2193">
        <v>50.327693939</v>
      </c>
      <c r="G2193">
        <v>1327.7095947</v>
      </c>
      <c r="H2193">
        <v>1325.7958983999999</v>
      </c>
      <c r="I2193">
        <v>1344.8209228999999</v>
      </c>
      <c r="J2193">
        <v>1340.3039550999999</v>
      </c>
      <c r="K2193">
        <v>0</v>
      </c>
      <c r="L2193">
        <v>2400</v>
      </c>
      <c r="M2193">
        <v>2400</v>
      </c>
      <c r="N2193">
        <v>0</v>
      </c>
    </row>
    <row r="2194" spans="1:14" x14ac:dyDescent="0.25">
      <c r="A2194">
        <v>1646.9441159999999</v>
      </c>
      <c r="B2194" s="1">
        <f>DATE(2014,11,2) + TIME(22,39,31)</f>
        <v>41945.944108796299</v>
      </c>
      <c r="C2194">
        <v>80</v>
      </c>
      <c r="D2194">
        <v>79.763412475999999</v>
      </c>
      <c r="E2194">
        <v>50</v>
      </c>
      <c r="F2194">
        <v>50.249446869000003</v>
      </c>
      <c r="G2194">
        <v>1327.7010498</v>
      </c>
      <c r="H2194">
        <v>1325.7863769999999</v>
      </c>
      <c r="I2194">
        <v>1344.8067627</v>
      </c>
      <c r="J2194">
        <v>1340.2938231999999</v>
      </c>
      <c r="K2194">
        <v>0</v>
      </c>
      <c r="L2194">
        <v>2400</v>
      </c>
      <c r="M2194">
        <v>2400</v>
      </c>
      <c r="N2194">
        <v>0</v>
      </c>
    </row>
    <row r="2195" spans="1:14" x14ac:dyDescent="0.25">
      <c r="A2195">
        <v>1647.1701419999999</v>
      </c>
      <c r="B2195" s="1">
        <f>DATE(2014,11,3) + TIME(4,5,0)</f>
        <v>41946.170138888891</v>
      </c>
      <c r="C2195">
        <v>80</v>
      </c>
      <c r="D2195">
        <v>79.745834350999999</v>
      </c>
      <c r="E2195">
        <v>50</v>
      </c>
      <c r="F2195">
        <v>50.183246613000001</v>
      </c>
      <c r="G2195">
        <v>1327.6937256000001</v>
      </c>
      <c r="H2195">
        <v>1325.7781981999999</v>
      </c>
      <c r="I2195">
        <v>1344.7910156</v>
      </c>
      <c r="J2195">
        <v>1340.2825928</v>
      </c>
      <c r="K2195">
        <v>0</v>
      </c>
      <c r="L2195">
        <v>2400</v>
      </c>
      <c r="M2195">
        <v>2400</v>
      </c>
      <c r="N2195">
        <v>0</v>
      </c>
    </row>
    <row r="2196" spans="1:14" x14ac:dyDescent="0.25">
      <c r="A2196">
        <v>1647.396937</v>
      </c>
      <c r="B2196" s="1">
        <f>DATE(2014,11,3) + TIME(9,31,35)</f>
        <v>41946.396932870368</v>
      </c>
      <c r="C2196">
        <v>80</v>
      </c>
      <c r="D2196">
        <v>79.728141785000005</v>
      </c>
      <c r="E2196">
        <v>50</v>
      </c>
      <c r="F2196">
        <v>50.133483886999997</v>
      </c>
      <c r="G2196">
        <v>1327.6873779</v>
      </c>
      <c r="H2196">
        <v>1325.770874</v>
      </c>
      <c r="I2196">
        <v>1344.7763672000001</v>
      </c>
      <c r="J2196">
        <v>1340.2723389</v>
      </c>
      <c r="K2196">
        <v>0</v>
      </c>
      <c r="L2196">
        <v>2400</v>
      </c>
      <c r="M2196">
        <v>2400</v>
      </c>
      <c r="N2196">
        <v>0</v>
      </c>
    </row>
    <row r="2197" spans="1:14" x14ac:dyDescent="0.25">
      <c r="A2197">
        <v>1647.628393</v>
      </c>
      <c r="B2197" s="1">
        <f>DATE(2014,11,3) + TIME(15,4,53)</f>
        <v>41946.628391203703</v>
      </c>
      <c r="C2197">
        <v>80</v>
      </c>
      <c r="D2197">
        <v>79.710128784000005</v>
      </c>
      <c r="E2197">
        <v>50</v>
      </c>
      <c r="F2197">
        <v>50.095596313000001</v>
      </c>
      <c r="G2197">
        <v>1327.6816406</v>
      </c>
      <c r="H2197">
        <v>1325.7642822</v>
      </c>
      <c r="I2197">
        <v>1344.7620850000001</v>
      </c>
      <c r="J2197">
        <v>1340.2624512</v>
      </c>
      <c r="K2197">
        <v>0</v>
      </c>
      <c r="L2197">
        <v>2400</v>
      </c>
      <c r="M2197">
        <v>2400</v>
      </c>
      <c r="N2197">
        <v>0</v>
      </c>
    </row>
    <row r="2198" spans="1:14" x14ac:dyDescent="0.25">
      <c r="A2198">
        <v>1647.8661139999999</v>
      </c>
      <c r="B2198" s="1">
        <f>DATE(2014,11,3) + TIME(20,47,12)</f>
        <v>41946.866111111114</v>
      </c>
      <c r="C2198">
        <v>80</v>
      </c>
      <c r="D2198">
        <v>79.691696167000003</v>
      </c>
      <c r="E2198">
        <v>50</v>
      </c>
      <c r="F2198">
        <v>50.066738129000001</v>
      </c>
      <c r="G2198">
        <v>1327.6763916</v>
      </c>
      <c r="H2198">
        <v>1325.7580565999999</v>
      </c>
      <c r="I2198">
        <v>1344.7485352000001</v>
      </c>
      <c r="J2198">
        <v>1340.2532959</v>
      </c>
      <c r="K2198">
        <v>0</v>
      </c>
      <c r="L2198">
        <v>2400</v>
      </c>
      <c r="M2198">
        <v>2400</v>
      </c>
      <c r="N2198">
        <v>0</v>
      </c>
    </row>
    <row r="2199" spans="1:14" x14ac:dyDescent="0.25">
      <c r="A2199">
        <v>1648.1118959999999</v>
      </c>
      <c r="B2199" s="1">
        <f>DATE(2014,11,4) + TIME(2,41,7)</f>
        <v>41947.111886574072</v>
      </c>
      <c r="C2199">
        <v>80</v>
      </c>
      <c r="D2199">
        <v>79.672744750999996</v>
      </c>
      <c r="E2199">
        <v>50</v>
      </c>
      <c r="F2199">
        <v>50.044780731000003</v>
      </c>
      <c r="G2199">
        <v>1327.6711425999999</v>
      </c>
      <c r="H2199">
        <v>1325.7518310999999</v>
      </c>
      <c r="I2199">
        <v>1344.7354736</v>
      </c>
      <c r="J2199">
        <v>1340.2445068</v>
      </c>
      <c r="K2199">
        <v>0</v>
      </c>
      <c r="L2199">
        <v>2400</v>
      </c>
      <c r="M2199">
        <v>2400</v>
      </c>
      <c r="N2199">
        <v>0</v>
      </c>
    </row>
    <row r="2200" spans="1:14" x14ac:dyDescent="0.25">
      <c r="A2200">
        <v>1648.3676330000001</v>
      </c>
      <c r="B2200" s="1">
        <f>DATE(2014,11,4) + TIME(8,49,23)</f>
        <v>41947.367627314816</v>
      </c>
      <c r="C2200">
        <v>80</v>
      </c>
      <c r="D2200">
        <v>79.653160095000004</v>
      </c>
      <c r="E2200">
        <v>50</v>
      </c>
      <c r="F2200">
        <v>50.028125762999998</v>
      </c>
      <c r="G2200">
        <v>1327.6658935999999</v>
      </c>
      <c r="H2200">
        <v>1325.7454834</v>
      </c>
      <c r="I2200">
        <v>1344.7230225000001</v>
      </c>
      <c r="J2200">
        <v>1340.2363281</v>
      </c>
      <c r="K2200">
        <v>0</v>
      </c>
      <c r="L2200">
        <v>2400</v>
      </c>
      <c r="M2200">
        <v>2400</v>
      </c>
      <c r="N2200">
        <v>0</v>
      </c>
    </row>
    <row r="2201" spans="1:14" x14ac:dyDescent="0.25">
      <c r="A2201">
        <v>1648.6354229999999</v>
      </c>
      <c r="B2201" s="1">
        <f>DATE(2014,11,4) + TIME(15,15,0)</f>
        <v>41947.635416666664</v>
      </c>
      <c r="C2201">
        <v>80</v>
      </c>
      <c r="D2201">
        <v>79.632820128999995</v>
      </c>
      <c r="E2201">
        <v>50</v>
      </c>
      <c r="F2201">
        <v>50.015563964999998</v>
      </c>
      <c r="G2201">
        <v>1327.6605225000001</v>
      </c>
      <c r="H2201">
        <v>1325.7388916</v>
      </c>
      <c r="I2201">
        <v>1344.7110596</v>
      </c>
      <c r="J2201">
        <v>1340.2285156</v>
      </c>
      <c r="K2201">
        <v>0</v>
      </c>
      <c r="L2201">
        <v>2400</v>
      </c>
      <c r="M2201">
        <v>2400</v>
      </c>
      <c r="N2201">
        <v>0</v>
      </c>
    </row>
    <row r="2202" spans="1:14" x14ac:dyDescent="0.25">
      <c r="A2202">
        <v>1648.91767</v>
      </c>
      <c r="B2202" s="1">
        <f>DATE(2014,11,4) + TIME(22,1,26)</f>
        <v>41947.917662037034</v>
      </c>
      <c r="C2202">
        <v>80</v>
      </c>
      <c r="D2202">
        <v>79.611587524000001</v>
      </c>
      <c r="E2202">
        <v>50</v>
      </c>
      <c r="F2202">
        <v>50.006149292000003</v>
      </c>
      <c r="G2202">
        <v>1327.6549072</v>
      </c>
      <c r="H2202">
        <v>1325.7319336</v>
      </c>
      <c r="I2202">
        <v>1344.6994629000001</v>
      </c>
      <c r="J2202">
        <v>1340.2209473</v>
      </c>
      <c r="K2202">
        <v>0</v>
      </c>
      <c r="L2202">
        <v>2400</v>
      </c>
      <c r="M2202">
        <v>2400</v>
      </c>
      <c r="N2202">
        <v>0</v>
      </c>
    </row>
    <row r="2203" spans="1:14" x14ac:dyDescent="0.25">
      <c r="A2203">
        <v>1649.217206</v>
      </c>
      <c r="B2203" s="1">
        <f>DATE(2014,11,5) + TIME(5,12,46)</f>
        <v>41948.217199074075</v>
      </c>
      <c r="C2203">
        <v>80</v>
      </c>
      <c r="D2203">
        <v>79.589294433999996</v>
      </c>
      <c r="E2203">
        <v>50</v>
      </c>
      <c r="F2203">
        <v>49.999160766999999</v>
      </c>
      <c r="G2203">
        <v>1327.6489257999999</v>
      </c>
      <c r="H2203">
        <v>1325.7246094</v>
      </c>
      <c r="I2203">
        <v>1344.6881103999999</v>
      </c>
      <c r="J2203">
        <v>1340.2136230000001</v>
      </c>
      <c r="K2203">
        <v>0</v>
      </c>
      <c r="L2203">
        <v>2400</v>
      </c>
      <c r="M2203">
        <v>2400</v>
      </c>
      <c r="N2203">
        <v>0</v>
      </c>
    </row>
    <row r="2204" spans="1:14" x14ac:dyDescent="0.25">
      <c r="A2204">
        <v>1649.537458</v>
      </c>
      <c r="B2204" s="1">
        <f>DATE(2014,11,5) + TIME(12,53,56)</f>
        <v>41948.537453703706</v>
      </c>
      <c r="C2204">
        <v>80</v>
      </c>
      <c r="D2204">
        <v>79.565727233999993</v>
      </c>
      <c r="E2204">
        <v>50</v>
      </c>
      <c r="F2204">
        <v>49.994026183999999</v>
      </c>
      <c r="G2204">
        <v>1327.6425781</v>
      </c>
      <c r="H2204">
        <v>1325.7167969</v>
      </c>
      <c r="I2204">
        <v>1344.6768798999999</v>
      </c>
      <c r="J2204">
        <v>1340.2064209</v>
      </c>
      <c r="K2204">
        <v>0</v>
      </c>
      <c r="L2204">
        <v>2400</v>
      </c>
      <c r="M2204">
        <v>2400</v>
      </c>
      <c r="N2204">
        <v>0</v>
      </c>
    </row>
    <row r="2205" spans="1:14" x14ac:dyDescent="0.25">
      <c r="A2205">
        <v>1649.8759580000001</v>
      </c>
      <c r="B2205" s="1">
        <f>DATE(2014,11,5) + TIME(21,1,22)</f>
        <v>41948.875949074078</v>
      </c>
      <c r="C2205">
        <v>80</v>
      </c>
      <c r="D2205">
        <v>79.541030883999994</v>
      </c>
      <c r="E2205">
        <v>50</v>
      </c>
      <c r="F2205">
        <v>49.990352631</v>
      </c>
      <c r="G2205">
        <v>1327.6358643000001</v>
      </c>
      <c r="H2205">
        <v>1325.7082519999999</v>
      </c>
      <c r="I2205">
        <v>1344.6657714999999</v>
      </c>
      <c r="J2205">
        <v>1340.1993408000001</v>
      </c>
      <c r="K2205">
        <v>0</v>
      </c>
      <c r="L2205">
        <v>2400</v>
      </c>
      <c r="M2205">
        <v>2400</v>
      </c>
      <c r="N2205">
        <v>0</v>
      </c>
    </row>
    <row r="2206" spans="1:14" x14ac:dyDescent="0.25">
      <c r="A2206">
        <v>1650.2360180000001</v>
      </c>
      <c r="B2206" s="1">
        <f>DATE(2014,11,6) + TIME(5,39,51)</f>
        <v>41949.236006944448</v>
      </c>
      <c r="C2206">
        <v>80</v>
      </c>
      <c r="D2206">
        <v>79.515007018999995</v>
      </c>
      <c r="E2206">
        <v>50</v>
      </c>
      <c r="F2206">
        <v>49.987754821999999</v>
      </c>
      <c r="G2206">
        <v>1327.6285399999999</v>
      </c>
      <c r="H2206">
        <v>1325.6992187999999</v>
      </c>
      <c r="I2206">
        <v>1344.6547852000001</v>
      </c>
      <c r="J2206">
        <v>1340.1922606999999</v>
      </c>
      <c r="K2206">
        <v>0</v>
      </c>
      <c r="L2206">
        <v>2400</v>
      </c>
      <c r="M2206">
        <v>2400</v>
      </c>
      <c r="N2206">
        <v>0</v>
      </c>
    </row>
    <row r="2207" spans="1:14" x14ac:dyDescent="0.25">
      <c r="A2207">
        <v>1650.6067089999999</v>
      </c>
      <c r="B2207" s="1">
        <f>DATE(2014,11,6) + TIME(14,33,39)</f>
        <v>41949.60670138889</v>
      </c>
      <c r="C2207">
        <v>80</v>
      </c>
      <c r="D2207">
        <v>79.488235474000007</v>
      </c>
      <c r="E2207">
        <v>50</v>
      </c>
      <c r="F2207">
        <v>49.985984801999997</v>
      </c>
      <c r="G2207">
        <v>1327.6208495999999</v>
      </c>
      <c r="H2207">
        <v>1325.6894531</v>
      </c>
      <c r="I2207">
        <v>1344.6437988</v>
      </c>
      <c r="J2207">
        <v>1340.1853027</v>
      </c>
      <c r="K2207">
        <v>0</v>
      </c>
      <c r="L2207">
        <v>2400</v>
      </c>
      <c r="M2207">
        <v>2400</v>
      </c>
      <c r="N2207">
        <v>0</v>
      </c>
    </row>
    <row r="2208" spans="1:14" x14ac:dyDescent="0.25">
      <c r="A2208">
        <v>1650.988261</v>
      </c>
      <c r="B2208" s="1">
        <f>DATE(2014,11,6) + TIME(23,43,5)</f>
        <v>41949.988252314812</v>
      </c>
      <c r="C2208">
        <v>80</v>
      </c>
      <c r="D2208">
        <v>79.460731506000002</v>
      </c>
      <c r="E2208">
        <v>50</v>
      </c>
      <c r="F2208">
        <v>49.984783172999997</v>
      </c>
      <c r="G2208">
        <v>1327.612793</v>
      </c>
      <c r="H2208">
        <v>1325.6791992000001</v>
      </c>
      <c r="I2208">
        <v>1344.6333007999999</v>
      </c>
      <c r="J2208">
        <v>1340.1784668</v>
      </c>
      <c r="K2208">
        <v>0</v>
      </c>
      <c r="L2208">
        <v>2400</v>
      </c>
      <c r="M2208">
        <v>2400</v>
      </c>
      <c r="N2208">
        <v>0</v>
      </c>
    </row>
    <row r="2209" spans="1:14" x14ac:dyDescent="0.25">
      <c r="A2209">
        <v>1651.3814629999999</v>
      </c>
      <c r="B2209" s="1">
        <f>DATE(2014,11,7) + TIME(9,9,18)</f>
        <v>41950.381458333337</v>
      </c>
      <c r="C2209">
        <v>80</v>
      </c>
      <c r="D2209">
        <v>79.432495117000002</v>
      </c>
      <c r="E2209">
        <v>50</v>
      </c>
      <c r="F2209">
        <v>49.983970642000003</v>
      </c>
      <c r="G2209">
        <v>1327.6042480000001</v>
      </c>
      <c r="H2209">
        <v>1325.6685791</v>
      </c>
      <c r="I2209">
        <v>1344.6231689000001</v>
      </c>
      <c r="J2209">
        <v>1340.171875</v>
      </c>
      <c r="K2209">
        <v>0</v>
      </c>
      <c r="L2209">
        <v>2400</v>
      </c>
      <c r="M2209">
        <v>2400</v>
      </c>
      <c r="N2209">
        <v>0</v>
      </c>
    </row>
    <row r="2210" spans="1:14" x14ac:dyDescent="0.25">
      <c r="A2210">
        <v>1651.787153</v>
      </c>
      <c r="B2210" s="1">
        <f>DATE(2014,11,7) + TIME(18,53,30)</f>
        <v>41950.787152777775</v>
      </c>
      <c r="C2210">
        <v>80</v>
      </c>
      <c r="D2210">
        <v>79.403511046999995</v>
      </c>
      <c r="E2210">
        <v>50</v>
      </c>
      <c r="F2210">
        <v>49.983421325999998</v>
      </c>
      <c r="G2210">
        <v>1327.5954589999999</v>
      </c>
      <c r="H2210">
        <v>1325.6573486</v>
      </c>
      <c r="I2210">
        <v>1344.6131591999999</v>
      </c>
      <c r="J2210">
        <v>1340.1654053</v>
      </c>
      <c r="K2210">
        <v>0</v>
      </c>
      <c r="L2210">
        <v>2400</v>
      </c>
      <c r="M2210">
        <v>2400</v>
      </c>
      <c r="N2210">
        <v>0</v>
      </c>
    </row>
    <row r="2211" spans="1:14" x14ac:dyDescent="0.25">
      <c r="A2211">
        <v>1652.20226</v>
      </c>
      <c r="B2211" s="1">
        <f>DATE(2014,11,8) + TIME(4,51,15)</f>
        <v>41951.202256944445</v>
      </c>
      <c r="C2211">
        <v>80</v>
      </c>
      <c r="D2211">
        <v>79.373947143999999</v>
      </c>
      <c r="E2211">
        <v>50</v>
      </c>
      <c r="F2211">
        <v>49.983055114999999</v>
      </c>
      <c r="G2211">
        <v>1327.5863036999999</v>
      </c>
      <c r="H2211">
        <v>1325.6457519999999</v>
      </c>
      <c r="I2211">
        <v>1344.6035156</v>
      </c>
      <c r="J2211">
        <v>1340.1590576000001</v>
      </c>
      <c r="K2211">
        <v>0</v>
      </c>
      <c r="L2211">
        <v>2400</v>
      </c>
      <c r="M2211">
        <v>2400</v>
      </c>
      <c r="N2211">
        <v>0</v>
      </c>
    </row>
    <row r="2212" spans="1:14" x14ac:dyDescent="0.25">
      <c r="A2212">
        <v>1652.6252500000001</v>
      </c>
      <c r="B2212" s="1">
        <f>DATE(2014,11,8) + TIME(15,0,21)</f>
        <v>41951.625243055554</v>
      </c>
      <c r="C2212">
        <v>80</v>
      </c>
      <c r="D2212">
        <v>79.343910217000001</v>
      </c>
      <c r="E2212">
        <v>50</v>
      </c>
      <c r="F2212">
        <v>49.982807158999996</v>
      </c>
      <c r="G2212">
        <v>1327.5769043</v>
      </c>
      <c r="H2212">
        <v>1325.6335449000001</v>
      </c>
      <c r="I2212">
        <v>1344.5941161999999</v>
      </c>
      <c r="J2212">
        <v>1340.152832</v>
      </c>
      <c r="K2212">
        <v>0</v>
      </c>
      <c r="L2212">
        <v>2400</v>
      </c>
      <c r="M2212">
        <v>2400</v>
      </c>
      <c r="N2212">
        <v>0</v>
      </c>
    </row>
    <row r="2213" spans="1:14" x14ac:dyDescent="0.25">
      <c r="A2213">
        <v>1653.0571279999999</v>
      </c>
      <c r="B2213" s="1">
        <f>DATE(2014,11,9) + TIME(1,22,15)</f>
        <v>41952.057118055556</v>
      </c>
      <c r="C2213">
        <v>80</v>
      </c>
      <c r="D2213">
        <v>79.313385010000005</v>
      </c>
      <c r="E2213">
        <v>50</v>
      </c>
      <c r="F2213">
        <v>49.982639313</v>
      </c>
      <c r="G2213">
        <v>1327.5671387</v>
      </c>
      <c r="H2213">
        <v>1325.6210937999999</v>
      </c>
      <c r="I2213">
        <v>1344.5850829999999</v>
      </c>
      <c r="J2213">
        <v>1340.1467285000001</v>
      </c>
      <c r="K2213">
        <v>0</v>
      </c>
      <c r="L2213">
        <v>2400</v>
      </c>
      <c r="M2213">
        <v>2400</v>
      </c>
      <c r="N2213">
        <v>0</v>
      </c>
    </row>
    <row r="2214" spans="1:14" x14ac:dyDescent="0.25">
      <c r="A2214">
        <v>1653.4988840000001</v>
      </c>
      <c r="B2214" s="1">
        <f>DATE(2014,11,9) + TIME(11,58,23)</f>
        <v>41952.498877314814</v>
      </c>
      <c r="C2214">
        <v>80</v>
      </c>
      <c r="D2214">
        <v>79.282348632999998</v>
      </c>
      <c r="E2214">
        <v>50</v>
      </c>
      <c r="F2214">
        <v>49.982521057</v>
      </c>
      <c r="G2214">
        <v>1327.5570068</v>
      </c>
      <c r="H2214">
        <v>1325.6081543</v>
      </c>
      <c r="I2214">
        <v>1344.5762939000001</v>
      </c>
      <c r="J2214">
        <v>1340.1408690999999</v>
      </c>
      <c r="K2214">
        <v>0</v>
      </c>
      <c r="L2214">
        <v>2400</v>
      </c>
      <c r="M2214">
        <v>2400</v>
      </c>
      <c r="N2214">
        <v>0</v>
      </c>
    </row>
    <row r="2215" spans="1:14" x14ac:dyDescent="0.25">
      <c r="A2215">
        <v>1653.9514489999999</v>
      </c>
      <c r="B2215" s="1">
        <f>DATE(2014,11,9) + TIME(22,50,5)</f>
        <v>41952.95144675926</v>
      </c>
      <c r="C2215">
        <v>80</v>
      </c>
      <c r="D2215">
        <v>79.250770568999997</v>
      </c>
      <c r="E2215">
        <v>50</v>
      </c>
      <c r="F2215">
        <v>49.982440947999997</v>
      </c>
      <c r="G2215">
        <v>1327.5466309000001</v>
      </c>
      <c r="H2215">
        <v>1325.5948486</v>
      </c>
      <c r="I2215">
        <v>1344.567749</v>
      </c>
      <c r="J2215">
        <v>1340.1351318</v>
      </c>
      <c r="K2215">
        <v>0</v>
      </c>
      <c r="L2215">
        <v>2400</v>
      </c>
      <c r="M2215">
        <v>2400</v>
      </c>
      <c r="N2215">
        <v>0</v>
      </c>
    </row>
    <row r="2216" spans="1:14" x14ac:dyDescent="0.25">
      <c r="A2216">
        <v>1654.413963</v>
      </c>
      <c r="B2216" s="1">
        <f>DATE(2014,11,10) + TIME(9,56,6)</f>
        <v>41953.413958333331</v>
      </c>
      <c r="C2216">
        <v>80</v>
      </c>
      <c r="D2216">
        <v>79.218681334999999</v>
      </c>
      <c r="E2216">
        <v>50</v>
      </c>
      <c r="F2216">
        <v>49.982383728000002</v>
      </c>
      <c r="G2216">
        <v>1327.5358887</v>
      </c>
      <c r="H2216">
        <v>1325.5809326000001</v>
      </c>
      <c r="I2216">
        <v>1344.5593262</v>
      </c>
      <c r="J2216">
        <v>1340.1293945</v>
      </c>
      <c r="K2216">
        <v>0</v>
      </c>
      <c r="L2216">
        <v>2400</v>
      </c>
      <c r="M2216">
        <v>2400</v>
      </c>
      <c r="N2216">
        <v>0</v>
      </c>
    </row>
    <row r="2217" spans="1:14" x14ac:dyDescent="0.25">
      <c r="A2217">
        <v>1654.882529</v>
      </c>
      <c r="B2217" s="1">
        <f>DATE(2014,11,10) + TIME(21,10,50)</f>
        <v>41953.882523148146</v>
      </c>
      <c r="C2217">
        <v>80</v>
      </c>
      <c r="D2217">
        <v>79.186294556000007</v>
      </c>
      <c r="E2217">
        <v>50</v>
      </c>
      <c r="F2217">
        <v>49.982345580999997</v>
      </c>
      <c r="G2217">
        <v>1327.5247803</v>
      </c>
      <c r="H2217">
        <v>1325.5666504000001</v>
      </c>
      <c r="I2217">
        <v>1344.5511475000001</v>
      </c>
      <c r="J2217">
        <v>1340.1237793</v>
      </c>
      <c r="K2217">
        <v>0</v>
      </c>
      <c r="L2217">
        <v>2400</v>
      </c>
      <c r="M2217">
        <v>2400</v>
      </c>
      <c r="N2217">
        <v>0</v>
      </c>
    </row>
    <row r="2218" spans="1:14" x14ac:dyDescent="0.25">
      <c r="A2218">
        <v>1655.3582429999999</v>
      </c>
      <c r="B2218" s="1">
        <f>DATE(2014,11,11) + TIME(8,35,52)</f>
        <v>41954.358240740738</v>
      </c>
      <c r="C2218">
        <v>80</v>
      </c>
      <c r="D2218">
        <v>79.153579711999996</v>
      </c>
      <c r="E2218">
        <v>50</v>
      </c>
      <c r="F2218">
        <v>49.982315063000001</v>
      </c>
      <c r="G2218">
        <v>1327.5134277</v>
      </c>
      <c r="H2218">
        <v>1325.5520019999999</v>
      </c>
      <c r="I2218">
        <v>1344.5433350000001</v>
      </c>
      <c r="J2218">
        <v>1340.1184082</v>
      </c>
      <c r="K2218">
        <v>0</v>
      </c>
      <c r="L2218">
        <v>2400</v>
      </c>
      <c r="M2218">
        <v>2400</v>
      </c>
      <c r="N2218">
        <v>0</v>
      </c>
    </row>
    <row r="2219" spans="1:14" x14ac:dyDescent="0.25">
      <c r="A2219">
        <v>1655.8419100000001</v>
      </c>
      <c r="B2219" s="1">
        <f>DATE(2014,11,11) + TIME(20,12,21)</f>
        <v>41954.841909722221</v>
      </c>
      <c r="C2219">
        <v>80</v>
      </c>
      <c r="D2219">
        <v>79.120521545000003</v>
      </c>
      <c r="E2219">
        <v>50</v>
      </c>
      <c r="F2219">
        <v>49.982292174999998</v>
      </c>
      <c r="G2219">
        <v>1327.5018310999999</v>
      </c>
      <c r="H2219">
        <v>1325.5369873</v>
      </c>
      <c r="I2219">
        <v>1344.5356445</v>
      </c>
      <c r="J2219">
        <v>1340.1130370999999</v>
      </c>
      <c r="K2219">
        <v>0</v>
      </c>
      <c r="L2219">
        <v>2400</v>
      </c>
      <c r="M2219">
        <v>2400</v>
      </c>
      <c r="N2219">
        <v>0</v>
      </c>
    </row>
    <row r="2220" spans="1:14" x14ac:dyDescent="0.25">
      <c r="A2220">
        <v>1656.334619</v>
      </c>
      <c r="B2220" s="1">
        <f>DATE(2014,11,12) + TIME(8,1,51)</f>
        <v>41955.334618055553</v>
      </c>
      <c r="C2220">
        <v>80</v>
      </c>
      <c r="D2220">
        <v>79.087081909000005</v>
      </c>
      <c r="E2220">
        <v>50</v>
      </c>
      <c r="F2220">
        <v>49.982273102000001</v>
      </c>
      <c r="G2220">
        <v>1327.4899902</v>
      </c>
      <c r="H2220">
        <v>1325.5216064000001</v>
      </c>
      <c r="I2220">
        <v>1344.5281981999999</v>
      </c>
      <c r="J2220">
        <v>1340.1077881000001</v>
      </c>
      <c r="K2220">
        <v>0</v>
      </c>
      <c r="L2220">
        <v>2400</v>
      </c>
      <c r="M2220">
        <v>2400</v>
      </c>
      <c r="N2220">
        <v>0</v>
      </c>
    </row>
    <row r="2221" spans="1:14" x14ac:dyDescent="0.25">
      <c r="A2221">
        <v>1656.837503</v>
      </c>
      <c r="B2221" s="1">
        <f>DATE(2014,11,12) + TIME(20,6,0)</f>
        <v>41955.837500000001</v>
      </c>
      <c r="C2221">
        <v>80</v>
      </c>
      <c r="D2221">
        <v>79.053207396999994</v>
      </c>
      <c r="E2221">
        <v>50</v>
      </c>
      <c r="F2221">
        <v>49.982261657999999</v>
      </c>
      <c r="G2221">
        <v>1327.4777832</v>
      </c>
      <c r="H2221">
        <v>1325.5057373</v>
      </c>
      <c r="I2221">
        <v>1344.5209961</v>
      </c>
      <c r="J2221">
        <v>1340.1026611</v>
      </c>
      <c r="K2221">
        <v>0</v>
      </c>
      <c r="L2221">
        <v>2400</v>
      </c>
      <c r="M2221">
        <v>2400</v>
      </c>
      <c r="N2221">
        <v>0</v>
      </c>
    </row>
    <row r="2222" spans="1:14" x14ac:dyDescent="0.25">
      <c r="A2222">
        <v>1657.3516099999999</v>
      </c>
      <c r="B2222" s="1">
        <f>DATE(2014,11,13) + TIME(8,26,19)</f>
        <v>41956.3516087963</v>
      </c>
      <c r="C2222">
        <v>80</v>
      </c>
      <c r="D2222">
        <v>79.018852233999993</v>
      </c>
      <c r="E2222">
        <v>50</v>
      </c>
      <c r="F2222">
        <v>49.982250213999997</v>
      </c>
      <c r="G2222">
        <v>1327.4652100000001</v>
      </c>
      <c r="H2222">
        <v>1325.4895019999999</v>
      </c>
      <c r="I2222">
        <v>1344.5137939000001</v>
      </c>
      <c r="J2222">
        <v>1340.0976562000001</v>
      </c>
      <c r="K2222">
        <v>0</v>
      </c>
      <c r="L2222">
        <v>2400</v>
      </c>
      <c r="M2222">
        <v>2400</v>
      </c>
      <c r="N2222">
        <v>0</v>
      </c>
    </row>
    <row r="2223" spans="1:14" x14ac:dyDescent="0.25">
      <c r="A2223">
        <v>1657.8780260000001</v>
      </c>
      <c r="B2223" s="1">
        <f>DATE(2014,11,13) + TIME(21,4,21)</f>
        <v>41956.878020833334</v>
      </c>
      <c r="C2223">
        <v>80</v>
      </c>
      <c r="D2223">
        <v>78.983955382999994</v>
      </c>
      <c r="E2223">
        <v>50</v>
      </c>
      <c r="F2223">
        <v>49.982242583999998</v>
      </c>
      <c r="G2223">
        <v>1327.4523925999999</v>
      </c>
      <c r="H2223">
        <v>1325.4726562000001</v>
      </c>
      <c r="I2223">
        <v>1344.5068358999999</v>
      </c>
      <c r="J2223">
        <v>1340.0926514</v>
      </c>
      <c r="K2223">
        <v>0</v>
      </c>
      <c r="L2223">
        <v>2400</v>
      </c>
      <c r="M2223">
        <v>2400</v>
      </c>
      <c r="N2223">
        <v>0</v>
      </c>
    </row>
    <row r="2224" spans="1:14" x14ac:dyDescent="0.25">
      <c r="A2224">
        <v>1658.417893</v>
      </c>
      <c r="B2224" s="1">
        <f>DATE(2014,11,14) + TIME(10,1,45)</f>
        <v>41957.417881944442</v>
      </c>
      <c r="C2224">
        <v>80</v>
      </c>
      <c r="D2224">
        <v>78.948463439999998</v>
      </c>
      <c r="E2224">
        <v>50</v>
      </c>
      <c r="F2224">
        <v>49.982234955000003</v>
      </c>
      <c r="G2224">
        <v>1327.4389647999999</v>
      </c>
      <c r="H2224">
        <v>1325.4553223</v>
      </c>
      <c r="I2224">
        <v>1344.5</v>
      </c>
      <c r="J2224">
        <v>1340.0877685999999</v>
      </c>
      <c r="K2224">
        <v>0</v>
      </c>
      <c r="L2224">
        <v>2400</v>
      </c>
      <c r="M2224">
        <v>2400</v>
      </c>
      <c r="N2224">
        <v>0</v>
      </c>
    </row>
    <row r="2225" spans="1:14" x14ac:dyDescent="0.25">
      <c r="A2225">
        <v>1658.972385</v>
      </c>
      <c r="B2225" s="1">
        <f>DATE(2014,11,14) + TIME(23,20,14)</f>
        <v>41957.972384259258</v>
      </c>
      <c r="C2225">
        <v>80</v>
      </c>
      <c r="D2225">
        <v>78.912307738999999</v>
      </c>
      <c r="E2225">
        <v>50</v>
      </c>
      <c r="F2225">
        <v>49.982231140000003</v>
      </c>
      <c r="G2225">
        <v>1327.425293</v>
      </c>
      <c r="H2225">
        <v>1325.4373779</v>
      </c>
      <c r="I2225">
        <v>1344.4931641000001</v>
      </c>
      <c r="J2225">
        <v>1340.0828856999999</v>
      </c>
      <c r="K2225">
        <v>0</v>
      </c>
      <c r="L2225">
        <v>2400</v>
      </c>
      <c r="M2225">
        <v>2400</v>
      </c>
      <c r="N2225">
        <v>0</v>
      </c>
    </row>
    <row r="2226" spans="1:14" x14ac:dyDescent="0.25">
      <c r="A2226">
        <v>1659.542751</v>
      </c>
      <c r="B2226" s="1">
        <f>DATE(2014,11,15) + TIME(13,1,33)</f>
        <v>41958.542743055557</v>
      </c>
      <c r="C2226">
        <v>80</v>
      </c>
      <c r="D2226">
        <v>78.875442504999995</v>
      </c>
      <c r="E2226">
        <v>50</v>
      </c>
      <c r="F2226">
        <v>49.982223511000001</v>
      </c>
      <c r="G2226">
        <v>1327.4111327999999</v>
      </c>
      <c r="H2226">
        <v>1325.4188231999999</v>
      </c>
      <c r="I2226">
        <v>1344.4864502</v>
      </c>
      <c r="J2226">
        <v>1340.0780029</v>
      </c>
      <c r="K2226">
        <v>0</v>
      </c>
      <c r="L2226">
        <v>2400</v>
      </c>
      <c r="M2226">
        <v>2400</v>
      </c>
      <c r="N2226">
        <v>0</v>
      </c>
    </row>
    <row r="2227" spans="1:14" x14ac:dyDescent="0.25">
      <c r="A2227">
        <v>1660.1303270000001</v>
      </c>
      <c r="B2227" s="1">
        <f>DATE(2014,11,16) + TIME(3,7,40)</f>
        <v>41959.130324074074</v>
      </c>
      <c r="C2227">
        <v>80</v>
      </c>
      <c r="D2227">
        <v>78.837783813000001</v>
      </c>
      <c r="E2227">
        <v>50</v>
      </c>
      <c r="F2227">
        <v>49.982219696000001</v>
      </c>
      <c r="G2227">
        <v>1327.3963623</v>
      </c>
      <c r="H2227">
        <v>1325.3995361</v>
      </c>
      <c r="I2227">
        <v>1344.4798584</v>
      </c>
      <c r="J2227">
        <v>1340.0731201000001</v>
      </c>
      <c r="K2227">
        <v>0</v>
      </c>
      <c r="L2227">
        <v>2400</v>
      </c>
      <c r="M2227">
        <v>2400</v>
      </c>
      <c r="N2227">
        <v>0</v>
      </c>
    </row>
    <row r="2228" spans="1:14" x14ac:dyDescent="0.25">
      <c r="A2228">
        <v>1660.736527</v>
      </c>
      <c r="B2228" s="1">
        <f>DATE(2014,11,16) + TIME(17,40,35)</f>
        <v>41959.736516203702</v>
      </c>
      <c r="C2228">
        <v>80</v>
      </c>
      <c r="D2228">
        <v>78.799270629999995</v>
      </c>
      <c r="E2228">
        <v>50</v>
      </c>
      <c r="F2228">
        <v>49.982219696000001</v>
      </c>
      <c r="G2228">
        <v>1327.3811035000001</v>
      </c>
      <c r="H2228">
        <v>1325.3796387</v>
      </c>
      <c r="I2228">
        <v>1344.4732666</v>
      </c>
      <c r="J2228">
        <v>1340.0682373</v>
      </c>
      <c r="K2228">
        <v>0</v>
      </c>
      <c r="L2228">
        <v>2400</v>
      </c>
      <c r="M2228">
        <v>2400</v>
      </c>
      <c r="N2228">
        <v>0</v>
      </c>
    </row>
    <row r="2229" spans="1:14" x14ac:dyDescent="0.25">
      <c r="A2229">
        <v>1661.3627550000001</v>
      </c>
      <c r="B2229" s="1">
        <f>DATE(2014,11,17) + TIME(8,42,22)</f>
        <v>41960.362754629627</v>
      </c>
      <c r="C2229">
        <v>80</v>
      </c>
      <c r="D2229">
        <v>78.759834290000001</v>
      </c>
      <c r="E2229">
        <v>50</v>
      </c>
      <c r="F2229">
        <v>49.982215881000002</v>
      </c>
      <c r="G2229">
        <v>1327.3653564000001</v>
      </c>
      <c r="H2229">
        <v>1325.3588867000001</v>
      </c>
      <c r="I2229">
        <v>1344.4667969</v>
      </c>
      <c r="J2229">
        <v>1340.0634766000001</v>
      </c>
      <c r="K2229">
        <v>0</v>
      </c>
      <c r="L2229">
        <v>2400</v>
      </c>
      <c r="M2229">
        <v>2400</v>
      </c>
      <c r="N2229">
        <v>0</v>
      </c>
    </row>
    <row r="2230" spans="1:14" x14ac:dyDescent="0.25">
      <c r="A2230">
        <v>1662.0105639999999</v>
      </c>
      <c r="B2230" s="1">
        <f>DATE(2014,11,18) + TIME(0,15,12)</f>
        <v>41961.010555555556</v>
      </c>
      <c r="C2230">
        <v>80</v>
      </c>
      <c r="D2230">
        <v>78.719398498999993</v>
      </c>
      <c r="E2230">
        <v>50</v>
      </c>
      <c r="F2230">
        <v>49.982212066999999</v>
      </c>
      <c r="G2230">
        <v>1327.3488769999999</v>
      </c>
      <c r="H2230">
        <v>1325.3374022999999</v>
      </c>
      <c r="I2230">
        <v>1344.4603271000001</v>
      </c>
      <c r="J2230">
        <v>1340.0585937999999</v>
      </c>
      <c r="K2230">
        <v>0</v>
      </c>
      <c r="L2230">
        <v>2400</v>
      </c>
      <c r="M2230">
        <v>2400</v>
      </c>
      <c r="N2230">
        <v>0</v>
      </c>
    </row>
    <row r="2231" spans="1:14" x14ac:dyDescent="0.25">
      <c r="A2231">
        <v>1662.6819</v>
      </c>
      <c r="B2231" s="1">
        <f>DATE(2014,11,18) + TIME(16,21,56)</f>
        <v>41961.681898148148</v>
      </c>
      <c r="C2231">
        <v>80</v>
      </c>
      <c r="D2231">
        <v>78.677879333000007</v>
      </c>
      <c r="E2231">
        <v>50</v>
      </c>
      <c r="F2231">
        <v>49.982212066999999</v>
      </c>
      <c r="G2231">
        <v>1327.3317870999999</v>
      </c>
      <c r="H2231">
        <v>1325.3149414</v>
      </c>
      <c r="I2231">
        <v>1344.4538574000001</v>
      </c>
      <c r="J2231">
        <v>1340.0537108999999</v>
      </c>
      <c r="K2231">
        <v>0</v>
      </c>
      <c r="L2231">
        <v>2400</v>
      </c>
      <c r="M2231">
        <v>2400</v>
      </c>
      <c r="N2231">
        <v>0</v>
      </c>
    </row>
    <row r="2232" spans="1:14" x14ac:dyDescent="0.25">
      <c r="A2232">
        <v>1663.3787299999999</v>
      </c>
      <c r="B2232" s="1">
        <f>DATE(2014,11,19) + TIME(9,5,22)</f>
        <v>41962.37872685185</v>
      </c>
      <c r="C2232">
        <v>80</v>
      </c>
      <c r="D2232">
        <v>78.635185242000006</v>
      </c>
      <c r="E2232">
        <v>50</v>
      </c>
      <c r="F2232">
        <v>49.982212066999999</v>
      </c>
      <c r="G2232">
        <v>1327.3139647999999</v>
      </c>
      <c r="H2232">
        <v>1325.2915039</v>
      </c>
      <c r="I2232">
        <v>1344.4473877</v>
      </c>
      <c r="J2232">
        <v>1340.0488281</v>
      </c>
      <c r="K2232">
        <v>0</v>
      </c>
      <c r="L2232">
        <v>2400</v>
      </c>
      <c r="M2232">
        <v>2400</v>
      </c>
      <c r="N2232">
        <v>0</v>
      </c>
    </row>
    <row r="2233" spans="1:14" x14ac:dyDescent="0.25">
      <c r="A2233">
        <v>1664.1032170000001</v>
      </c>
      <c r="B2233" s="1">
        <f>DATE(2014,11,20) + TIME(2,28,37)</f>
        <v>41963.103206018517</v>
      </c>
      <c r="C2233">
        <v>80</v>
      </c>
      <c r="D2233">
        <v>78.591224670000003</v>
      </c>
      <c r="E2233">
        <v>50</v>
      </c>
      <c r="F2233">
        <v>49.982208252</v>
      </c>
      <c r="G2233">
        <v>1327.2954102000001</v>
      </c>
      <c r="H2233">
        <v>1325.2669678</v>
      </c>
      <c r="I2233">
        <v>1344.4410399999999</v>
      </c>
      <c r="J2233">
        <v>1340.0439452999999</v>
      </c>
      <c r="K2233">
        <v>0</v>
      </c>
      <c r="L2233">
        <v>2400</v>
      </c>
      <c r="M2233">
        <v>2400</v>
      </c>
      <c r="N2233">
        <v>0</v>
      </c>
    </row>
    <row r="2234" spans="1:14" x14ac:dyDescent="0.25">
      <c r="A2234">
        <v>1664.8577459999999</v>
      </c>
      <c r="B2234" s="1">
        <f>DATE(2014,11,20) + TIME(20,35,9)</f>
        <v>41963.857743055552</v>
      </c>
      <c r="C2234">
        <v>80</v>
      </c>
      <c r="D2234">
        <v>78.545890807999996</v>
      </c>
      <c r="E2234">
        <v>50</v>
      </c>
      <c r="F2234">
        <v>49.982208252</v>
      </c>
      <c r="G2234">
        <v>1327.2758789</v>
      </c>
      <c r="H2234">
        <v>1325.2414550999999</v>
      </c>
      <c r="I2234">
        <v>1344.4345702999999</v>
      </c>
      <c r="J2234">
        <v>1340.0389404</v>
      </c>
      <c r="K2234">
        <v>0</v>
      </c>
      <c r="L2234">
        <v>2400</v>
      </c>
      <c r="M2234">
        <v>2400</v>
      </c>
      <c r="N2234">
        <v>0</v>
      </c>
    </row>
    <row r="2235" spans="1:14" x14ac:dyDescent="0.25">
      <c r="A2235">
        <v>1665.6449480000001</v>
      </c>
      <c r="B2235" s="1">
        <f>DATE(2014,11,21) + TIME(15,28,43)</f>
        <v>41964.644942129627</v>
      </c>
      <c r="C2235">
        <v>80</v>
      </c>
      <c r="D2235">
        <v>78.499069214000002</v>
      </c>
      <c r="E2235">
        <v>50</v>
      </c>
      <c r="F2235">
        <v>49.982208252</v>
      </c>
      <c r="G2235">
        <v>1327.2554932</v>
      </c>
      <c r="H2235">
        <v>1325.2145995999999</v>
      </c>
      <c r="I2235">
        <v>1344.4281006000001</v>
      </c>
      <c r="J2235">
        <v>1340.0339355000001</v>
      </c>
      <c r="K2235">
        <v>0</v>
      </c>
      <c r="L2235">
        <v>2400</v>
      </c>
      <c r="M2235">
        <v>2400</v>
      </c>
      <c r="N2235">
        <v>0</v>
      </c>
    </row>
    <row r="2236" spans="1:14" x14ac:dyDescent="0.25">
      <c r="A2236">
        <v>1666.46775</v>
      </c>
      <c r="B2236" s="1">
        <f>DATE(2014,11,22) + TIME(11,13,33)</f>
        <v>41965.467743055553</v>
      </c>
      <c r="C2236">
        <v>80</v>
      </c>
      <c r="D2236">
        <v>78.450637817</v>
      </c>
      <c r="E2236">
        <v>50</v>
      </c>
      <c r="F2236">
        <v>49.982212066999999</v>
      </c>
      <c r="G2236">
        <v>1327.2341309000001</v>
      </c>
      <c r="H2236">
        <v>1325.1864014</v>
      </c>
      <c r="I2236">
        <v>1344.4216309000001</v>
      </c>
      <c r="J2236">
        <v>1340.0289307</v>
      </c>
      <c r="K2236">
        <v>0</v>
      </c>
      <c r="L2236">
        <v>2400</v>
      </c>
      <c r="M2236">
        <v>2400</v>
      </c>
      <c r="N2236">
        <v>0</v>
      </c>
    </row>
    <row r="2237" spans="1:14" x14ac:dyDescent="0.25">
      <c r="A2237">
        <v>1667.319119</v>
      </c>
      <c r="B2237" s="1">
        <f>DATE(2014,11,23) + TIME(7,39,31)</f>
        <v>41966.319108796299</v>
      </c>
      <c r="C2237">
        <v>80</v>
      </c>
      <c r="D2237">
        <v>78.400787354000002</v>
      </c>
      <c r="E2237">
        <v>50</v>
      </c>
      <c r="F2237">
        <v>49.982212066999999</v>
      </c>
      <c r="G2237">
        <v>1327.2117920000001</v>
      </c>
      <c r="H2237">
        <v>1325.1568603999999</v>
      </c>
      <c r="I2237">
        <v>1344.4151611</v>
      </c>
      <c r="J2237">
        <v>1340.0238036999999</v>
      </c>
      <c r="K2237">
        <v>0</v>
      </c>
      <c r="L2237">
        <v>2400</v>
      </c>
      <c r="M2237">
        <v>2400</v>
      </c>
      <c r="N2237">
        <v>0</v>
      </c>
    </row>
    <row r="2238" spans="1:14" x14ac:dyDescent="0.25">
      <c r="A2238">
        <v>1668.1893050000001</v>
      </c>
      <c r="B2238" s="1">
        <f>DATE(2014,11,24) + TIME(4,32,35)</f>
        <v>41967.189293981479</v>
      </c>
      <c r="C2238">
        <v>80</v>
      </c>
      <c r="D2238">
        <v>78.349899292000003</v>
      </c>
      <c r="E2238">
        <v>50</v>
      </c>
      <c r="F2238">
        <v>49.982212066999999</v>
      </c>
      <c r="G2238">
        <v>1327.1884766000001</v>
      </c>
      <c r="H2238">
        <v>1325.1259766000001</v>
      </c>
      <c r="I2238">
        <v>1344.4086914</v>
      </c>
      <c r="J2238">
        <v>1340.0186768000001</v>
      </c>
      <c r="K2238">
        <v>0</v>
      </c>
      <c r="L2238">
        <v>2400</v>
      </c>
      <c r="M2238">
        <v>2400</v>
      </c>
      <c r="N2238">
        <v>0</v>
      </c>
    </row>
    <row r="2239" spans="1:14" x14ac:dyDescent="0.25">
      <c r="A2239">
        <v>1669.073656</v>
      </c>
      <c r="B2239" s="1">
        <f>DATE(2014,11,25) + TIME(1,46,3)</f>
        <v>41968.073645833334</v>
      </c>
      <c r="C2239">
        <v>80</v>
      </c>
      <c r="D2239">
        <v>78.298301696999999</v>
      </c>
      <c r="E2239">
        <v>50</v>
      </c>
      <c r="F2239">
        <v>49.982215881000002</v>
      </c>
      <c r="G2239">
        <v>1327.1644286999999</v>
      </c>
      <c r="H2239">
        <v>1325.0942382999999</v>
      </c>
      <c r="I2239">
        <v>1344.4023437999999</v>
      </c>
      <c r="J2239">
        <v>1340.0135498</v>
      </c>
      <c r="K2239">
        <v>0</v>
      </c>
      <c r="L2239">
        <v>2400</v>
      </c>
      <c r="M2239">
        <v>2400</v>
      </c>
      <c r="N2239">
        <v>0</v>
      </c>
    </row>
    <row r="2240" spans="1:14" x14ac:dyDescent="0.25">
      <c r="A2240">
        <v>1669.9717470000001</v>
      </c>
      <c r="B2240" s="1">
        <f>DATE(2014,11,25) + TIME(23,19,18)</f>
        <v>41968.971736111111</v>
      </c>
      <c r="C2240">
        <v>80</v>
      </c>
      <c r="D2240">
        <v>78.246170043999996</v>
      </c>
      <c r="E2240">
        <v>50</v>
      </c>
      <c r="F2240">
        <v>49.982215881000002</v>
      </c>
      <c r="G2240">
        <v>1327.1397704999999</v>
      </c>
      <c r="H2240">
        <v>1325.0616454999999</v>
      </c>
      <c r="I2240">
        <v>1344.3961182</v>
      </c>
      <c r="J2240">
        <v>1340.0085449000001</v>
      </c>
      <c r="K2240">
        <v>0</v>
      </c>
      <c r="L2240">
        <v>2400</v>
      </c>
      <c r="M2240">
        <v>2400</v>
      </c>
      <c r="N2240">
        <v>0</v>
      </c>
    </row>
    <row r="2241" spans="1:14" x14ac:dyDescent="0.25">
      <c r="A2241">
        <v>1670.8844630000001</v>
      </c>
      <c r="B2241" s="1">
        <f>DATE(2014,11,26) + TIME(21,13,37)</f>
        <v>41969.884456018517</v>
      </c>
      <c r="C2241">
        <v>80</v>
      </c>
      <c r="D2241">
        <v>78.193588257000002</v>
      </c>
      <c r="E2241">
        <v>50</v>
      </c>
      <c r="F2241">
        <v>49.982219696000001</v>
      </c>
      <c r="G2241">
        <v>1327.114624</v>
      </c>
      <c r="H2241">
        <v>1325.0284423999999</v>
      </c>
      <c r="I2241">
        <v>1344.3900146000001</v>
      </c>
      <c r="J2241">
        <v>1340.0036620999999</v>
      </c>
      <c r="K2241">
        <v>0</v>
      </c>
      <c r="L2241">
        <v>2400</v>
      </c>
      <c r="M2241">
        <v>2400</v>
      </c>
      <c r="N2241">
        <v>0</v>
      </c>
    </row>
    <row r="2242" spans="1:14" x14ac:dyDescent="0.25">
      <c r="A2242">
        <v>1671.8115270000001</v>
      </c>
      <c r="B2242" s="1">
        <f>DATE(2014,11,27) + TIME(19,28,35)</f>
        <v>41970.811516203707</v>
      </c>
      <c r="C2242">
        <v>80</v>
      </c>
      <c r="D2242">
        <v>78.140617371000005</v>
      </c>
      <c r="E2242">
        <v>50</v>
      </c>
      <c r="F2242">
        <v>49.982223511000001</v>
      </c>
      <c r="G2242">
        <v>1327.0889893000001</v>
      </c>
      <c r="H2242">
        <v>1324.9943848</v>
      </c>
      <c r="I2242">
        <v>1344.3840332</v>
      </c>
      <c r="J2242">
        <v>1339.9987793</v>
      </c>
      <c r="K2242">
        <v>0</v>
      </c>
      <c r="L2242">
        <v>2400</v>
      </c>
      <c r="M2242">
        <v>2400</v>
      </c>
      <c r="N2242">
        <v>0</v>
      </c>
    </row>
    <row r="2243" spans="1:14" x14ac:dyDescent="0.25">
      <c r="A2243">
        <v>1672.7548879999999</v>
      </c>
      <c r="B2243" s="1">
        <f>DATE(2014,11,28) + TIME(18,7,2)</f>
        <v>41971.754884259259</v>
      </c>
      <c r="C2243">
        <v>80</v>
      </c>
      <c r="D2243">
        <v>78.087242126000007</v>
      </c>
      <c r="E2243">
        <v>50</v>
      </c>
      <c r="F2243">
        <v>49.982223511000001</v>
      </c>
      <c r="G2243">
        <v>1327.0627440999999</v>
      </c>
      <c r="H2243">
        <v>1324.9595947</v>
      </c>
      <c r="I2243">
        <v>1344.3781738</v>
      </c>
      <c r="J2243">
        <v>1339.9940185999999</v>
      </c>
      <c r="K2243">
        <v>0</v>
      </c>
      <c r="L2243">
        <v>2400</v>
      </c>
      <c r="M2243">
        <v>2400</v>
      </c>
      <c r="N2243">
        <v>0</v>
      </c>
    </row>
    <row r="2244" spans="1:14" x14ac:dyDescent="0.25">
      <c r="A2244">
        <v>1673.7164949999999</v>
      </c>
      <c r="B2244" s="1">
        <f>DATE(2014,11,29) + TIME(17,11,45)</f>
        <v>41972.716493055559</v>
      </c>
      <c r="C2244">
        <v>80</v>
      </c>
      <c r="D2244">
        <v>78.033393860000004</v>
      </c>
      <c r="E2244">
        <v>50</v>
      </c>
      <c r="F2244">
        <v>49.982227324999997</v>
      </c>
      <c r="G2244">
        <v>1327.0358887</v>
      </c>
      <c r="H2244">
        <v>1324.9239502</v>
      </c>
      <c r="I2244">
        <v>1344.3724365</v>
      </c>
      <c r="J2244">
        <v>1339.9892577999999</v>
      </c>
      <c r="K2244">
        <v>0</v>
      </c>
      <c r="L2244">
        <v>2400</v>
      </c>
      <c r="M2244">
        <v>2400</v>
      </c>
      <c r="N2244">
        <v>0</v>
      </c>
    </row>
    <row r="2245" spans="1:14" x14ac:dyDescent="0.25">
      <c r="A2245">
        <v>1674.698341</v>
      </c>
      <c r="B2245" s="1">
        <f>DATE(2014,11,30) + TIME(16,45,36)</f>
        <v>41973.698333333334</v>
      </c>
      <c r="C2245">
        <v>80</v>
      </c>
      <c r="D2245">
        <v>77.979019164999997</v>
      </c>
      <c r="E2245">
        <v>50</v>
      </c>
      <c r="F2245">
        <v>49.982231140000003</v>
      </c>
      <c r="G2245">
        <v>1327.0084228999999</v>
      </c>
      <c r="H2245">
        <v>1324.8875731999999</v>
      </c>
      <c r="I2245">
        <v>1344.3668213000001</v>
      </c>
      <c r="J2245">
        <v>1339.9844971</v>
      </c>
      <c r="K2245">
        <v>0</v>
      </c>
      <c r="L2245">
        <v>2400</v>
      </c>
      <c r="M2245">
        <v>2400</v>
      </c>
      <c r="N2245">
        <v>0</v>
      </c>
    </row>
    <row r="2246" spans="1:14" x14ac:dyDescent="0.25">
      <c r="A2246">
        <v>1675</v>
      </c>
      <c r="B2246" s="1">
        <f>DATE(2014,12,1) + TIME(0,0,0)</f>
        <v>41974</v>
      </c>
      <c r="C2246">
        <v>80</v>
      </c>
      <c r="D2246">
        <v>77.953163146999998</v>
      </c>
      <c r="E2246">
        <v>50</v>
      </c>
      <c r="F2246">
        <v>49.982231140000003</v>
      </c>
      <c r="G2246">
        <v>1326.9840088000001</v>
      </c>
      <c r="H2246">
        <v>1324.8546143000001</v>
      </c>
      <c r="I2246">
        <v>1344.3610839999999</v>
      </c>
      <c r="J2246">
        <v>1339.9801024999999</v>
      </c>
      <c r="K2246">
        <v>0</v>
      </c>
      <c r="L2246">
        <v>2400</v>
      </c>
      <c r="M2246">
        <v>2400</v>
      </c>
      <c r="N2246">
        <v>0</v>
      </c>
    </row>
    <row r="2247" spans="1:14" x14ac:dyDescent="0.25">
      <c r="A2247">
        <v>1676.0041470000001</v>
      </c>
      <c r="B2247" s="1">
        <f>DATE(2014,12,2) + TIME(0,5,58)</f>
        <v>41975.004143518519</v>
      </c>
      <c r="C2247">
        <v>80</v>
      </c>
      <c r="D2247">
        <v>77.902938843000001</v>
      </c>
      <c r="E2247">
        <v>50</v>
      </c>
      <c r="F2247">
        <v>49.982238770000002</v>
      </c>
      <c r="G2247">
        <v>1326.9696045000001</v>
      </c>
      <c r="H2247">
        <v>1324.8359375</v>
      </c>
      <c r="I2247">
        <v>1344.3596190999999</v>
      </c>
      <c r="J2247">
        <v>1339.9782714999999</v>
      </c>
      <c r="K2247">
        <v>0</v>
      </c>
      <c r="L2247">
        <v>2400</v>
      </c>
      <c r="M2247">
        <v>2400</v>
      </c>
      <c r="N2247">
        <v>0</v>
      </c>
    </row>
    <row r="2248" spans="1:14" x14ac:dyDescent="0.25">
      <c r="A2248">
        <v>1677.0410529999999</v>
      </c>
      <c r="B2248" s="1">
        <f>DATE(2014,12,3) + TIME(0,59,6)</f>
        <v>41976.041041666664</v>
      </c>
      <c r="C2248">
        <v>80</v>
      </c>
      <c r="D2248">
        <v>77.849449157999999</v>
      </c>
      <c r="E2248">
        <v>50</v>
      </c>
      <c r="F2248">
        <v>49.982242583999998</v>
      </c>
      <c r="G2248">
        <v>1326.9418945</v>
      </c>
      <c r="H2248">
        <v>1324.7990723</v>
      </c>
      <c r="I2248">
        <v>1344.3542480000001</v>
      </c>
      <c r="J2248">
        <v>1339.9738769999999</v>
      </c>
      <c r="K2248">
        <v>0</v>
      </c>
      <c r="L2248">
        <v>2400</v>
      </c>
      <c r="M2248">
        <v>2400</v>
      </c>
      <c r="N2248">
        <v>0</v>
      </c>
    </row>
    <row r="2249" spans="1:14" x14ac:dyDescent="0.25">
      <c r="A2249">
        <v>1678.1051709999999</v>
      </c>
      <c r="B2249" s="1">
        <f>DATE(2014,12,4) + TIME(2,31,26)</f>
        <v>41977.105162037034</v>
      </c>
      <c r="C2249">
        <v>80</v>
      </c>
      <c r="D2249">
        <v>77.793876647999994</v>
      </c>
      <c r="E2249">
        <v>50</v>
      </c>
      <c r="F2249">
        <v>49.982250213999997</v>
      </c>
      <c r="G2249">
        <v>1326.9124756000001</v>
      </c>
      <c r="H2249">
        <v>1324.7598877</v>
      </c>
      <c r="I2249">
        <v>1344.3488769999999</v>
      </c>
      <c r="J2249">
        <v>1339.9692382999999</v>
      </c>
      <c r="K2249">
        <v>0</v>
      </c>
      <c r="L2249">
        <v>2400</v>
      </c>
      <c r="M2249">
        <v>2400</v>
      </c>
      <c r="N2249">
        <v>0</v>
      </c>
    </row>
    <row r="2250" spans="1:14" x14ac:dyDescent="0.25">
      <c r="A2250">
        <v>1679.198854</v>
      </c>
      <c r="B2250" s="1">
        <f>DATE(2014,12,5) + TIME(4,46,20)</f>
        <v>41978.198842592596</v>
      </c>
      <c r="C2250">
        <v>80</v>
      </c>
      <c r="D2250">
        <v>77.736770629999995</v>
      </c>
      <c r="E2250">
        <v>50</v>
      </c>
      <c r="F2250">
        <v>49.982254028</v>
      </c>
      <c r="G2250">
        <v>1326.8818358999999</v>
      </c>
      <c r="H2250">
        <v>1324.7191161999999</v>
      </c>
      <c r="I2250">
        <v>1344.3435059000001</v>
      </c>
      <c r="J2250">
        <v>1339.9645995999999</v>
      </c>
      <c r="K2250">
        <v>0</v>
      </c>
      <c r="L2250">
        <v>2400</v>
      </c>
      <c r="M2250">
        <v>2400</v>
      </c>
      <c r="N2250">
        <v>0</v>
      </c>
    </row>
    <row r="2251" spans="1:14" x14ac:dyDescent="0.25">
      <c r="A2251">
        <v>1680.3246509999999</v>
      </c>
      <c r="B2251" s="1">
        <f>DATE(2014,12,6) + TIME(7,47,29)</f>
        <v>41979.324641203704</v>
      </c>
      <c r="C2251">
        <v>80</v>
      </c>
      <c r="D2251">
        <v>77.678375243999994</v>
      </c>
      <c r="E2251">
        <v>50</v>
      </c>
      <c r="F2251">
        <v>49.982261657999999</v>
      </c>
      <c r="G2251">
        <v>1326.8500977000001</v>
      </c>
      <c r="H2251">
        <v>1324.6770019999999</v>
      </c>
      <c r="I2251">
        <v>1344.3381348</v>
      </c>
      <c r="J2251">
        <v>1339.9599608999999</v>
      </c>
      <c r="K2251">
        <v>0</v>
      </c>
      <c r="L2251">
        <v>2400</v>
      </c>
      <c r="M2251">
        <v>2400</v>
      </c>
      <c r="N2251">
        <v>0</v>
      </c>
    </row>
    <row r="2252" spans="1:14" x14ac:dyDescent="0.25">
      <c r="A2252">
        <v>1681.485547</v>
      </c>
      <c r="B2252" s="1">
        <f>DATE(2014,12,7) + TIME(11,39,11)</f>
        <v>41980.485543981478</v>
      </c>
      <c r="C2252">
        <v>80</v>
      </c>
      <c r="D2252">
        <v>77.618736267000003</v>
      </c>
      <c r="E2252">
        <v>50</v>
      </c>
      <c r="F2252">
        <v>49.982265472000002</v>
      </c>
      <c r="G2252">
        <v>1326.8173827999999</v>
      </c>
      <c r="H2252">
        <v>1324.6333007999999</v>
      </c>
      <c r="I2252">
        <v>1344.3327637</v>
      </c>
      <c r="J2252">
        <v>1339.9553223</v>
      </c>
      <c r="K2252">
        <v>0</v>
      </c>
      <c r="L2252">
        <v>2400</v>
      </c>
      <c r="M2252">
        <v>2400</v>
      </c>
      <c r="N2252">
        <v>0</v>
      </c>
    </row>
    <row r="2253" spans="1:14" x14ac:dyDescent="0.25">
      <c r="A2253">
        <v>1682.684624</v>
      </c>
      <c r="B2253" s="1">
        <f>DATE(2014,12,8) + TIME(16,25,51)</f>
        <v>41981.684618055559</v>
      </c>
      <c r="C2253">
        <v>80</v>
      </c>
      <c r="D2253">
        <v>77.557823181000003</v>
      </c>
      <c r="E2253">
        <v>50</v>
      </c>
      <c r="F2253">
        <v>49.982273102000001</v>
      </c>
      <c r="G2253">
        <v>1326.7834473</v>
      </c>
      <c r="H2253">
        <v>1324.5880127</v>
      </c>
      <c r="I2253">
        <v>1344.3275146000001</v>
      </c>
      <c r="J2253">
        <v>1339.9506836</v>
      </c>
      <c r="K2253">
        <v>0</v>
      </c>
      <c r="L2253">
        <v>2400</v>
      </c>
      <c r="M2253">
        <v>2400</v>
      </c>
      <c r="N2253">
        <v>0</v>
      </c>
    </row>
    <row r="2254" spans="1:14" x14ac:dyDescent="0.25">
      <c r="A2254">
        <v>1683.9252220000001</v>
      </c>
      <c r="B2254" s="1">
        <f>DATE(2014,12,9) + TIME(22,12,19)</f>
        <v>41982.925219907411</v>
      </c>
      <c r="C2254">
        <v>80</v>
      </c>
      <c r="D2254">
        <v>77.495567321999999</v>
      </c>
      <c r="E2254">
        <v>50</v>
      </c>
      <c r="F2254">
        <v>49.982280731000003</v>
      </c>
      <c r="G2254">
        <v>1326.7482910000001</v>
      </c>
      <c r="H2254">
        <v>1324.5411377</v>
      </c>
      <c r="I2254">
        <v>1344.3222656</v>
      </c>
      <c r="J2254">
        <v>1339.9460449000001</v>
      </c>
      <c r="K2254">
        <v>0</v>
      </c>
      <c r="L2254">
        <v>2400</v>
      </c>
      <c r="M2254">
        <v>2400</v>
      </c>
      <c r="N2254">
        <v>0</v>
      </c>
    </row>
    <row r="2255" spans="1:14" x14ac:dyDescent="0.25">
      <c r="A2255">
        <v>1685.210977</v>
      </c>
      <c r="B2255" s="1">
        <f>DATE(2014,12,11) + TIME(5,3,48)</f>
        <v>41984.210972222223</v>
      </c>
      <c r="C2255">
        <v>80</v>
      </c>
      <c r="D2255">
        <v>77.431861877000003</v>
      </c>
      <c r="E2255">
        <v>50</v>
      </c>
      <c r="F2255">
        <v>49.982288361000002</v>
      </c>
      <c r="G2255">
        <v>1326.7117920000001</v>
      </c>
      <c r="H2255">
        <v>1324.4924315999999</v>
      </c>
      <c r="I2255">
        <v>1344.3168945</v>
      </c>
      <c r="J2255">
        <v>1339.9412841999999</v>
      </c>
      <c r="K2255">
        <v>0</v>
      </c>
      <c r="L2255">
        <v>2400</v>
      </c>
      <c r="M2255">
        <v>2400</v>
      </c>
      <c r="N2255">
        <v>0</v>
      </c>
    </row>
    <row r="2256" spans="1:14" x14ac:dyDescent="0.25">
      <c r="A2256">
        <v>1686.5213879999999</v>
      </c>
      <c r="B2256" s="1">
        <f>DATE(2014,12,12) + TIME(12,30,47)</f>
        <v>41985.521377314813</v>
      </c>
      <c r="C2256">
        <v>80</v>
      </c>
      <c r="D2256">
        <v>77.367073059000006</v>
      </c>
      <c r="E2256">
        <v>50</v>
      </c>
      <c r="F2256">
        <v>49.982295989999997</v>
      </c>
      <c r="G2256">
        <v>1326.6739502</v>
      </c>
      <c r="H2256">
        <v>1324.4418945</v>
      </c>
      <c r="I2256">
        <v>1344.3116454999999</v>
      </c>
      <c r="J2256">
        <v>1339.9365233999999</v>
      </c>
      <c r="K2256">
        <v>0</v>
      </c>
      <c r="L2256">
        <v>2400</v>
      </c>
      <c r="M2256">
        <v>2400</v>
      </c>
      <c r="N2256">
        <v>0</v>
      </c>
    </row>
    <row r="2257" spans="1:14" x14ac:dyDescent="0.25">
      <c r="A2257">
        <v>1687.8560680000001</v>
      </c>
      <c r="B2257" s="1">
        <f>DATE(2014,12,13) + TIME(20,32,44)</f>
        <v>41986.856064814812</v>
      </c>
      <c r="C2257">
        <v>80</v>
      </c>
      <c r="D2257">
        <v>77.301567078000005</v>
      </c>
      <c r="E2257">
        <v>50</v>
      </c>
      <c r="F2257">
        <v>49.982303619</v>
      </c>
      <c r="G2257">
        <v>1326.6351318</v>
      </c>
      <c r="H2257">
        <v>1324.3901367000001</v>
      </c>
      <c r="I2257">
        <v>1344.3063964999999</v>
      </c>
      <c r="J2257">
        <v>1339.9318848</v>
      </c>
      <c r="K2257">
        <v>0</v>
      </c>
      <c r="L2257">
        <v>2400</v>
      </c>
      <c r="M2257">
        <v>2400</v>
      </c>
      <c r="N2257">
        <v>0</v>
      </c>
    </row>
    <row r="2258" spans="1:14" x14ac:dyDescent="0.25">
      <c r="A2258">
        <v>1689.211233</v>
      </c>
      <c r="B2258" s="1">
        <f>DATE(2014,12,15) + TIME(5,4,10)</f>
        <v>41988.211226851854</v>
      </c>
      <c r="C2258">
        <v>80</v>
      </c>
      <c r="D2258">
        <v>77.235580443999993</v>
      </c>
      <c r="E2258">
        <v>50</v>
      </c>
      <c r="F2258">
        <v>49.982311248999999</v>
      </c>
      <c r="G2258">
        <v>1326.5954589999999</v>
      </c>
      <c r="H2258">
        <v>1324.3370361</v>
      </c>
      <c r="I2258">
        <v>1344.3012695</v>
      </c>
      <c r="J2258">
        <v>1339.927124</v>
      </c>
      <c r="K2258">
        <v>0</v>
      </c>
      <c r="L2258">
        <v>2400</v>
      </c>
      <c r="M2258">
        <v>2400</v>
      </c>
      <c r="N2258">
        <v>0</v>
      </c>
    </row>
    <row r="2259" spans="1:14" x14ac:dyDescent="0.25">
      <c r="A2259">
        <v>1690.5899380000001</v>
      </c>
      <c r="B2259" s="1">
        <f>DATE(2014,12,16) + TIME(14,9,30)</f>
        <v>41989.589930555558</v>
      </c>
      <c r="C2259">
        <v>80</v>
      </c>
      <c r="D2259">
        <v>77.169219971000004</v>
      </c>
      <c r="E2259">
        <v>50</v>
      </c>
      <c r="F2259">
        <v>49.982322693</v>
      </c>
      <c r="G2259">
        <v>1326.5550536999999</v>
      </c>
      <c r="H2259">
        <v>1324.2829589999999</v>
      </c>
      <c r="I2259">
        <v>1344.2962646000001</v>
      </c>
      <c r="J2259">
        <v>1339.9224853999999</v>
      </c>
      <c r="K2259">
        <v>0</v>
      </c>
      <c r="L2259">
        <v>2400</v>
      </c>
      <c r="M2259">
        <v>2400</v>
      </c>
      <c r="N2259">
        <v>0</v>
      </c>
    </row>
    <row r="2260" spans="1:14" x14ac:dyDescent="0.25">
      <c r="A2260">
        <v>1691.994418</v>
      </c>
      <c r="B2260" s="1">
        <f>DATE(2014,12,17) + TIME(23,51,57)</f>
        <v>41990.994409722225</v>
      </c>
      <c r="C2260">
        <v>80</v>
      </c>
      <c r="D2260">
        <v>77.102455139</v>
      </c>
      <c r="E2260">
        <v>50</v>
      </c>
      <c r="F2260">
        <v>49.982330322000003</v>
      </c>
      <c r="G2260">
        <v>1326.5137939000001</v>
      </c>
      <c r="H2260">
        <v>1324.2277832</v>
      </c>
      <c r="I2260">
        <v>1344.2912598</v>
      </c>
      <c r="J2260">
        <v>1339.9179687999999</v>
      </c>
      <c r="K2260">
        <v>0</v>
      </c>
      <c r="L2260">
        <v>2400</v>
      </c>
      <c r="M2260">
        <v>2400</v>
      </c>
      <c r="N2260">
        <v>0</v>
      </c>
    </row>
    <row r="2261" spans="1:14" x14ac:dyDescent="0.25">
      <c r="A2261">
        <v>1693.425342</v>
      </c>
      <c r="B2261" s="1">
        <f>DATE(2014,12,19) + TIME(10,12,29)</f>
        <v>41992.425335648149</v>
      </c>
      <c r="C2261">
        <v>80</v>
      </c>
      <c r="D2261">
        <v>77.035255432</v>
      </c>
      <c r="E2261">
        <v>50</v>
      </c>
      <c r="F2261">
        <v>49.982337952000002</v>
      </c>
      <c r="G2261">
        <v>1326.4716797000001</v>
      </c>
      <c r="H2261">
        <v>1324.1713867000001</v>
      </c>
      <c r="I2261">
        <v>1344.2863769999999</v>
      </c>
      <c r="J2261">
        <v>1339.9134521000001</v>
      </c>
      <c r="K2261">
        <v>0</v>
      </c>
      <c r="L2261">
        <v>2400</v>
      </c>
      <c r="M2261">
        <v>2400</v>
      </c>
      <c r="N2261">
        <v>0</v>
      </c>
    </row>
    <row r="2262" spans="1:14" x14ac:dyDescent="0.25">
      <c r="A2262">
        <v>1694.8859179999999</v>
      </c>
      <c r="B2262" s="1">
        <f>DATE(2014,12,20) + TIME(21,15,43)</f>
        <v>41993.885914351849</v>
      </c>
      <c r="C2262">
        <v>80</v>
      </c>
      <c r="D2262">
        <v>76.967567443999997</v>
      </c>
      <c r="E2262">
        <v>50</v>
      </c>
      <c r="F2262">
        <v>49.982349395999996</v>
      </c>
      <c r="G2262">
        <v>1326.4287108999999</v>
      </c>
      <c r="H2262">
        <v>1324.1138916</v>
      </c>
      <c r="I2262">
        <v>1344.2814940999999</v>
      </c>
      <c r="J2262">
        <v>1339.9089355000001</v>
      </c>
      <c r="K2262">
        <v>0</v>
      </c>
      <c r="L2262">
        <v>2400</v>
      </c>
      <c r="M2262">
        <v>2400</v>
      </c>
      <c r="N2262">
        <v>0</v>
      </c>
    </row>
    <row r="2263" spans="1:14" x14ac:dyDescent="0.25">
      <c r="A2263">
        <v>1696.3794419999999</v>
      </c>
      <c r="B2263" s="1">
        <f>DATE(2014,12,22) + TIME(9,6,23)</f>
        <v>41995.379432870373</v>
      </c>
      <c r="C2263">
        <v>80</v>
      </c>
      <c r="D2263">
        <v>76.899276732999994</v>
      </c>
      <c r="E2263">
        <v>50</v>
      </c>
      <c r="F2263">
        <v>49.982360839999998</v>
      </c>
      <c r="G2263">
        <v>1326.3847656</v>
      </c>
      <c r="H2263">
        <v>1324.0549315999999</v>
      </c>
      <c r="I2263">
        <v>1344.2767334</v>
      </c>
      <c r="J2263">
        <v>1339.9044189000001</v>
      </c>
      <c r="K2263">
        <v>0</v>
      </c>
      <c r="L2263">
        <v>2400</v>
      </c>
      <c r="M2263">
        <v>2400</v>
      </c>
      <c r="N2263">
        <v>0</v>
      </c>
    </row>
    <row r="2264" spans="1:14" x14ac:dyDescent="0.25">
      <c r="A2264">
        <v>1697.9093130000001</v>
      </c>
      <c r="B2264" s="1">
        <f>DATE(2014,12,23) + TIME(21,49,24)</f>
        <v>41996.909305555557</v>
      </c>
      <c r="C2264">
        <v>80</v>
      </c>
      <c r="D2264">
        <v>76.830284118999998</v>
      </c>
      <c r="E2264">
        <v>50</v>
      </c>
      <c r="F2264">
        <v>49.982368469000001</v>
      </c>
      <c r="G2264">
        <v>1326.3397216999999</v>
      </c>
      <c r="H2264">
        <v>1323.9946289</v>
      </c>
      <c r="I2264">
        <v>1344.2719727000001</v>
      </c>
      <c r="J2264">
        <v>1339.8999022999999</v>
      </c>
      <c r="K2264">
        <v>0</v>
      </c>
      <c r="L2264">
        <v>2400</v>
      </c>
      <c r="M2264">
        <v>2400</v>
      </c>
      <c r="N2264">
        <v>0</v>
      </c>
    </row>
    <row r="2265" spans="1:14" x14ac:dyDescent="0.25">
      <c r="A2265">
        <v>1699.479403</v>
      </c>
      <c r="B2265" s="1">
        <f>DATE(2014,12,25) + TIME(11,30,20)</f>
        <v>41998.479398148149</v>
      </c>
      <c r="C2265">
        <v>80</v>
      </c>
      <c r="D2265">
        <v>76.760459900000001</v>
      </c>
      <c r="E2265">
        <v>50</v>
      </c>
      <c r="F2265">
        <v>49.982379913000003</v>
      </c>
      <c r="G2265">
        <v>1326.2935791</v>
      </c>
      <c r="H2265">
        <v>1323.9327393000001</v>
      </c>
      <c r="I2265">
        <v>1344.2672118999999</v>
      </c>
      <c r="J2265">
        <v>1339.8955077999999</v>
      </c>
      <c r="K2265">
        <v>0</v>
      </c>
      <c r="L2265">
        <v>2400</v>
      </c>
      <c r="M2265">
        <v>2400</v>
      </c>
      <c r="N2265">
        <v>0</v>
      </c>
    </row>
    <row r="2266" spans="1:14" x14ac:dyDescent="0.25">
      <c r="A2266">
        <v>1701.0928489999999</v>
      </c>
      <c r="B2266" s="1">
        <f>DATE(2014,12,27) + TIME(2,13,42)</f>
        <v>42000.092847222222</v>
      </c>
      <c r="C2266">
        <v>80</v>
      </c>
      <c r="D2266">
        <v>76.689682007000002</v>
      </c>
      <c r="E2266">
        <v>50</v>
      </c>
      <c r="F2266">
        <v>49.982391356999997</v>
      </c>
      <c r="G2266">
        <v>1326.2462158000001</v>
      </c>
      <c r="H2266">
        <v>1323.8690185999999</v>
      </c>
      <c r="I2266">
        <v>1344.2624512</v>
      </c>
      <c r="J2266">
        <v>1339.8909911999999</v>
      </c>
      <c r="K2266">
        <v>0</v>
      </c>
      <c r="L2266">
        <v>2400</v>
      </c>
      <c r="M2266">
        <v>2400</v>
      </c>
      <c r="N2266">
        <v>0</v>
      </c>
    </row>
    <row r="2267" spans="1:14" x14ac:dyDescent="0.25">
      <c r="A2267">
        <v>1702.753598</v>
      </c>
      <c r="B2267" s="1">
        <f>DATE(2014,12,28) + TIME(18,5,10)</f>
        <v>42001.753587962965</v>
      </c>
      <c r="C2267">
        <v>80</v>
      </c>
      <c r="D2267">
        <v>76.617828368999994</v>
      </c>
      <c r="E2267">
        <v>50</v>
      </c>
      <c r="F2267">
        <v>49.982402802000003</v>
      </c>
      <c r="G2267">
        <v>1326.1973877</v>
      </c>
      <c r="H2267">
        <v>1323.8035889</v>
      </c>
      <c r="I2267">
        <v>1344.2578125</v>
      </c>
      <c r="J2267">
        <v>1339.8865966999999</v>
      </c>
      <c r="K2267">
        <v>0</v>
      </c>
      <c r="L2267">
        <v>2400</v>
      </c>
      <c r="M2267">
        <v>2400</v>
      </c>
      <c r="N2267">
        <v>0</v>
      </c>
    </row>
    <row r="2268" spans="1:14" x14ac:dyDescent="0.25">
      <c r="A2268">
        <v>1704.4661739999999</v>
      </c>
      <c r="B2268" s="1">
        <f>DATE(2014,12,30) + TIME(11,11,17)</f>
        <v>42003.466168981482</v>
      </c>
      <c r="C2268">
        <v>80</v>
      </c>
      <c r="D2268">
        <v>76.544769286999994</v>
      </c>
      <c r="E2268">
        <v>50</v>
      </c>
      <c r="F2268">
        <v>49.982414245999998</v>
      </c>
      <c r="G2268">
        <v>1326.1470947</v>
      </c>
      <c r="H2268">
        <v>1323.7360839999999</v>
      </c>
      <c r="I2268">
        <v>1344.2530518000001</v>
      </c>
      <c r="J2268">
        <v>1339.8820800999999</v>
      </c>
      <c r="K2268">
        <v>0</v>
      </c>
      <c r="L2268">
        <v>2400</v>
      </c>
      <c r="M2268">
        <v>2400</v>
      </c>
      <c r="N2268">
        <v>0</v>
      </c>
    </row>
    <row r="2269" spans="1:14" x14ac:dyDescent="0.25">
      <c r="A2269">
        <v>1706</v>
      </c>
      <c r="B2269" s="1">
        <f>DATE(2015,1,1) + TIME(0,0,0)</f>
        <v>42005</v>
      </c>
      <c r="C2269">
        <v>80</v>
      </c>
      <c r="D2269">
        <v>76.473884583</v>
      </c>
      <c r="E2269">
        <v>50</v>
      </c>
      <c r="F2269">
        <v>49.982425689999999</v>
      </c>
      <c r="G2269">
        <v>1326.0958252</v>
      </c>
      <c r="H2269">
        <v>1323.6672363</v>
      </c>
      <c r="I2269">
        <v>1344.2482910000001</v>
      </c>
      <c r="J2269">
        <v>1339.8775635</v>
      </c>
      <c r="K2269">
        <v>0</v>
      </c>
      <c r="L2269">
        <v>2400</v>
      </c>
      <c r="M2269">
        <v>2400</v>
      </c>
      <c r="N2269">
        <v>0</v>
      </c>
    </row>
    <row r="2270" spans="1:14" x14ac:dyDescent="0.25">
      <c r="A2270">
        <v>1707.7692489999999</v>
      </c>
      <c r="B2270" s="1">
        <f>DATE(2015,1,2) + TIME(18,27,43)</f>
        <v>42006.769247685188</v>
      </c>
      <c r="C2270">
        <v>80</v>
      </c>
      <c r="D2270">
        <v>76.403144835999996</v>
      </c>
      <c r="E2270">
        <v>50</v>
      </c>
      <c r="F2270">
        <v>49.982437134000001</v>
      </c>
      <c r="G2270">
        <v>1326.0472411999999</v>
      </c>
      <c r="H2270">
        <v>1323.6016846</v>
      </c>
      <c r="I2270">
        <v>1344.2442627</v>
      </c>
      <c r="J2270">
        <v>1339.8735352000001</v>
      </c>
      <c r="K2270">
        <v>0</v>
      </c>
      <c r="L2270">
        <v>2400</v>
      </c>
      <c r="M2270">
        <v>2400</v>
      </c>
      <c r="N2270">
        <v>0</v>
      </c>
    </row>
    <row r="2271" spans="1:14" x14ac:dyDescent="0.25">
      <c r="A2271">
        <v>1709.6233099999999</v>
      </c>
      <c r="B2271" s="1">
        <f>DATE(2015,1,4) + TIME(14,57,33)</f>
        <v>42008.623298611114</v>
      </c>
      <c r="C2271">
        <v>80</v>
      </c>
      <c r="D2271">
        <v>76.328666686999995</v>
      </c>
      <c r="E2271">
        <v>50</v>
      </c>
      <c r="F2271">
        <v>49.982452393000003</v>
      </c>
      <c r="G2271">
        <v>1325.9945068</v>
      </c>
      <c r="H2271">
        <v>1323.5307617000001</v>
      </c>
      <c r="I2271">
        <v>1344.239624</v>
      </c>
      <c r="J2271">
        <v>1339.8691406</v>
      </c>
      <c r="K2271">
        <v>0</v>
      </c>
      <c r="L2271">
        <v>2400</v>
      </c>
      <c r="M2271">
        <v>2400</v>
      </c>
      <c r="N2271">
        <v>0</v>
      </c>
    </row>
    <row r="2272" spans="1:14" x14ac:dyDescent="0.25">
      <c r="A2272">
        <v>1711.5083749999999</v>
      </c>
      <c r="B2272" s="1">
        <f>DATE(2015,1,6) + TIME(12,12,3)</f>
        <v>42010.508368055554</v>
      </c>
      <c r="C2272">
        <v>80</v>
      </c>
      <c r="D2272">
        <v>76.251838684000006</v>
      </c>
      <c r="E2272">
        <v>50</v>
      </c>
      <c r="F2272">
        <v>49.982463836999997</v>
      </c>
      <c r="G2272">
        <v>1325.9387207</v>
      </c>
      <c r="H2272">
        <v>1323.4559326000001</v>
      </c>
      <c r="I2272">
        <v>1344.2348632999999</v>
      </c>
      <c r="J2272">
        <v>1339.864624</v>
      </c>
      <c r="K2272">
        <v>0</v>
      </c>
      <c r="L2272">
        <v>2400</v>
      </c>
      <c r="M2272">
        <v>2400</v>
      </c>
      <c r="N2272">
        <v>0</v>
      </c>
    </row>
    <row r="2273" spans="1:14" x14ac:dyDescent="0.25">
      <c r="A2273">
        <v>1713.4262229999999</v>
      </c>
      <c r="B2273" s="1">
        <f>DATE(2015,1,8) + TIME(10,13,45)</f>
        <v>42012.426215277781</v>
      </c>
      <c r="C2273">
        <v>80</v>
      </c>
      <c r="D2273">
        <v>76.174003600999995</v>
      </c>
      <c r="E2273">
        <v>50</v>
      </c>
      <c r="F2273">
        <v>49.982479095000002</v>
      </c>
      <c r="G2273">
        <v>1325.8815918</v>
      </c>
      <c r="H2273">
        <v>1323.3789062000001</v>
      </c>
      <c r="I2273">
        <v>1344.2301024999999</v>
      </c>
      <c r="J2273">
        <v>1339.8601074000001</v>
      </c>
      <c r="K2273">
        <v>0</v>
      </c>
      <c r="L2273">
        <v>2400</v>
      </c>
      <c r="M2273">
        <v>2400</v>
      </c>
      <c r="N2273">
        <v>0</v>
      </c>
    </row>
    <row r="2274" spans="1:14" x14ac:dyDescent="0.25">
      <c r="A2274">
        <v>1715.3791940000001</v>
      </c>
      <c r="B2274" s="1">
        <f>DATE(2015,1,10) + TIME(9,6,2)</f>
        <v>42014.379189814812</v>
      </c>
      <c r="C2274">
        <v>80</v>
      </c>
      <c r="D2274">
        <v>76.095504761000001</v>
      </c>
      <c r="E2274">
        <v>50</v>
      </c>
      <c r="F2274">
        <v>49.982490540000001</v>
      </c>
      <c r="G2274">
        <v>1325.8232422000001</v>
      </c>
      <c r="H2274">
        <v>1323.300293</v>
      </c>
      <c r="I2274">
        <v>1344.2254639</v>
      </c>
      <c r="J2274">
        <v>1339.8557129000001</v>
      </c>
      <c r="K2274">
        <v>0</v>
      </c>
      <c r="L2274">
        <v>2400</v>
      </c>
      <c r="M2274">
        <v>2400</v>
      </c>
      <c r="N2274">
        <v>0</v>
      </c>
    </row>
    <row r="2275" spans="1:14" x14ac:dyDescent="0.25">
      <c r="A2275">
        <v>1717.3708079999999</v>
      </c>
      <c r="B2275" s="1">
        <f>DATE(2015,1,12) + TIME(8,53,57)</f>
        <v>42016.370798611111</v>
      </c>
      <c r="C2275">
        <v>80</v>
      </c>
      <c r="D2275">
        <v>76.016380310000002</v>
      </c>
      <c r="E2275">
        <v>50</v>
      </c>
      <c r="F2275">
        <v>49.982505797999998</v>
      </c>
      <c r="G2275">
        <v>1325.7636719</v>
      </c>
      <c r="H2275">
        <v>1323.2202147999999</v>
      </c>
      <c r="I2275">
        <v>1344.2209473</v>
      </c>
      <c r="J2275">
        <v>1339.8511963000001</v>
      </c>
      <c r="K2275">
        <v>0</v>
      </c>
      <c r="L2275">
        <v>2400</v>
      </c>
      <c r="M2275">
        <v>2400</v>
      </c>
      <c r="N2275">
        <v>0</v>
      </c>
    </row>
    <row r="2276" spans="1:14" x14ac:dyDescent="0.25">
      <c r="A2276">
        <v>1719.4059299999999</v>
      </c>
      <c r="B2276" s="1">
        <f>DATE(2015,1,14) + TIME(9,44,32)</f>
        <v>42018.405925925923</v>
      </c>
      <c r="C2276">
        <v>80</v>
      </c>
      <c r="D2276">
        <v>75.936500549000002</v>
      </c>
      <c r="E2276">
        <v>50</v>
      </c>
      <c r="F2276">
        <v>49.982521057</v>
      </c>
      <c r="G2276">
        <v>1325.703125</v>
      </c>
      <c r="H2276">
        <v>1323.1384277</v>
      </c>
      <c r="I2276">
        <v>1344.2163086</v>
      </c>
      <c r="J2276">
        <v>1339.8468018000001</v>
      </c>
      <c r="K2276">
        <v>0</v>
      </c>
      <c r="L2276">
        <v>2400</v>
      </c>
      <c r="M2276">
        <v>2400</v>
      </c>
      <c r="N2276">
        <v>0</v>
      </c>
    </row>
    <row r="2277" spans="1:14" x14ac:dyDescent="0.25">
      <c r="A2277">
        <v>1721.4896369999999</v>
      </c>
      <c r="B2277" s="1">
        <f>DATE(2015,1,16) + TIME(11,45,4)</f>
        <v>42020.489629629628</v>
      </c>
      <c r="C2277">
        <v>80</v>
      </c>
      <c r="D2277">
        <v>75.855682372999993</v>
      </c>
      <c r="E2277">
        <v>50</v>
      </c>
      <c r="F2277">
        <v>49.982532501000001</v>
      </c>
      <c r="G2277">
        <v>1325.6411132999999</v>
      </c>
      <c r="H2277">
        <v>1323.0549315999999</v>
      </c>
      <c r="I2277">
        <v>1344.2116699000001</v>
      </c>
      <c r="J2277">
        <v>1339.8424072</v>
      </c>
      <c r="K2277">
        <v>0</v>
      </c>
      <c r="L2277">
        <v>2400</v>
      </c>
      <c r="M2277">
        <v>2400</v>
      </c>
      <c r="N2277">
        <v>0</v>
      </c>
    </row>
    <row r="2278" spans="1:14" x14ac:dyDescent="0.25">
      <c r="A2278">
        <v>1723.627393</v>
      </c>
      <c r="B2278" s="1">
        <f>DATE(2015,1,18) + TIME(15,3,26)</f>
        <v>42022.627384259256</v>
      </c>
      <c r="C2278">
        <v>80</v>
      </c>
      <c r="D2278">
        <v>75.773696899000001</v>
      </c>
      <c r="E2278">
        <v>50</v>
      </c>
      <c r="F2278">
        <v>49.982547760000003</v>
      </c>
      <c r="G2278">
        <v>1325.5777588000001</v>
      </c>
      <c r="H2278">
        <v>1322.9694824000001</v>
      </c>
      <c r="I2278">
        <v>1344.2071533000001</v>
      </c>
      <c r="J2278">
        <v>1339.8380127</v>
      </c>
      <c r="K2278">
        <v>0</v>
      </c>
      <c r="L2278">
        <v>2400</v>
      </c>
      <c r="M2278">
        <v>2400</v>
      </c>
      <c r="N2278">
        <v>0</v>
      </c>
    </row>
    <row r="2279" spans="1:14" x14ac:dyDescent="0.25">
      <c r="A2279">
        <v>1725.8249430000001</v>
      </c>
      <c r="B2279" s="1">
        <f>DATE(2015,1,20) + TIME(19,47,55)</f>
        <v>42024.824942129628</v>
      </c>
      <c r="C2279">
        <v>80</v>
      </c>
      <c r="D2279">
        <v>75.690307617000002</v>
      </c>
      <c r="E2279">
        <v>50</v>
      </c>
      <c r="F2279">
        <v>49.982563018999997</v>
      </c>
      <c r="G2279">
        <v>1325.5128173999999</v>
      </c>
      <c r="H2279">
        <v>1322.8818358999999</v>
      </c>
      <c r="I2279">
        <v>1344.2025146000001</v>
      </c>
      <c r="J2279">
        <v>1339.8336182</v>
      </c>
      <c r="K2279">
        <v>0</v>
      </c>
      <c r="L2279">
        <v>2400</v>
      </c>
      <c r="M2279">
        <v>2400</v>
      </c>
      <c r="N2279">
        <v>0</v>
      </c>
    </row>
    <row r="2280" spans="1:14" x14ac:dyDescent="0.25">
      <c r="A2280">
        <v>1728.087816</v>
      </c>
      <c r="B2280" s="1">
        <f>DATE(2015,1,23) + TIME(2,6,27)</f>
        <v>42027.087812500002</v>
      </c>
      <c r="C2280">
        <v>80</v>
      </c>
      <c r="D2280">
        <v>75.605255127000007</v>
      </c>
      <c r="E2280">
        <v>50</v>
      </c>
      <c r="F2280">
        <v>49.982578277999998</v>
      </c>
      <c r="G2280">
        <v>1325.4462891000001</v>
      </c>
      <c r="H2280">
        <v>1322.7918701000001</v>
      </c>
      <c r="I2280">
        <v>1344.197876</v>
      </c>
      <c r="J2280">
        <v>1339.8292236</v>
      </c>
      <c r="K2280">
        <v>0</v>
      </c>
      <c r="L2280">
        <v>2400</v>
      </c>
      <c r="M2280">
        <v>2400</v>
      </c>
      <c r="N2280">
        <v>0</v>
      </c>
    </row>
    <row r="2281" spans="1:14" x14ac:dyDescent="0.25">
      <c r="A2281">
        <v>1730.4216280000001</v>
      </c>
      <c r="B2281" s="1">
        <f>DATE(2015,1,25) + TIME(10,7,8)</f>
        <v>42029.421620370369</v>
      </c>
      <c r="C2281">
        <v>80</v>
      </c>
      <c r="D2281">
        <v>75.518257141000007</v>
      </c>
      <c r="E2281">
        <v>50</v>
      </c>
      <c r="F2281">
        <v>49.982593536000003</v>
      </c>
      <c r="G2281">
        <v>1325.3778076000001</v>
      </c>
      <c r="H2281">
        <v>1322.6993408000001</v>
      </c>
      <c r="I2281">
        <v>1344.1932373</v>
      </c>
      <c r="J2281">
        <v>1339.824707</v>
      </c>
      <c r="K2281">
        <v>0</v>
      </c>
      <c r="L2281">
        <v>2400</v>
      </c>
      <c r="M2281">
        <v>2400</v>
      </c>
      <c r="N2281">
        <v>0</v>
      </c>
    </row>
    <row r="2282" spans="1:14" x14ac:dyDescent="0.25">
      <c r="A2282">
        <v>1732.813772</v>
      </c>
      <c r="B2282" s="1">
        <f>DATE(2015,1,27) + TIME(19,31,49)</f>
        <v>42031.813761574071</v>
      </c>
      <c r="C2282">
        <v>80</v>
      </c>
      <c r="D2282">
        <v>75.429199218999997</v>
      </c>
      <c r="E2282">
        <v>50</v>
      </c>
      <c r="F2282">
        <v>49.982612609999997</v>
      </c>
      <c r="G2282">
        <v>1325.3073730000001</v>
      </c>
      <c r="H2282">
        <v>1322.604126</v>
      </c>
      <c r="I2282">
        <v>1344.1884766000001</v>
      </c>
      <c r="J2282">
        <v>1339.8201904</v>
      </c>
      <c r="K2282">
        <v>0</v>
      </c>
      <c r="L2282">
        <v>2400</v>
      </c>
      <c r="M2282">
        <v>2400</v>
      </c>
      <c r="N2282">
        <v>0</v>
      </c>
    </row>
    <row r="2283" spans="1:14" x14ac:dyDescent="0.25">
      <c r="A2283">
        <v>1735.2555689999999</v>
      </c>
      <c r="B2283" s="1">
        <f>DATE(2015,1,30) + TIME(6,8,1)</f>
        <v>42034.255567129629</v>
      </c>
      <c r="C2283">
        <v>80</v>
      </c>
      <c r="D2283">
        <v>75.338279724000003</v>
      </c>
      <c r="E2283">
        <v>50</v>
      </c>
      <c r="F2283">
        <v>49.982627868999998</v>
      </c>
      <c r="G2283">
        <v>1325.2351074000001</v>
      </c>
      <c r="H2283">
        <v>1322.5065918</v>
      </c>
      <c r="I2283">
        <v>1344.1837158000001</v>
      </c>
      <c r="J2283">
        <v>1339.8157959</v>
      </c>
      <c r="K2283">
        <v>0</v>
      </c>
      <c r="L2283">
        <v>2400</v>
      </c>
      <c r="M2283">
        <v>2400</v>
      </c>
      <c r="N2283">
        <v>0</v>
      </c>
    </row>
    <row r="2284" spans="1:14" x14ac:dyDescent="0.25">
      <c r="A2284">
        <v>1737</v>
      </c>
      <c r="B2284" s="1">
        <f>DATE(2015,2,1) + TIME(0,0,0)</f>
        <v>42036</v>
      </c>
      <c r="C2284">
        <v>80</v>
      </c>
      <c r="D2284">
        <v>75.254058838000006</v>
      </c>
      <c r="E2284">
        <v>50</v>
      </c>
      <c r="F2284">
        <v>49.982639313</v>
      </c>
      <c r="G2284">
        <v>1325.1630858999999</v>
      </c>
      <c r="H2284">
        <v>1322.4093018000001</v>
      </c>
      <c r="I2284">
        <v>1344.1788329999999</v>
      </c>
      <c r="J2284">
        <v>1339.8112793</v>
      </c>
      <c r="K2284">
        <v>0</v>
      </c>
      <c r="L2284">
        <v>2400</v>
      </c>
      <c r="M2284">
        <v>2400</v>
      </c>
      <c r="N2284">
        <v>0</v>
      </c>
    </row>
    <row r="2285" spans="1:14" x14ac:dyDescent="0.25">
      <c r="A2285">
        <v>1739.498102</v>
      </c>
      <c r="B2285" s="1">
        <f>DATE(2015,2,3) + TIME(11,57,16)</f>
        <v>42038.498101851852</v>
      </c>
      <c r="C2285">
        <v>80</v>
      </c>
      <c r="D2285">
        <v>75.175117493000002</v>
      </c>
      <c r="E2285">
        <v>50</v>
      </c>
      <c r="F2285">
        <v>49.982654572000001</v>
      </c>
      <c r="G2285">
        <v>1325.1032714999999</v>
      </c>
      <c r="H2285">
        <v>1322.3272704999999</v>
      </c>
      <c r="I2285">
        <v>1344.1756591999999</v>
      </c>
      <c r="J2285">
        <v>1339.8081055</v>
      </c>
      <c r="K2285">
        <v>0</v>
      </c>
      <c r="L2285">
        <v>2400</v>
      </c>
      <c r="M2285">
        <v>2400</v>
      </c>
      <c r="N2285">
        <v>0</v>
      </c>
    </row>
    <row r="2286" spans="1:14" x14ac:dyDescent="0.25">
      <c r="A2286">
        <v>1742.1085459999999</v>
      </c>
      <c r="B2286" s="1">
        <f>DATE(2015,2,6) + TIME(2,36,18)</f>
        <v>42041.108541666668</v>
      </c>
      <c r="C2286">
        <v>80</v>
      </c>
      <c r="D2286">
        <v>75.083114624000004</v>
      </c>
      <c r="E2286">
        <v>50</v>
      </c>
      <c r="F2286">
        <v>49.982673644999998</v>
      </c>
      <c r="G2286">
        <v>1325.0324707</v>
      </c>
      <c r="H2286">
        <v>1322.2318115</v>
      </c>
      <c r="I2286">
        <v>1344.1708983999999</v>
      </c>
      <c r="J2286">
        <v>1339.8038329999999</v>
      </c>
      <c r="K2286">
        <v>0</v>
      </c>
      <c r="L2286">
        <v>2400</v>
      </c>
      <c r="M2286">
        <v>2400</v>
      </c>
      <c r="N2286">
        <v>0</v>
      </c>
    </row>
    <row r="2287" spans="1:14" x14ac:dyDescent="0.25">
      <c r="A2287">
        <v>1744.7906599999999</v>
      </c>
      <c r="B2287" s="1">
        <f>DATE(2015,2,8) + TIME(18,58,33)</f>
        <v>42043.790659722225</v>
      </c>
      <c r="C2287">
        <v>80</v>
      </c>
      <c r="D2287">
        <v>74.984786987000007</v>
      </c>
      <c r="E2287">
        <v>50</v>
      </c>
      <c r="F2287">
        <v>49.982688904</v>
      </c>
      <c r="G2287">
        <v>1324.9556885</v>
      </c>
      <c r="H2287">
        <v>1322.1280518000001</v>
      </c>
      <c r="I2287">
        <v>1344.1658935999999</v>
      </c>
      <c r="J2287">
        <v>1339.7993164</v>
      </c>
      <c r="K2287">
        <v>0</v>
      </c>
      <c r="L2287">
        <v>2400</v>
      </c>
      <c r="M2287">
        <v>2400</v>
      </c>
      <c r="N2287">
        <v>0</v>
      </c>
    </row>
    <row r="2288" spans="1:14" x14ac:dyDescent="0.25">
      <c r="A2288">
        <v>1747.532087</v>
      </c>
      <c r="B2288" s="1">
        <f>DATE(2015,2,11) + TIME(12,46,12)</f>
        <v>42046.532083333332</v>
      </c>
      <c r="C2288">
        <v>80</v>
      </c>
      <c r="D2288">
        <v>74.882484435999999</v>
      </c>
      <c r="E2288">
        <v>50</v>
      </c>
      <c r="F2288">
        <v>49.982707976999997</v>
      </c>
      <c r="G2288">
        <v>1324.8762207</v>
      </c>
      <c r="H2288">
        <v>1322.0202637</v>
      </c>
      <c r="I2288">
        <v>1344.1610106999999</v>
      </c>
      <c r="J2288">
        <v>1339.7947998</v>
      </c>
      <c r="K2288">
        <v>0</v>
      </c>
      <c r="L2288">
        <v>2400</v>
      </c>
      <c r="M2288">
        <v>2400</v>
      </c>
      <c r="N2288">
        <v>0</v>
      </c>
    </row>
    <row r="2289" spans="1:14" x14ac:dyDescent="0.25">
      <c r="A2289">
        <v>1750.340794</v>
      </c>
      <c r="B2289" s="1">
        <f>DATE(2015,2,14) + TIME(8,10,44)</f>
        <v>42049.340787037036</v>
      </c>
      <c r="C2289">
        <v>80</v>
      </c>
      <c r="D2289">
        <v>74.776809692</v>
      </c>
      <c r="E2289">
        <v>50</v>
      </c>
      <c r="F2289">
        <v>49.982723235999998</v>
      </c>
      <c r="G2289">
        <v>1324.7947998</v>
      </c>
      <c r="H2289">
        <v>1321.9097899999999</v>
      </c>
      <c r="I2289">
        <v>1344.1560059000001</v>
      </c>
      <c r="J2289">
        <v>1339.7902832</v>
      </c>
      <c r="K2289">
        <v>0</v>
      </c>
      <c r="L2289">
        <v>2400</v>
      </c>
      <c r="M2289">
        <v>2400</v>
      </c>
      <c r="N2289">
        <v>0</v>
      </c>
    </row>
    <row r="2290" spans="1:14" x14ac:dyDescent="0.25">
      <c r="A2290">
        <v>1753.2249119999999</v>
      </c>
      <c r="B2290" s="1">
        <f>DATE(2015,2,17) + TIME(5,23,52)</f>
        <v>42052.224907407406</v>
      </c>
      <c r="C2290">
        <v>80</v>
      </c>
      <c r="D2290">
        <v>74.667404175000001</v>
      </c>
      <c r="E2290">
        <v>50</v>
      </c>
      <c r="F2290">
        <v>49.982742309999999</v>
      </c>
      <c r="G2290">
        <v>1324.7117920000001</v>
      </c>
      <c r="H2290">
        <v>1321.7969971</v>
      </c>
      <c r="I2290">
        <v>1344.1508789</v>
      </c>
      <c r="J2290">
        <v>1339.7857666</v>
      </c>
      <c r="K2290">
        <v>0</v>
      </c>
      <c r="L2290">
        <v>2400</v>
      </c>
      <c r="M2290">
        <v>2400</v>
      </c>
      <c r="N2290">
        <v>0</v>
      </c>
    </row>
    <row r="2291" spans="1:14" x14ac:dyDescent="0.25">
      <c r="A2291">
        <v>1756.163587</v>
      </c>
      <c r="B2291" s="1">
        <f>DATE(2015,2,20) + TIME(3,55,33)</f>
        <v>42055.163576388892</v>
      </c>
      <c r="C2291">
        <v>80</v>
      </c>
      <c r="D2291">
        <v>74.553894043</v>
      </c>
      <c r="E2291">
        <v>50</v>
      </c>
      <c r="F2291">
        <v>49.982761383000003</v>
      </c>
      <c r="G2291">
        <v>1324.6270752</v>
      </c>
      <c r="H2291">
        <v>1321.6817627</v>
      </c>
      <c r="I2291">
        <v>1344.1457519999999</v>
      </c>
      <c r="J2291">
        <v>1339.78125</v>
      </c>
      <c r="K2291">
        <v>0</v>
      </c>
      <c r="L2291">
        <v>2400</v>
      </c>
      <c r="M2291">
        <v>2400</v>
      </c>
      <c r="N2291">
        <v>0</v>
      </c>
    </row>
    <row r="2292" spans="1:14" x14ac:dyDescent="0.25">
      <c r="A2292">
        <v>1759.1647210000001</v>
      </c>
      <c r="B2292" s="1">
        <f>DATE(2015,2,23) + TIME(3,57,11)</f>
        <v>42058.164710648147</v>
      </c>
      <c r="C2292">
        <v>80</v>
      </c>
      <c r="D2292">
        <v>74.436286925999994</v>
      </c>
      <c r="E2292">
        <v>50</v>
      </c>
      <c r="F2292">
        <v>49.982776641999997</v>
      </c>
      <c r="G2292">
        <v>1324.5410156</v>
      </c>
      <c r="H2292">
        <v>1321.5646973</v>
      </c>
      <c r="I2292">
        <v>1344.140625</v>
      </c>
      <c r="J2292">
        <v>1339.7767334</v>
      </c>
      <c r="K2292">
        <v>0</v>
      </c>
      <c r="L2292">
        <v>2400</v>
      </c>
      <c r="M2292">
        <v>2400</v>
      </c>
      <c r="N2292">
        <v>0</v>
      </c>
    </row>
    <row r="2293" spans="1:14" x14ac:dyDescent="0.25">
      <c r="A2293">
        <v>1762.237214</v>
      </c>
      <c r="B2293" s="1">
        <f>DATE(2015,2,26) + TIME(5,41,35)</f>
        <v>42061.237210648149</v>
      </c>
      <c r="C2293">
        <v>80</v>
      </c>
      <c r="D2293">
        <v>74.313957213999998</v>
      </c>
      <c r="E2293">
        <v>50</v>
      </c>
      <c r="F2293">
        <v>49.982795715000002</v>
      </c>
      <c r="G2293">
        <v>1324.4536132999999</v>
      </c>
      <c r="H2293">
        <v>1321.4456786999999</v>
      </c>
      <c r="I2293">
        <v>1344.135376</v>
      </c>
      <c r="J2293">
        <v>1339.7722168</v>
      </c>
      <c r="K2293">
        <v>0</v>
      </c>
      <c r="L2293">
        <v>2400</v>
      </c>
      <c r="M2293">
        <v>2400</v>
      </c>
      <c r="N2293">
        <v>0</v>
      </c>
    </row>
    <row r="2294" spans="1:14" x14ac:dyDescent="0.25">
      <c r="A2294">
        <v>1765</v>
      </c>
      <c r="B2294" s="1">
        <f>DATE(2015,3,1) + TIME(0,0,0)</f>
        <v>42064</v>
      </c>
      <c r="C2294">
        <v>80</v>
      </c>
      <c r="D2294">
        <v>74.189315796000002</v>
      </c>
      <c r="E2294">
        <v>50</v>
      </c>
      <c r="F2294">
        <v>49.982810974000003</v>
      </c>
      <c r="G2294">
        <v>1324.3653564000001</v>
      </c>
      <c r="H2294">
        <v>1321.3254394999999</v>
      </c>
      <c r="I2294">
        <v>1344.1300048999999</v>
      </c>
      <c r="J2294">
        <v>1339.7677002</v>
      </c>
      <c r="K2294">
        <v>0</v>
      </c>
      <c r="L2294">
        <v>2400</v>
      </c>
      <c r="M2294">
        <v>2400</v>
      </c>
      <c r="N2294">
        <v>0</v>
      </c>
    </row>
    <row r="2295" spans="1:14" x14ac:dyDescent="0.25">
      <c r="A2295">
        <v>1768.1535140000001</v>
      </c>
      <c r="B2295" s="1">
        <f>DATE(2015,3,4) + TIME(3,41,3)</f>
        <v>42067.153506944444</v>
      </c>
      <c r="C2295">
        <v>80</v>
      </c>
      <c r="D2295">
        <v>74.066665649000001</v>
      </c>
      <c r="E2295">
        <v>50</v>
      </c>
      <c r="F2295">
        <v>49.982830047999997</v>
      </c>
      <c r="G2295">
        <v>1324.2824707</v>
      </c>
      <c r="H2295">
        <v>1321.2116699000001</v>
      </c>
      <c r="I2295">
        <v>1344.1252440999999</v>
      </c>
      <c r="J2295">
        <v>1339.7636719</v>
      </c>
      <c r="K2295">
        <v>0</v>
      </c>
      <c r="L2295">
        <v>2400</v>
      </c>
      <c r="M2295">
        <v>2400</v>
      </c>
      <c r="N2295">
        <v>0</v>
      </c>
    </row>
    <row r="2296" spans="1:14" x14ac:dyDescent="0.25">
      <c r="A2296">
        <v>1771.4880889999999</v>
      </c>
      <c r="B2296" s="1">
        <f>DATE(2015,3,7) + TIME(11,42,50)</f>
        <v>42070.488078703704</v>
      </c>
      <c r="C2296">
        <v>80</v>
      </c>
      <c r="D2296">
        <v>73.930053710999999</v>
      </c>
      <c r="E2296">
        <v>50</v>
      </c>
      <c r="F2296">
        <v>49.982849121000001</v>
      </c>
      <c r="G2296">
        <v>1324.1945800999999</v>
      </c>
      <c r="H2296">
        <v>1321.0920410000001</v>
      </c>
      <c r="I2296">
        <v>1344.1198730000001</v>
      </c>
      <c r="J2296">
        <v>1339.7592772999999</v>
      </c>
      <c r="K2296">
        <v>0</v>
      </c>
      <c r="L2296">
        <v>2400</v>
      </c>
      <c r="M2296">
        <v>2400</v>
      </c>
      <c r="N2296">
        <v>0</v>
      </c>
    </row>
    <row r="2297" spans="1:14" x14ac:dyDescent="0.25">
      <c r="A2297">
        <v>1774.9335639999999</v>
      </c>
      <c r="B2297" s="1">
        <f>DATE(2015,3,10) + TIME(22,24,19)</f>
        <v>42073.933553240742</v>
      </c>
      <c r="C2297">
        <v>80</v>
      </c>
      <c r="D2297">
        <v>73.781402588000006</v>
      </c>
      <c r="E2297">
        <v>50</v>
      </c>
      <c r="F2297">
        <v>49.982868195000002</v>
      </c>
      <c r="G2297">
        <v>1324.1016846</v>
      </c>
      <c r="H2297">
        <v>1320.9652100000001</v>
      </c>
      <c r="I2297">
        <v>1344.1142577999999</v>
      </c>
      <c r="J2297">
        <v>1339.7546387</v>
      </c>
      <c r="K2297">
        <v>0</v>
      </c>
      <c r="L2297">
        <v>2400</v>
      </c>
      <c r="M2297">
        <v>2400</v>
      </c>
      <c r="N2297">
        <v>0</v>
      </c>
    </row>
    <row r="2298" spans="1:14" x14ac:dyDescent="0.25">
      <c r="A2298">
        <v>1778.5060120000001</v>
      </c>
      <c r="B2298" s="1">
        <f>DATE(2015,3,14) + TIME(12,8,39)</f>
        <v>42077.506006944444</v>
      </c>
      <c r="C2298">
        <v>80</v>
      </c>
      <c r="D2298">
        <v>73.622337341000005</v>
      </c>
      <c r="E2298">
        <v>50</v>
      </c>
      <c r="F2298">
        <v>49.982887267999999</v>
      </c>
      <c r="G2298">
        <v>1324.0057373</v>
      </c>
      <c r="H2298">
        <v>1320.8339844</v>
      </c>
      <c r="I2298">
        <v>1344.1083983999999</v>
      </c>
      <c r="J2298">
        <v>1339.7498779</v>
      </c>
      <c r="K2298">
        <v>0</v>
      </c>
      <c r="L2298">
        <v>2400</v>
      </c>
      <c r="M2298">
        <v>2400</v>
      </c>
      <c r="N2298">
        <v>0</v>
      </c>
    </row>
    <row r="2299" spans="1:14" x14ac:dyDescent="0.25">
      <c r="A2299">
        <v>1782.1569139999999</v>
      </c>
      <c r="B2299" s="1">
        <f>DATE(2015,3,18) + TIME(3,45,57)</f>
        <v>42081.156909722224</v>
      </c>
      <c r="C2299">
        <v>80</v>
      </c>
      <c r="D2299">
        <v>73.452194214000002</v>
      </c>
      <c r="E2299">
        <v>50</v>
      </c>
      <c r="F2299">
        <v>49.982906342</v>
      </c>
      <c r="G2299">
        <v>1323.9071045000001</v>
      </c>
      <c r="H2299">
        <v>1320.6989745999999</v>
      </c>
      <c r="I2299">
        <v>1344.1024170000001</v>
      </c>
      <c r="J2299">
        <v>1339.7451172000001</v>
      </c>
      <c r="K2299">
        <v>0</v>
      </c>
      <c r="L2299">
        <v>2400</v>
      </c>
      <c r="M2299">
        <v>2400</v>
      </c>
      <c r="N2299">
        <v>0</v>
      </c>
    </row>
    <row r="2300" spans="1:14" x14ac:dyDescent="0.25">
      <c r="A2300">
        <v>1785.890519</v>
      </c>
      <c r="B2300" s="1">
        <f>DATE(2015,3,21) + TIME(21,22,20)</f>
        <v>42084.890509259261</v>
      </c>
      <c r="C2300">
        <v>80</v>
      </c>
      <c r="D2300">
        <v>73.271705627000003</v>
      </c>
      <c r="E2300">
        <v>50</v>
      </c>
      <c r="F2300">
        <v>49.982925414999997</v>
      </c>
      <c r="G2300">
        <v>1323.8071289</v>
      </c>
      <c r="H2300">
        <v>1320.5617675999999</v>
      </c>
      <c r="I2300">
        <v>1344.0961914</v>
      </c>
      <c r="J2300">
        <v>1339.7402344</v>
      </c>
      <c r="K2300">
        <v>0</v>
      </c>
      <c r="L2300">
        <v>2400</v>
      </c>
      <c r="M2300">
        <v>2400</v>
      </c>
      <c r="N2300">
        <v>0</v>
      </c>
    </row>
    <row r="2301" spans="1:14" x14ac:dyDescent="0.25">
      <c r="A2301">
        <v>1789.7211629999999</v>
      </c>
      <c r="B2301" s="1">
        <f>DATE(2015,3,25) + TIME(17,18,28)</f>
        <v>42088.72115740741</v>
      </c>
      <c r="C2301">
        <v>80</v>
      </c>
      <c r="D2301">
        <v>73.080024718999994</v>
      </c>
      <c r="E2301">
        <v>50</v>
      </c>
      <c r="F2301">
        <v>49.982948303000001</v>
      </c>
      <c r="G2301">
        <v>1323.7059326000001</v>
      </c>
      <c r="H2301">
        <v>1320.4228516000001</v>
      </c>
      <c r="I2301">
        <v>1344.0899658000001</v>
      </c>
      <c r="J2301">
        <v>1339.7353516000001</v>
      </c>
      <c r="K2301">
        <v>0</v>
      </c>
      <c r="L2301">
        <v>2400</v>
      </c>
      <c r="M2301">
        <v>2400</v>
      </c>
      <c r="N2301">
        <v>0</v>
      </c>
    </row>
    <row r="2302" spans="1:14" x14ac:dyDescent="0.25">
      <c r="A2302">
        <v>1793.663898</v>
      </c>
      <c r="B2302" s="1">
        <f>DATE(2015,3,29) + TIME(15,56,0)</f>
        <v>42092.663888888892</v>
      </c>
      <c r="C2302">
        <v>80</v>
      </c>
      <c r="D2302">
        <v>72.875671386999997</v>
      </c>
      <c r="E2302">
        <v>50</v>
      </c>
      <c r="F2302">
        <v>49.982967377000001</v>
      </c>
      <c r="G2302">
        <v>1323.6036377</v>
      </c>
      <c r="H2302">
        <v>1320.2821045000001</v>
      </c>
      <c r="I2302">
        <v>1344.0836182</v>
      </c>
      <c r="J2302">
        <v>1339.7304687999999</v>
      </c>
      <c r="K2302">
        <v>0</v>
      </c>
      <c r="L2302">
        <v>2400</v>
      </c>
      <c r="M2302">
        <v>2400</v>
      </c>
      <c r="N2302">
        <v>0</v>
      </c>
    </row>
    <row r="2303" spans="1:14" x14ac:dyDescent="0.25">
      <c r="A2303">
        <v>1796</v>
      </c>
      <c r="B2303" s="1">
        <f>DATE(2015,4,1) + TIME(0,0,0)</f>
        <v>42095</v>
      </c>
      <c r="C2303">
        <v>80</v>
      </c>
      <c r="D2303">
        <v>72.677154540999993</v>
      </c>
      <c r="E2303">
        <v>50</v>
      </c>
      <c r="F2303">
        <v>49.982975005999997</v>
      </c>
      <c r="G2303">
        <v>1323.5019531</v>
      </c>
      <c r="H2303">
        <v>1320.1430664</v>
      </c>
      <c r="I2303">
        <v>1344.0770264</v>
      </c>
      <c r="J2303">
        <v>1339.7255858999999</v>
      </c>
      <c r="K2303">
        <v>0</v>
      </c>
      <c r="L2303">
        <v>2400</v>
      </c>
      <c r="M2303">
        <v>2400</v>
      </c>
      <c r="N230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2022-07-19T06:34:18Z</dcterms:created>
  <dcterms:modified xsi:type="dcterms:W3CDTF">2022-07-19T06:35:07Z</dcterms:modified>
</cp:coreProperties>
</file>