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EDC69130-7A83-426B-8B8A-6B129531D24D}" xr6:coauthVersionLast="47" xr6:coauthVersionMax="47" xr10:uidLastSave="{00000000-0000-0000-0000-000000000000}"/>
  <bookViews>
    <workbookView xWindow="-28920" yWindow="-120" windowWidth="29040" windowHeight="15840" xr2:uid="{34C84218-F8DF-4CB9-910D-DFC080C8FC6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84" i="1" l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<sst xmlns="http://schemas.openxmlformats.org/spreadsheetml/2006/main" count="15" uniqueCount="15">
  <si>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MODEL\SCENARIOS\2022\Parameterstudy_kh_kv\kh50_kv5.sr3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</si>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</sst>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549AD-0998-43DE-8B18-16ED76119C0C}" name="Table1" displayName="Table1" ref="A3:N2484" totalsRowShown="0">
  <autoFilter ref="A3:N2484" xr:uid="{DE4549AD-0998-43DE-8B18-16ED76119C0C}"/>
  <tableColumns count="14">
    <tableColumn id="1" xr3:uid="{4BED2553-5A4D-4735-989E-DB7FF3F85617}" name="Time (day)"/>
    <tableColumn id="2" xr3:uid="{A877517B-4C84-470E-BB58-14548D010E1B}" name="Date" dataDxfId="0"/>
    <tableColumn id="3" xr3:uid="{1C51A7CC-315E-4E45-82CC-A3379F91467E}" name="Hot well INJ-Well bottom hole temperature (C)"/>
    <tableColumn id="4" xr3:uid="{C999FC1F-1BD0-4C03-BE48-3B1C887809E2}" name="Hot well PROD-Well bottom hole temperature (C)"/>
    <tableColumn id="5" xr3:uid="{C6468409-1380-4543-9444-68CB3F9765C1}" name="Warm well INJ-Well bottom hole temperature (C)"/>
    <tableColumn id="6" xr3:uid="{2F3AB79A-E5C6-477A-A8AE-1D48CC16F066}" name="Warm well PROD-Well bottom hole temperature (C)"/>
    <tableColumn id="7" xr3:uid="{09218A2F-D0FF-4EEE-B43C-77118AF8AB97}" name="Hot well INJ-Well Bottom-hole Pressure (kPa)"/>
    <tableColumn id="8" xr3:uid="{5A6B8373-522A-4324-9FED-4F4967E5F4EB}" name="Hot well PROD-Well Bottom-hole Pressure (kPa)"/>
    <tableColumn id="9" xr3:uid="{FC79B123-B3C9-4FC9-961A-68984EB3475E}" name="Warm well INJ-Well Bottom-hole Pressure (kPa)"/>
    <tableColumn id="10" xr3:uid="{C0BED050-DF49-4C03-AB41-8ECDB00735C7}" name="Warm well PROD-Well Bottom-hole Pressure (kPa)"/>
    <tableColumn id="11" xr3:uid="{3CC7953F-3892-4A5A-B679-FEDEE87DC8EB}" name="Hot well INJ-Fluid Rate SC (m³/day)"/>
    <tableColumn id="12" xr3:uid="{0F6E6CF3-C5D2-4BD9-93E9-15CDAEBFA178}" name="Hot well PROD-Fluid Rate SC (m³/day)"/>
    <tableColumn id="13" xr3:uid="{EB29BFB7-AFCF-4EE1-AEE4-E766D8E176DA}" name="Warm well INJ-Fluid Rate SC (m³/day)"/>
    <tableColumn id="14" xr3:uid="{5F101366-BFE3-4716-A1F4-1E81238195CF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FE1-8154-406C-9E2D-F1CA06C37065}">
  <dimension ref="A1:N248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1337.2996826000001</v>
      </c>
      <c r="H4">
        <v>1329.4145507999999</v>
      </c>
      <c r="I4">
        <v>1329.4047852000001</v>
      </c>
      <c r="J4">
        <v>1321.5189209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1337.3142089999999</v>
      </c>
      <c r="H5">
        <v>1329.4290771000001</v>
      </c>
      <c r="I5">
        <v>1329.3902588000001</v>
      </c>
      <c r="J5">
        <v>1321.5045166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1337.3572998</v>
      </c>
      <c r="H6">
        <v>1329.4722899999999</v>
      </c>
      <c r="I6">
        <v>1329.3472899999999</v>
      </c>
      <c r="J6">
        <v>1321.4614257999999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15.003147125</v>
      </c>
      <c r="E7">
        <v>50</v>
      </c>
      <c r="F7">
        <v>14.999932289</v>
      </c>
      <c r="G7">
        <v>1337.4827881000001</v>
      </c>
      <c r="H7">
        <v>1329.5982666</v>
      </c>
      <c r="I7">
        <v>1329.2218018000001</v>
      </c>
      <c r="J7">
        <v>1321.3359375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15.009508133000001</v>
      </c>
      <c r="E8">
        <v>50</v>
      </c>
      <c r="F8">
        <v>14.999807358</v>
      </c>
      <c r="G8">
        <v>1337.8288574000001</v>
      </c>
      <c r="H8">
        <v>1329.9454346</v>
      </c>
      <c r="I8">
        <v>1328.8759766000001</v>
      </c>
      <c r="J8">
        <v>1320.9902344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15.028514862</v>
      </c>
      <c r="E9">
        <v>50</v>
      </c>
      <c r="F9">
        <v>14.999505997</v>
      </c>
      <c r="G9">
        <v>1338.6623535000001</v>
      </c>
      <c r="H9">
        <v>1330.7823486</v>
      </c>
      <c r="I9">
        <v>1328.0424805</v>
      </c>
      <c r="J9">
        <v>1320.1567382999999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15.085160255</v>
      </c>
      <c r="E10">
        <v>50</v>
      </c>
      <c r="F10">
        <v>14.998945236000001</v>
      </c>
      <c r="G10">
        <v>1340.2109375</v>
      </c>
      <c r="H10">
        <v>1332.3414307</v>
      </c>
      <c r="I10">
        <v>1326.4886475000001</v>
      </c>
      <c r="J10">
        <v>1318.6029053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15.253682137</v>
      </c>
      <c r="E11">
        <v>50</v>
      </c>
      <c r="F11">
        <v>14.998193741</v>
      </c>
      <c r="G11">
        <v>1342.2674560999999</v>
      </c>
      <c r="H11">
        <v>1334.4302978999999</v>
      </c>
      <c r="I11">
        <v>1324.3969727000001</v>
      </c>
      <c r="J11">
        <v>1316.5109863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15.754394531000001</v>
      </c>
      <c r="E12">
        <v>50</v>
      </c>
      <c r="F12">
        <v>14.99739933</v>
      </c>
      <c r="G12">
        <v>1344.3790283000001</v>
      </c>
      <c r="H12">
        <v>1336.6373291</v>
      </c>
      <c r="I12">
        <v>1322.1553954999999</v>
      </c>
      <c r="J12">
        <v>1314.2694091999999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2.2943999999999999E-2</v>
      </c>
      <c r="B13" s="1">
        <f>DATE(2010,5,1) + TIME(0,33,2)</f>
        <v>40299.022939814815</v>
      </c>
      <c r="C13">
        <v>80</v>
      </c>
      <c r="D13">
        <v>16.740942001000001</v>
      </c>
      <c r="E13">
        <v>50</v>
      </c>
      <c r="F13">
        <v>14.996780396</v>
      </c>
      <c r="G13">
        <v>1345.9183350000001</v>
      </c>
      <c r="H13">
        <v>1338.3572998</v>
      </c>
      <c r="I13">
        <v>1320.3570557</v>
      </c>
      <c r="J13">
        <v>1312.4709473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3.6226000000000001E-2</v>
      </c>
      <c r="B14" s="1">
        <f>DATE(2010,5,1) + TIME(0,52,9)</f>
        <v>40299.036215277774</v>
      </c>
      <c r="C14">
        <v>80</v>
      </c>
      <c r="D14">
        <v>17.729669570999999</v>
      </c>
      <c r="E14">
        <v>50</v>
      </c>
      <c r="F14">
        <v>14.996435164999999</v>
      </c>
      <c r="G14">
        <v>1346.71875</v>
      </c>
      <c r="H14">
        <v>1339.3227539</v>
      </c>
      <c r="I14">
        <v>1319.3217772999999</v>
      </c>
      <c r="J14">
        <v>1311.4356689000001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4.9660000000000003E-2</v>
      </c>
      <c r="B15" s="1">
        <f>DATE(2010,5,1) + TIME(1,11,30)</f>
        <v>40299.04965277778</v>
      </c>
      <c r="C15">
        <v>80</v>
      </c>
      <c r="D15">
        <v>18.718450546</v>
      </c>
      <c r="E15">
        <v>50</v>
      </c>
      <c r="F15">
        <v>14.99620533</v>
      </c>
      <c r="G15">
        <v>1347.2054443</v>
      </c>
      <c r="H15">
        <v>1339.9680175999999</v>
      </c>
      <c r="I15">
        <v>1318.6115723</v>
      </c>
      <c r="J15">
        <v>1310.7253418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6.3245999999999997E-2</v>
      </c>
      <c r="B16" s="1">
        <f>DATE(2010,5,1) + TIME(1,31,4)</f>
        <v>40299.063240740739</v>
      </c>
      <c r="C16">
        <v>80</v>
      </c>
      <c r="D16">
        <v>19.707164764000002</v>
      </c>
      <c r="E16">
        <v>50</v>
      </c>
      <c r="F16">
        <v>14.996037483</v>
      </c>
      <c r="G16">
        <v>1347.5303954999999</v>
      </c>
      <c r="H16">
        <v>1340.4444579999999</v>
      </c>
      <c r="I16">
        <v>1318.074707</v>
      </c>
      <c r="J16">
        <v>1310.1884766000001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7.6987E-2</v>
      </c>
      <c r="B17" s="1">
        <f>DATE(2010,5,1) + TIME(1,50,51)</f>
        <v>40299.076979166668</v>
      </c>
      <c r="C17">
        <v>80</v>
      </c>
      <c r="D17">
        <v>20.696348189999998</v>
      </c>
      <c r="E17">
        <v>50</v>
      </c>
      <c r="F17">
        <v>14.995907784</v>
      </c>
      <c r="G17">
        <v>1347.7602539</v>
      </c>
      <c r="H17">
        <v>1340.8190918</v>
      </c>
      <c r="I17">
        <v>1317.6441649999999</v>
      </c>
      <c r="J17">
        <v>1309.7579346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9.0878E-2</v>
      </c>
      <c r="B18" s="1">
        <f>DATE(2010,5,1) + TIME(2,10,51)</f>
        <v>40299.090868055559</v>
      </c>
      <c r="C18">
        <v>80</v>
      </c>
      <c r="D18">
        <v>21.685079575</v>
      </c>
      <c r="E18">
        <v>50</v>
      </c>
      <c r="F18">
        <v>14.995802878999999</v>
      </c>
      <c r="G18">
        <v>1347.9288329999999</v>
      </c>
      <c r="H18">
        <v>1341.1259766000001</v>
      </c>
      <c r="I18">
        <v>1317.2857666</v>
      </c>
      <c r="J18">
        <v>1309.3995361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0.10492700000000001</v>
      </c>
      <c r="B19" s="1">
        <f>DATE(2010,5,1) + TIME(2,31,5)</f>
        <v>40299.10491898148</v>
      </c>
      <c r="C19">
        <v>80</v>
      </c>
      <c r="D19">
        <v>22.673419952</v>
      </c>
      <c r="E19">
        <v>50</v>
      </c>
      <c r="F19">
        <v>14.995717049</v>
      </c>
      <c r="G19">
        <v>1348.0559082</v>
      </c>
      <c r="H19">
        <v>1341.3852539</v>
      </c>
      <c r="I19">
        <v>1316.9793701000001</v>
      </c>
      <c r="J19">
        <v>1309.0930175999999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0.119143</v>
      </c>
      <c r="B20" s="1">
        <f>DATE(2010,5,1) + TIME(2,51,33)</f>
        <v>40299.119131944448</v>
      </c>
      <c r="C20">
        <v>80</v>
      </c>
      <c r="D20">
        <v>23.661594391000001</v>
      </c>
      <c r="E20">
        <v>50</v>
      </c>
      <c r="F20">
        <v>14.995645523</v>
      </c>
      <c r="G20">
        <v>1348.1535644999999</v>
      </c>
      <c r="H20">
        <v>1341.6091309000001</v>
      </c>
      <c r="I20">
        <v>1316.7122803</v>
      </c>
      <c r="J20">
        <v>1308.8259277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0.13352800000000001</v>
      </c>
      <c r="B21" s="1">
        <f>DATE(2010,5,1) + TIME(3,12,16)</f>
        <v>40299.133518518516</v>
      </c>
      <c r="C21">
        <v>80</v>
      </c>
      <c r="D21">
        <v>24.649589539000001</v>
      </c>
      <c r="E21">
        <v>50</v>
      </c>
      <c r="F21">
        <v>14.995584488</v>
      </c>
      <c r="G21">
        <v>1348.2297363</v>
      </c>
      <c r="H21">
        <v>1341.8060303</v>
      </c>
      <c r="I21">
        <v>1316.4761963000001</v>
      </c>
      <c r="J21">
        <v>1308.5899658000001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0.148088</v>
      </c>
      <c r="B22" s="1">
        <f>DATE(2010,5,1) + TIME(3,33,14)</f>
        <v>40299.148078703707</v>
      </c>
      <c r="C22">
        <v>80</v>
      </c>
      <c r="D22">
        <v>25.637804031000002</v>
      </c>
      <c r="E22">
        <v>50</v>
      </c>
      <c r="F22">
        <v>14.995532036</v>
      </c>
      <c r="G22">
        <v>1348.2899170000001</v>
      </c>
      <c r="H22">
        <v>1341.9814452999999</v>
      </c>
      <c r="I22">
        <v>1316.2653809000001</v>
      </c>
      <c r="J22">
        <v>1308.3790283000001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0.16282199999999999</v>
      </c>
      <c r="B23" s="1">
        <f>DATE(2010,5,1) + TIME(3,54,27)</f>
        <v>40299.162812499999</v>
      </c>
      <c r="C23">
        <v>80</v>
      </c>
      <c r="D23">
        <v>26.625652313</v>
      </c>
      <c r="E23">
        <v>50</v>
      </c>
      <c r="F23">
        <v>14.995487213000001</v>
      </c>
      <c r="G23">
        <v>1348.3377685999999</v>
      </c>
      <c r="H23">
        <v>1342.1396483999999</v>
      </c>
      <c r="I23">
        <v>1316.0754394999999</v>
      </c>
      <c r="J23">
        <v>1308.1890868999999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0.17773700000000001</v>
      </c>
      <c r="B24" s="1">
        <f>DATE(2010,5,1) + TIME(4,15,56)</f>
        <v>40299.177731481483</v>
      </c>
      <c r="C24">
        <v>80</v>
      </c>
      <c r="D24">
        <v>27.613071441999999</v>
      </c>
      <c r="E24">
        <v>50</v>
      </c>
      <c r="F24">
        <v>14.995449066000001</v>
      </c>
      <c r="G24">
        <v>1348.3764647999999</v>
      </c>
      <c r="H24">
        <v>1342.2835693</v>
      </c>
      <c r="I24">
        <v>1315.9031981999999</v>
      </c>
      <c r="J24">
        <v>1308.0168457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0.19284200000000001</v>
      </c>
      <c r="B25" s="1">
        <f>DATE(2010,5,1) + TIME(4,37,41)</f>
        <v>40299.192835648151</v>
      </c>
      <c r="C25">
        <v>80</v>
      </c>
      <c r="D25">
        <v>28.600261688</v>
      </c>
      <c r="E25">
        <v>50</v>
      </c>
      <c r="F25">
        <v>14.995415688</v>
      </c>
      <c r="G25">
        <v>1348.4078368999999</v>
      </c>
      <c r="H25">
        <v>1342.4158935999999</v>
      </c>
      <c r="I25">
        <v>1315.7460937999999</v>
      </c>
      <c r="J25">
        <v>1307.8597411999999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0.20814299999999999</v>
      </c>
      <c r="B26" s="1">
        <f>DATE(2010,5,1) + TIME(4,59,43)</f>
        <v>40299.208136574074</v>
      </c>
      <c r="C26">
        <v>80</v>
      </c>
      <c r="D26">
        <v>29.587209701999999</v>
      </c>
      <c r="E26">
        <v>50</v>
      </c>
      <c r="F26">
        <v>14.995387077</v>
      </c>
      <c r="G26">
        <v>1348.4339600000001</v>
      </c>
      <c r="H26">
        <v>1342.5383300999999</v>
      </c>
      <c r="I26">
        <v>1315.6020507999999</v>
      </c>
      <c r="J26">
        <v>1307.7155762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0.22364700000000001</v>
      </c>
      <c r="B27" s="1">
        <f>DATE(2010,5,1) + TIME(5,22,3)</f>
        <v>40299.223645833335</v>
      </c>
      <c r="C27">
        <v>80</v>
      </c>
      <c r="D27">
        <v>30.5740242</v>
      </c>
      <c r="E27">
        <v>50</v>
      </c>
      <c r="F27">
        <v>14.995362282</v>
      </c>
      <c r="G27">
        <v>1348.4558105000001</v>
      </c>
      <c r="H27">
        <v>1342.6524658000001</v>
      </c>
      <c r="I27">
        <v>1315.4693603999999</v>
      </c>
      <c r="J27">
        <v>1307.5830077999999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0.23935699999999999</v>
      </c>
      <c r="B28" s="1">
        <f>DATE(2010,5,1) + TIME(5,44,40)</f>
        <v>40299.239351851851</v>
      </c>
      <c r="C28">
        <v>80</v>
      </c>
      <c r="D28">
        <v>31.560537338</v>
      </c>
      <c r="E28">
        <v>50</v>
      </c>
      <c r="F28">
        <v>14.995341301</v>
      </c>
      <c r="G28">
        <v>1348.4744873</v>
      </c>
      <c r="H28">
        <v>1342.7595214999999</v>
      </c>
      <c r="I28">
        <v>1315.3469238</v>
      </c>
      <c r="J28">
        <v>1307.4604492000001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0.25528299999999998</v>
      </c>
      <c r="B29" s="1">
        <f>DATE(2010,5,1) + TIME(6,7,36)</f>
        <v>40299.255277777775</v>
      </c>
      <c r="C29">
        <v>80</v>
      </c>
      <c r="D29">
        <v>32.546672821000001</v>
      </c>
      <c r="E29">
        <v>50</v>
      </c>
      <c r="F29">
        <v>14.995323181</v>
      </c>
      <c r="G29">
        <v>1348.4909668</v>
      </c>
      <c r="H29">
        <v>1342.8605957</v>
      </c>
      <c r="I29">
        <v>1315.2333983999999</v>
      </c>
      <c r="J29">
        <v>1307.3468018000001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0.27143200000000001</v>
      </c>
      <c r="B30" s="1">
        <f>DATE(2010,5,1) + TIME(6,30,51)</f>
        <v>40299.271423611113</v>
      </c>
      <c r="C30">
        <v>80</v>
      </c>
      <c r="D30">
        <v>33.532501220999997</v>
      </c>
      <c r="E30">
        <v>50</v>
      </c>
      <c r="F30">
        <v>14.995307922</v>
      </c>
      <c r="G30">
        <v>1348.5058594</v>
      </c>
      <c r="H30">
        <v>1342.9562988</v>
      </c>
      <c r="I30">
        <v>1315.1278076000001</v>
      </c>
      <c r="J30">
        <v>1307.2412108999999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0.28781299999999999</v>
      </c>
      <c r="B31" s="1">
        <f>DATE(2010,5,1) + TIME(6,54,27)</f>
        <v>40299.287812499999</v>
      </c>
      <c r="C31">
        <v>80</v>
      </c>
      <c r="D31">
        <v>34.518001556000002</v>
      </c>
      <c r="E31">
        <v>50</v>
      </c>
      <c r="F31">
        <v>14.995295525</v>
      </c>
      <c r="G31">
        <v>1348.5195312000001</v>
      </c>
      <c r="H31">
        <v>1343.0476074000001</v>
      </c>
      <c r="I31">
        <v>1315.0295410000001</v>
      </c>
      <c r="J31">
        <v>1307.1428223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0.30443599999999998</v>
      </c>
      <c r="B32" s="1">
        <f>DATE(2010,5,1) + TIME(7,18,23)</f>
        <v>40299.304432870369</v>
      </c>
      <c r="C32">
        <v>80</v>
      </c>
      <c r="D32">
        <v>35.503154754999997</v>
      </c>
      <c r="E32">
        <v>50</v>
      </c>
      <c r="F32">
        <v>14.995285034</v>
      </c>
      <c r="G32">
        <v>1348.5327147999999</v>
      </c>
      <c r="H32">
        <v>1343.1350098</v>
      </c>
      <c r="I32">
        <v>1314.9376221</v>
      </c>
      <c r="J32">
        <v>1307.0510254000001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0.32130900000000001</v>
      </c>
      <c r="B33" s="1">
        <f>DATE(2010,5,1) + TIME(7,42,41)</f>
        <v>40299.32130787037</v>
      </c>
      <c r="C33">
        <v>80</v>
      </c>
      <c r="D33">
        <v>36.487934113000001</v>
      </c>
      <c r="E33">
        <v>50</v>
      </c>
      <c r="F33">
        <v>14.995277405</v>
      </c>
      <c r="G33">
        <v>1348.5456543</v>
      </c>
      <c r="H33">
        <v>1343.2189940999999</v>
      </c>
      <c r="I33">
        <v>1314.8516846</v>
      </c>
      <c r="J33">
        <v>1306.9649658000001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0.33844200000000002</v>
      </c>
      <c r="B34" s="1">
        <f>DATE(2010,5,1) + TIME(8,7,21)</f>
        <v>40299.338437500002</v>
      </c>
      <c r="C34">
        <v>80</v>
      </c>
      <c r="D34">
        <v>37.472320557000003</v>
      </c>
      <c r="E34">
        <v>50</v>
      </c>
      <c r="F34">
        <v>14.995270729</v>
      </c>
      <c r="G34">
        <v>1348.5584716999999</v>
      </c>
      <c r="H34">
        <v>1343.3000488</v>
      </c>
      <c r="I34">
        <v>1314.7709961</v>
      </c>
      <c r="J34">
        <v>1306.8842772999999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0.355848</v>
      </c>
      <c r="B35" s="1">
        <f>DATE(2010,5,1) + TIME(8,32,25)</f>
        <v>40299.355844907404</v>
      </c>
      <c r="C35">
        <v>80</v>
      </c>
      <c r="D35">
        <v>38.456287383999999</v>
      </c>
      <c r="E35">
        <v>50</v>
      </c>
      <c r="F35">
        <v>14.995265960999999</v>
      </c>
      <c r="G35">
        <v>1348.5716553</v>
      </c>
      <c r="H35">
        <v>1343.3785399999999</v>
      </c>
      <c r="I35">
        <v>1314.6953125</v>
      </c>
      <c r="J35">
        <v>1306.8084716999999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0.37353700000000001</v>
      </c>
      <c r="B36" s="1">
        <f>DATE(2010,5,1) + TIME(8,57,53)</f>
        <v>40299.373530092591</v>
      </c>
      <c r="C36">
        <v>80</v>
      </c>
      <c r="D36">
        <v>39.439815521</v>
      </c>
      <c r="E36">
        <v>50</v>
      </c>
      <c r="F36">
        <v>14.995263100000001</v>
      </c>
      <c r="G36">
        <v>1348.5853271000001</v>
      </c>
      <c r="H36">
        <v>1343.4548339999999</v>
      </c>
      <c r="I36">
        <v>1314.6241454999999</v>
      </c>
      <c r="J36">
        <v>1306.7371826000001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0.39152199999999998</v>
      </c>
      <c r="B37" s="1">
        <f>DATE(2010,5,1) + TIME(9,23,47)</f>
        <v>40299.391516203701</v>
      </c>
      <c r="C37">
        <v>80</v>
      </c>
      <c r="D37">
        <v>40.422958373999997</v>
      </c>
      <c r="E37">
        <v>50</v>
      </c>
      <c r="F37">
        <v>14.995261191999999</v>
      </c>
      <c r="G37">
        <v>1348.5996094</v>
      </c>
      <c r="H37">
        <v>1343.5290527</v>
      </c>
      <c r="I37">
        <v>1314.5570068</v>
      </c>
      <c r="J37">
        <v>1306.6700439000001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0.40981600000000001</v>
      </c>
      <c r="B38" s="1">
        <f>DATE(2010,5,1) + TIME(9,50,8)</f>
        <v>40299.409814814811</v>
      </c>
      <c r="C38">
        <v>80</v>
      </c>
      <c r="D38">
        <v>41.405639647999998</v>
      </c>
      <c r="E38">
        <v>50</v>
      </c>
      <c r="F38">
        <v>14.995261191999999</v>
      </c>
      <c r="G38">
        <v>1348.614624</v>
      </c>
      <c r="H38">
        <v>1343.6015625</v>
      </c>
      <c r="I38">
        <v>1314.4937743999999</v>
      </c>
      <c r="J38">
        <v>1306.6066894999999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0.42843199999999998</v>
      </c>
      <c r="B39" s="1">
        <f>DATE(2010,5,1) + TIME(10,16,56)</f>
        <v>40299.428425925929</v>
      </c>
      <c r="C39">
        <v>80</v>
      </c>
      <c r="D39">
        <v>42.387672424000002</v>
      </c>
      <c r="E39">
        <v>50</v>
      </c>
      <c r="F39">
        <v>14.995262146</v>
      </c>
      <c r="G39">
        <v>1348.6304932</v>
      </c>
      <c r="H39">
        <v>1343.6724853999999</v>
      </c>
      <c r="I39">
        <v>1314.4339600000001</v>
      </c>
      <c r="J39">
        <v>1306.546875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0.44738899999999998</v>
      </c>
      <c r="B40" s="1">
        <f>DATE(2010,5,1) + TIME(10,44,14)</f>
        <v>40299.447384259256</v>
      </c>
      <c r="C40">
        <v>80</v>
      </c>
      <c r="D40">
        <v>43.369136810000001</v>
      </c>
      <c r="E40">
        <v>50</v>
      </c>
      <c r="F40">
        <v>14.995264053</v>
      </c>
      <c r="G40">
        <v>1348.6472168</v>
      </c>
      <c r="H40">
        <v>1343.7420654</v>
      </c>
      <c r="I40">
        <v>1314.3775635</v>
      </c>
      <c r="J40">
        <v>1306.4903564000001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0.46670400000000001</v>
      </c>
      <c r="B41" s="1">
        <f>DATE(2010,5,1) + TIME(11,12,3)</f>
        <v>40299.46670138889</v>
      </c>
      <c r="C41">
        <v>80</v>
      </c>
      <c r="D41">
        <v>44.349998474000003</v>
      </c>
      <c r="E41">
        <v>50</v>
      </c>
      <c r="F41">
        <v>14.995267867999999</v>
      </c>
      <c r="G41">
        <v>1348.6650391000001</v>
      </c>
      <c r="H41">
        <v>1343.8104248</v>
      </c>
      <c r="I41">
        <v>1314.3242187999999</v>
      </c>
      <c r="J41">
        <v>1306.4368896000001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0.48639500000000002</v>
      </c>
      <c r="B42" s="1">
        <f>DATE(2010,5,1) + TIME(11,40,24)</f>
        <v>40299.486388888887</v>
      </c>
      <c r="C42">
        <v>80</v>
      </c>
      <c r="D42">
        <v>45.330223083</v>
      </c>
      <c r="E42">
        <v>50</v>
      </c>
      <c r="F42">
        <v>14.995271683</v>
      </c>
      <c r="G42">
        <v>1348.6837158000001</v>
      </c>
      <c r="H42">
        <v>1343.8778076000001</v>
      </c>
      <c r="I42">
        <v>1314.2736815999999</v>
      </c>
      <c r="J42">
        <v>1306.3862305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0.50648400000000005</v>
      </c>
      <c r="B43" s="1">
        <f>DATE(2010,5,1) + TIME(12,9,20)</f>
        <v>40299.506481481483</v>
      </c>
      <c r="C43">
        <v>80</v>
      </c>
      <c r="D43">
        <v>46.309761047000002</v>
      </c>
      <c r="E43">
        <v>50</v>
      </c>
      <c r="F43">
        <v>14.995277405</v>
      </c>
      <c r="G43">
        <v>1348.7036132999999</v>
      </c>
      <c r="H43">
        <v>1343.9440918</v>
      </c>
      <c r="I43">
        <v>1314.2258300999999</v>
      </c>
      <c r="J43">
        <v>1306.3383789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0.52699300000000004</v>
      </c>
      <c r="B44" s="1">
        <f>DATE(2010,5,1) + TIME(12,38,52)</f>
        <v>40299.526990740742</v>
      </c>
      <c r="C44">
        <v>80</v>
      </c>
      <c r="D44">
        <v>47.288578033</v>
      </c>
      <c r="E44">
        <v>50</v>
      </c>
      <c r="F44">
        <v>14.995283127</v>
      </c>
      <c r="G44">
        <v>1348.7243652</v>
      </c>
      <c r="H44">
        <v>1344.0093993999999</v>
      </c>
      <c r="I44">
        <v>1314.1805420000001</v>
      </c>
      <c r="J44">
        <v>1306.2929687999999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0.54794500000000002</v>
      </c>
      <c r="B45" s="1">
        <f>DATE(2010,5,1) + TIME(13,9,2)</f>
        <v>40299.547939814816</v>
      </c>
      <c r="C45">
        <v>80</v>
      </c>
      <c r="D45">
        <v>48.266616821</v>
      </c>
      <c r="E45">
        <v>50</v>
      </c>
      <c r="F45">
        <v>14.995290755999999</v>
      </c>
      <c r="G45">
        <v>1348.7463379000001</v>
      </c>
      <c r="H45">
        <v>1344.0740966999999</v>
      </c>
      <c r="I45">
        <v>1314.1375731999999</v>
      </c>
      <c r="J45">
        <v>1306.2498779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0.56936799999999999</v>
      </c>
      <c r="B46" s="1">
        <f>DATE(2010,5,1) + TIME(13,39,53)</f>
        <v>40299.569363425922</v>
      </c>
      <c r="C46">
        <v>80</v>
      </c>
      <c r="D46">
        <v>49.24382782</v>
      </c>
      <c r="E46">
        <v>50</v>
      </c>
      <c r="F46">
        <v>14.995298386</v>
      </c>
      <c r="G46">
        <v>1348.7692870999999</v>
      </c>
      <c r="H46">
        <v>1344.1379394999999</v>
      </c>
      <c r="I46">
        <v>1314.0969238</v>
      </c>
      <c r="J46">
        <v>1306.2091064000001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0.59129100000000001</v>
      </c>
      <c r="B47" s="1">
        <f>DATE(2010,5,1) + TIME(14,11,27)</f>
        <v>40299.591284722221</v>
      </c>
      <c r="C47">
        <v>80</v>
      </c>
      <c r="D47">
        <v>50.220058440999999</v>
      </c>
      <c r="E47">
        <v>50</v>
      </c>
      <c r="F47">
        <v>14.995307922</v>
      </c>
      <c r="G47">
        <v>1348.7933350000001</v>
      </c>
      <c r="H47">
        <v>1344.2010498</v>
      </c>
      <c r="I47">
        <v>1314.0583495999999</v>
      </c>
      <c r="J47">
        <v>1306.1705322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0.61374700000000004</v>
      </c>
      <c r="B48" s="1">
        <f>DATE(2010,5,1) + TIME(14,43,47)</f>
        <v>40299.613738425927</v>
      </c>
      <c r="C48">
        <v>80</v>
      </c>
      <c r="D48">
        <v>51.195095062</v>
      </c>
      <c r="E48">
        <v>50</v>
      </c>
      <c r="F48">
        <v>14.995317459000001</v>
      </c>
      <c r="G48">
        <v>1348.8183594</v>
      </c>
      <c r="H48">
        <v>1344.2635498</v>
      </c>
      <c r="I48">
        <v>1314.0218506000001</v>
      </c>
      <c r="J48">
        <v>1306.1339111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0.63677799999999996</v>
      </c>
      <c r="B49" s="1">
        <f>DATE(2010,5,1) + TIME(15,16,57)</f>
        <v>40299.636770833335</v>
      </c>
      <c r="C49">
        <v>80</v>
      </c>
      <c r="D49">
        <v>52.169433593999997</v>
      </c>
      <c r="E49">
        <v>50</v>
      </c>
      <c r="F49">
        <v>14.99532795</v>
      </c>
      <c r="G49">
        <v>1348.8443603999999</v>
      </c>
      <c r="H49">
        <v>1344.3254394999999</v>
      </c>
      <c r="I49">
        <v>1313.9873047000001</v>
      </c>
      <c r="J49">
        <v>1306.0991211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0.660416</v>
      </c>
      <c r="B50" s="1">
        <f>DATE(2010,5,1) + TIME(15,50,59)</f>
        <v>40299.660405092596</v>
      </c>
      <c r="C50">
        <v>80</v>
      </c>
      <c r="D50">
        <v>53.142684936999999</v>
      </c>
      <c r="E50">
        <v>50</v>
      </c>
      <c r="F50">
        <v>14.995338439999999</v>
      </c>
      <c r="G50">
        <v>1348.8713379000001</v>
      </c>
      <c r="H50">
        <v>1344.3867187999999</v>
      </c>
      <c r="I50">
        <v>1313.9544678</v>
      </c>
      <c r="J50">
        <v>1306.0662841999999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0.68470299999999995</v>
      </c>
      <c r="B51" s="1">
        <f>DATE(2010,5,1) + TIME(16,25,58)</f>
        <v>40299.684699074074</v>
      </c>
      <c r="C51">
        <v>80</v>
      </c>
      <c r="D51">
        <v>54.114765167000002</v>
      </c>
      <c r="E51">
        <v>50</v>
      </c>
      <c r="F51">
        <v>14.995350838</v>
      </c>
      <c r="G51">
        <v>1348.8992920000001</v>
      </c>
      <c r="H51">
        <v>1344.4475098</v>
      </c>
      <c r="I51">
        <v>1313.9234618999999</v>
      </c>
      <c r="J51">
        <v>1306.0351562000001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0.70968799999999999</v>
      </c>
      <c r="B52" s="1">
        <f>DATE(2010,5,1) + TIME(17,1,57)</f>
        <v>40299.709687499999</v>
      </c>
      <c r="C52">
        <v>80</v>
      </c>
      <c r="D52">
        <v>55.085590363000001</v>
      </c>
      <c r="E52">
        <v>50</v>
      </c>
      <c r="F52">
        <v>14.995363234999999</v>
      </c>
      <c r="G52">
        <v>1348.9282227000001</v>
      </c>
      <c r="H52">
        <v>1344.5076904</v>
      </c>
      <c r="I52">
        <v>1313.8941649999999</v>
      </c>
      <c r="J52">
        <v>1306.0056152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0.73542399999999997</v>
      </c>
      <c r="B53" s="1">
        <f>DATE(2010,5,1) + TIME(17,39,0)</f>
        <v>40299.73541666667</v>
      </c>
      <c r="C53">
        <v>80</v>
      </c>
      <c r="D53">
        <v>56.055053710999999</v>
      </c>
      <c r="E53">
        <v>50</v>
      </c>
      <c r="F53">
        <v>14.995376587000001</v>
      </c>
      <c r="G53">
        <v>1348.9580077999999</v>
      </c>
      <c r="H53">
        <v>1344.5672606999999</v>
      </c>
      <c r="I53">
        <v>1313.8664550999999</v>
      </c>
      <c r="J53">
        <v>1305.9777832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0.76197000000000004</v>
      </c>
      <c r="B54" s="1">
        <f>DATE(2010,5,1) + TIME(18,17,14)</f>
        <v>40299.761967592596</v>
      </c>
      <c r="C54">
        <v>80</v>
      </c>
      <c r="D54">
        <v>57.023052216000004</v>
      </c>
      <c r="E54">
        <v>50</v>
      </c>
      <c r="F54">
        <v>14.995390892</v>
      </c>
      <c r="G54">
        <v>1348.9886475000001</v>
      </c>
      <c r="H54">
        <v>1344.6263428</v>
      </c>
      <c r="I54">
        <v>1313.8402100000001</v>
      </c>
      <c r="J54">
        <v>1305.9514160000001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0.78939499999999996</v>
      </c>
      <c r="B55" s="1">
        <f>DATE(2010,5,1) + TIME(18,56,43)</f>
        <v>40299.789386574077</v>
      </c>
      <c r="C55">
        <v>80</v>
      </c>
      <c r="D55">
        <v>57.989459990999997</v>
      </c>
      <c r="E55">
        <v>50</v>
      </c>
      <c r="F55">
        <v>14.995406150999999</v>
      </c>
      <c r="G55">
        <v>1349.0200195</v>
      </c>
      <c r="H55">
        <v>1344.6848144999999</v>
      </c>
      <c r="I55">
        <v>1313.8155518000001</v>
      </c>
      <c r="J55">
        <v>1305.9266356999999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0.81777200000000005</v>
      </c>
      <c r="B56" s="1">
        <f>DATE(2010,5,1) + TIME(19,37,35)</f>
        <v>40299.817766203705</v>
      </c>
      <c r="C56">
        <v>80</v>
      </c>
      <c r="D56">
        <v>58.954139709000003</v>
      </c>
      <c r="E56">
        <v>50</v>
      </c>
      <c r="F56">
        <v>14.995421410000001</v>
      </c>
      <c r="G56">
        <v>1349.052124</v>
      </c>
      <c r="H56">
        <v>1344.7427978999999</v>
      </c>
      <c r="I56">
        <v>1313.7923584</v>
      </c>
      <c r="J56">
        <v>1305.9033202999999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0.84718800000000005</v>
      </c>
      <c r="B57" s="1">
        <f>DATE(2010,5,1) + TIME(20,19,57)</f>
        <v>40299.847187500003</v>
      </c>
      <c r="C57">
        <v>80</v>
      </c>
      <c r="D57">
        <v>59.916934967000003</v>
      </c>
      <c r="E57">
        <v>50</v>
      </c>
      <c r="F57">
        <v>14.995437622000001</v>
      </c>
      <c r="G57">
        <v>1349.0850829999999</v>
      </c>
      <c r="H57">
        <v>1344.8000488</v>
      </c>
      <c r="I57">
        <v>1313.7705077999999</v>
      </c>
      <c r="J57">
        <v>1305.8813477000001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0.87774099999999999</v>
      </c>
      <c r="B58" s="1">
        <f>DATE(2010,5,1) + TIME(21,3,56)</f>
        <v>40299.87773148148</v>
      </c>
      <c r="C58">
        <v>80</v>
      </c>
      <c r="D58">
        <v>60.877071381</v>
      </c>
      <c r="E58">
        <v>50</v>
      </c>
      <c r="F58">
        <v>14.995454788</v>
      </c>
      <c r="G58">
        <v>1349.1186522999999</v>
      </c>
      <c r="H58">
        <v>1344.8568115</v>
      </c>
      <c r="I58">
        <v>1313.75</v>
      </c>
      <c r="J58">
        <v>1305.8607178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0.90956300000000001</v>
      </c>
      <c r="B59" s="1">
        <f>DATE(2010,5,1) + TIME(21,49,46)</f>
        <v>40299.909560185188</v>
      </c>
      <c r="C59">
        <v>80</v>
      </c>
      <c r="D59">
        <v>61.835426331000001</v>
      </c>
      <c r="E59">
        <v>50</v>
      </c>
      <c r="F59">
        <v>14.995472908</v>
      </c>
      <c r="G59">
        <v>1349.1527100000001</v>
      </c>
      <c r="H59">
        <v>1344.9128418</v>
      </c>
      <c r="I59">
        <v>1313.7308350000001</v>
      </c>
      <c r="J59">
        <v>1305.8413086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0.94276700000000002</v>
      </c>
      <c r="B60" s="1">
        <f>DATE(2010,5,1) + TIME(22,37,35)</f>
        <v>40299.942766203705</v>
      </c>
      <c r="C60">
        <v>80</v>
      </c>
      <c r="D60">
        <v>62.791347504000001</v>
      </c>
      <c r="E60">
        <v>50</v>
      </c>
      <c r="F60">
        <v>14.995491982000001</v>
      </c>
      <c r="G60">
        <v>1349.1873779</v>
      </c>
      <c r="H60">
        <v>1344.9682617000001</v>
      </c>
      <c r="I60">
        <v>1313.7128906</v>
      </c>
      <c r="J60">
        <v>1305.8232422000001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0.97750199999999998</v>
      </c>
      <c r="B61" s="1">
        <f>DATE(2010,5,1) + TIME(23,27,36)</f>
        <v>40299.977500000001</v>
      </c>
      <c r="C61">
        <v>80</v>
      </c>
      <c r="D61">
        <v>63.744514465000002</v>
      </c>
      <c r="E61">
        <v>50</v>
      </c>
      <c r="F61">
        <v>14.995511055</v>
      </c>
      <c r="G61">
        <v>1349.2226562000001</v>
      </c>
      <c r="H61">
        <v>1345.0229492000001</v>
      </c>
      <c r="I61">
        <v>1313.6962891000001</v>
      </c>
      <c r="J61">
        <v>1305.8063964999999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1.0139450000000001</v>
      </c>
      <c r="B62" s="1">
        <f>DATE(2010,5,2) + TIME(0,20,4)</f>
        <v>40300.013935185183</v>
      </c>
      <c r="C62">
        <v>80</v>
      </c>
      <c r="D62">
        <v>64.694625853999995</v>
      </c>
      <c r="E62">
        <v>50</v>
      </c>
      <c r="F62">
        <v>14.995532036</v>
      </c>
      <c r="G62">
        <v>1349.2583007999999</v>
      </c>
      <c r="H62">
        <v>1345.0769043</v>
      </c>
      <c r="I62">
        <v>1313.6807861</v>
      </c>
      <c r="J62">
        <v>1305.7907714999999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1.0523</v>
      </c>
      <c r="B63" s="1">
        <f>DATE(2010,5,2) + TIME(1,15,18)</f>
        <v>40300.052291666667</v>
      </c>
      <c r="C63">
        <v>80</v>
      </c>
      <c r="D63">
        <v>65.641471863000007</v>
      </c>
      <c r="E63">
        <v>50</v>
      </c>
      <c r="F63">
        <v>14.99555397</v>
      </c>
      <c r="G63">
        <v>1349.2943115</v>
      </c>
      <c r="H63">
        <v>1345.1298827999999</v>
      </c>
      <c r="I63">
        <v>1313.6665039</v>
      </c>
      <c r="J63">
        <v>1305.7762451000001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1.0928089999999999</v>
      </c>
      <c r="B64" s="1">
        <f>DATE(2010,5,2) + TIME(2,13,38)</f>
        <v>40300.092800925922</v>
      </c>
      <c r="C64">
        <v>80</v>
      </c>
      <c r="D64">
        <v>66.584434509000005</v>
      </c>
      <c r="E64">
        <v>50</v>
      </c>
      <c r="F64">
        <v>14.995575905000001</v>
      </c>
      <c r="G64">
        <v>1349.3305664</v>
      </c>
      <c r="H64">
        <v>1345.1820068</v>
      </c>
      <c r="I64">
        <v>1313.6534423999999</v>
      </c>
      <c r="J64">
        <v>1305.7630615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1.1138060000000001</v>
      </c>
      <c r="B65" s="1">
        <f>DATE(2010,5,2) + TIME(2,43,52)</f>
        <v>40300.113796296297</v>
      </c>
      <c r="C65">
        <v>80</v>
      </c>
      <c r="D65">
        <v>67.060966492000006</v>
      </c>
      <c r="E65">
        <v>50</v>
      </c>
      <c r="F65">
        <v>14.995587348999999</v>
      </c>
      <c r="G65">
        <v>1349.3897704999999</v>
      </c>
      <c r="H65">
        <v>1345.2246094</v>
      </c>
      <c r="I65">
        <v>1313.6470947</v>
      </c>
      <c r="J65">
        <v>1305.7565918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1.1348039999999999</v>
      </c>
      <c r="B66" s="1">
        <f>DATE(2010,5,2) + TIME(3,14,7)</f>
        <v>40300.13480324074</v>
      </c>
      <c r="C66">
        <v>80</v>
      </c>
      <c r="D66">
        <v>67.522331238000007</v>
      </c>
      <c r="E66">
        <v>50</v>
      </c>
      <c r="F66">
        <v>14.995599747</v>
      </c>
      <c r="G66">
        <v>1349.4078368999999</v>
      </c>
      <c r="H66">
        <v>1345.2517089999999</v>
      </c>
      <c r="I66">
        <v>1313.6413574000001</v>
      </c>
      <c r="J66">
        <v>1305.7507324000001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1.1558010000000001</v>
      </c>
      <c r="B67" s="1">
        <f>DATE(2010,5,2) + TIME(3,44,21)</f>
        <v>40300.155798611115</v>
      </c>
      <c r="C67">
        <v>80</v>
      </c>
      <c r="D67">
        <v>67.969085692999997</v>
      </c>
      <c r="E67">
        <v>50</v>
      </c>
      <c r="F67">
        <v>14.995611191</v>
      </c>
      <c r="G67">
        <v>1349.4263916</v>
      </c>
      <c r="H67">
        <v>1345.2770995999999</v>
      </c>
      <c r="I67">
        <v>1313.6358643000001</v>
      </c>
      <c r="J67">
        <v>1305.7451172000001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1.176798</v>
      </c>
      <c r="B68" s="1">
        <f>DATE(2010,5,2) + TIME(4,14,35)</f>
        <v>40300.176793981482</v>
      </c>
      <c r="C68">
        <v>80</v>
      </c>
      <c r="D68">
        <v>68.401641846000004</v>
      </c>
      <c r="E68">
        <v>50</v>
      </c>
      <c r="F68">
        <v>14.995622635</v>
      </c>
      <c r="G68">
        <v>1349.4445800999999</v>
      </c>
      <c r="H68">
        <v>1345.3012695</v>
      </c>
      <c r="I68">
        <v>1313.6308594</v>
      </c>
      <c r="J68">
        <v>1305.7401123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1.1977960000000001</v>
      </c>
      <c r="B69" s="1">
        <f>DATE(2010,5,2) + TIME(4,44,49)</f>
        <v>40300.197789351849</v>
      </c>
      <c r="C69">
        <v>80</v>
      </c>
      <c r="D69">
        <v>68.820327758999994</v>
      </c>
      <c r="E69">
        <v>50</v>
      </c>
      <c r="F69">
        <v>14.995634079</v>
      </c>
      <c r="G69">
        <v>1349.4622803</v>
      </c>
      <c r="H69">
        <v>1345.3242187999999</v>
      </c>
      <c r="I69">
        <v>1313.6263428</v>
      </c>
      <c r="J69">
        <v>1305.7353516000001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1.218793</v>
      </c>
      <c r="B70" s="1">
        <f>DATE(2010,5,2) + TIME(5,15,3)</f>
        <v>40300.218784722223</v>
      </c>
      <c r="C70">
        <v>80</v>
      </c>
      <c r="D70">
        <v>69.225502014</v>
      </c>
      <c r="E70">
        <v>50</v>
      </c>
      <c r="F70">
        <v>14.995645523</v>
      </c>
      <c r="G70">
        <v>1349.4796143000001</v>
      </c>
      <c r="H70">
        <v>1345.3463135</v>
      </c>
      <c r="I70">
        <v>1313.6220702999999</v>
      </c>
      <c r="J70">
        <v>1305.730957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1.2397590000000001</v>
      </c>
      <c r="B71" s="1">
        <f>DATE(2010,5,2) + TIME(5,45,15)</f>
        <v>40300.239756944444</v>
      </c>
      <c r="C71">
        <v>80</v>
      </c>
      <c r="D71">
        <v>69.616928100999999</v>
      </c>
      <c r="E71">
        <v>50</v>
      </c>
      <c r="F71">
        <v>14.995656013</v>
      </c>
      <c r="G71">
        <v>1349.4963379000001</v>
      </c>
      <c r="H71">
        <v>1345.3673096</v>
      </c>
      <c r="I71">
        <v>1313.6181641000001</v>
      </c>
      <c r="J71">
        <v>1305.7269286999999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1.2606900000000001</v>
      </c>
      <c r="B72" s="1">
        <f>DATE(2010,5,2) + TIME(6,15,23)</f>
        <v>40300.260682870372</v>
      </c>
      <c r="C72">
        <v>80</v>
      </c>
      <c r="D72">
        <v>69.994934082</v>
      </c>
      <c r="E72">
        <v>50</v>
      </c>
      <c r="F72">
        <v>14.995667458</v>
      </c>
      <c r="G72">
        <v>1349.5124512</v>
      </c>
      <c r="H72">
        <v>1345.3874512</v>
      </c>
      <c r="I72">
        <v>1313.6145019999999</v>
      </c>
      <c r="J72">
        <v>1305.7232666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1.281598</v>
      </c>
      <c r="B73" s="1">
        <f>DATE(2010,5,2) + TIME(6,45,30)</f>
        <v>40300.281597222223</v>
      </c>
      <c r="C73">
        <v>80</v>
      </c>
      <c r="D73">
        <v>70.359840392999999</v>
      </c>
      <c r="E73">
        <v>50</v>
      </c>
      <c r="F73">
        <v>14.995678902</v>
      </c>
      <c r="G73">
        <v>1349.5280762</v>
      </c>
      <c r="H73">
        <v>1345.4066161999999</v>
      </c>
      <c r="I73">
        <v>1313.6112060999999</v>
      </c>
      <c r="J73">
        <v>1305.7198486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1.302492</v>
      </c>
      <c r="B74" s="1">
        <f>DATE(2010,5,2) + TIME(7,15,35)</f>
        <v>40300.302488425928</v>
      </c>
      <c r="C74">
        <v>80</v>
      </c>
      <c r="D74">
        <v>70.712417603000006</v>
      </c>
      <c r="E74">
        <v>50</v>
      </c>
      <c r="F74">
        <v>14.995689391999999</v>
      </c>
      <c r="G74">
        <v>1349.5432129000001</v>
      </c>
      <c r="H74">
        <v>1345.4250488</v>
      </c>
      <c r="I74">
        <v>1313.6081543</v>
      </c>
      <c r="J74">
        <v>1305.7166748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1.3233820000000001</v>
      </c>
      <c r="B75" s="1">
        <f>DATE(2010,5,2) + TIME(7,45,40)</f>
        <v>40300.323379629626</v>
      </c>
      <c r="C75">
        <v>80</v>
      </c>
      <c r="D75">
        <v>71.053176879999995</v>
      </c>
      <c r="E75">
        <v>50</v>
      </c>
      <c r="F75">
        <v>14.995699883</v>
      </c>
      <c r="G75">
        <v>1349.5577393000001</v>
      </c>
      <c r="H75">
        <v>1345.4425048999999</v>
      </c>
      <c r="I75">
        <v>1313.6053466999999</v>
      </c>
      <c r="J75">
        <v>1305.7138672000001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1.3442730000000001</v>
      </c>
      <c r="B76" s="1">
        <f>DATE(2010,5,2) + TIME(8,15,45)</f>
        <v>40300.344270833331</v>
      </c>
      <c r="C76">
        <v>80</v>
      </c>
      <c r="D76">
        <v>71.382469177000004</v>
      </c>
      <c r="E76">
        <v>50</v>
      </c>
      <c r="F76">
        <v>14.995711327</v>
      </c>
      <c r="G76">
        <v>1349.5717772999999</v>
      </c>
      <c r="H76">
        <v>1345.4592285000001</v>
      </c>
      <c r="I76">
        <v>1313.6027832</v>
      </c>
      <c r="J76">
        <v>1305.7111815999999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1.3651629999999999</v>
      </c>
      <c r="B77" s="1">
        <f>DATE(2010,5,2) + TIME(8,45,50)</f>
        <v>40300.365162037036</v>
      </c>
      <c r="C77">
        <v>80</v>
      </c>
      <c r="D77">
        <v>71.700622558999996</v>
      </c>
      <c r="E77">
        <v>50</v>
      </c>
      <c r="F77">
        <v>14.995721817</v>
      </c>
      <c r="G77">
        <v>1349.5853271000001</v>
      </c>
      <c r="H77">
        <v>1345.4750977000001</v>
      </c>
      <c r="I77">
        <v>1313.6004639</v>
      </c>
      <c r="J77">
        <v>1305.7087402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1.3860539999999999</v>
      </c>
      <c r="B78" s="1">
        <f>DATE(2010,5,2) + TIME(9,15,55)</f>
        <v>40300.386053240742</v>
      </c>
      <c r="C78">
        <v>80</v>
      </c>
      <c r="D78">
        <v>72.007934570000003</v>
      </c>
      <c r="E78">
        <v>50</v>
      </c>
      <c r="F78">
        <v>14.995732307000001</v>
      </c>
      <c r="G78">
        <v>1349.5982666</v>
      </c>
      <c r="H78">
        <v>1345.4902344</v>
      </c>
      <c r="I78">
        <v>1313.5982666</v>
      </c>
      <c r="J78">
        <v>1305.706543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1.406944</v>
      </c>
      <c r="B79" s="1">
        <f>DATE(2010,5,2) + TIME(9,46,0)</f>
        <v>40300.406944444447</v>
      </c>
      <c r="C79">
        <v>80</v>
      </c>
      <c r="D79">
        <v>72.304710388000004</v>
      </c>
      <c r="E79">
        <v>50</v>
      </c>
      <c r="F79">
        <v>14.995742798</v>
      </c>
      <c r="G79">
        <v>1349.6108397999999</v>
      </c>
      <c r="H79">
        <v>1345.5046387</v>
      </c>
      <c r="I79">
        <v>1313.5963135</v>
      </c>
      <c r="J79">
        <v>1305.7044678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1.427835</v>
      </c>
      <c r="B80" s="1">
        <f>DATE(2010,5,2) + TIME(10,16,4)</f>
        <v>40300.427824074075</v>
      </c>
      <c r="C80">
        <v>80</v>
      </c>
      <c r="D80">
        <v>72.591255188000005</v>
      </c>
      <c r="E80">
        <v>50</v>
      </c>
      <c r="F80">
        <v>14.995753288</v>
      </c>
      <c r="G80">
        <v>1349.6228027</v>
      </c>
      <c r="H80">
        <v>1345.5184326000001</v>
      </c>
      <c r="I80">
        <v>1313.5944824000001</v>
      </c>
      <c r="J80">
        <v>1305.7026367000001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1.448726</v>
      </c>
      <c r="B81" s="1">
        <f>DATE(2010,5,2) + TIME(10,46,9)</f>
        <v>40300.44871527778</v>
      </c>
      <c r="C81">
        <v>80</v>
      </c>
      <c r="D81">
        <v>72.867851256999998</v>
      </c>
      <c r="E81">
        <v>50</v>
      </c>
      <c r="F81">
        <v>14.995763779000001</v>
      </c>
      <c r="G81">
        <v>1349.6343993999999</v>
      </c>
      <c r="H81">
        <v>1345.5313721</v>
      </c>
      <c r="I81">
        <v>1313.5928954999999</v>
      </c>
      <c r="J81">
        <v>1305.7009277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1.469616</v>
      </c>
      <c r="B82" s="1">
        <f>DATE(2010,5,2) + TIME(11,16,14)</f>
        <v>40300.469606481478</v>
      </c>
      <c r="C82">
        <v>80</v>
      </c>
      <c r="D82">
        <v>73.134788513000004</v>
      </c>
      <c r="E82">
        <v>50</v>
      </c>
      <c r="F82">
        <v>14.995773314999999</v>
      </c>
      <c r="G82">
        <v>1349.6455077999999</v>
      </c>
      <c r="H82">
        <v>1345.5437012</v>
      </c>
      <c r="I82">
        <v>1313.5914307</v>
      </c>
      <c r="J82">
        <v>1305.6993408000001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1.490507</v>
      </c>
      <c r="B83" s="1">
        <f>DATE(2010,5,2) + TIME(11,46,19)</f>
        <v>40300.490497685183</v>
      </c>
      <c r="C83">
        <v>80</v>
      </c>
      <c r="D83">
        <v>73.392356872999997</v>
      </c>
      <c r="E83">
        <v>50</v>
      </c>
      <c r="F83">
        <v>14.995783806</v>
      </c>
      <c r="G83">
        <v>1349.6561279</v>
      </c>
      <c r="H83">
        <v>1345.5554199000001</v>
      </c>
      <c r="I83">
        <v>1313.5900879000001</v>
      </c>
      <c r="J83">
        <v>1305.6979980000001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1.5322880000000001</v>
      </c>
      <c r="B84" s="1">
        <f>DATE(2010,5,2) + TIME(12,46,29)</f>
        <v>40300.532280092593</v>
      </c>
      <c r="C84">
        <v>80</v>
      </c>
      <c r="D84">
        <v>73.870590210000003</v>
      </c>
      <c r="E84">
        <v>50</v>
      </c>
      <c r="F84">
        <v>14.995802878999999</v>
      </c>
      <c r="G84">
        <v>1349.6539307</v>
      </c>
      <c r="H84">
        <v>1345.5694579999999</v>
      </c>
      <c r="I84">
        <v>1313.5880127</v>
      </c>
      <c r="J84">
        <v>1305.6956786999999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1.5741540000000001</v>
      </c>
      <c r="B85" s="1">
        <f>DATE(2010,5,2) + TIME(13,46,46)</f>
        <v>40300.574143518519</v>
      </c>
      <c r="C85">
        <v>80</v>
      </c>
      <c r="D85">
        <v>74.317024231000005</v>
      </c>
      <c r="E85">
        <v>50</v>
      </c>
      <c r="F85">
        <v>14.995821953</v>
      </c>
      <c r="G85">
        <v>1349.6737060999999</v>
      </c>
      <c r="H85">
        <v>1345.5881348</v>
      </c>
      <c r="I85">
        <v>1313.5861815999999</v>
      </c>
      <c r="J85">
        <v>1305.6937256000001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1.6164419999999999</v>
      </c>
      <c r="B86" s="1">
        <f>DATE(2010,5,2) + TIME(14,47,40)</f>
        <v>40300.616435185184</v>
      </c>
      <c r="C86">
        <v>80</v>
      </c>
      <c r="D86">
        <v>74.736366271999998</v>
      </c>
      <c r="E86">
        <v>50</v>
      </c>
      <c r="F86">
        <v>14.995841026000001</v>
      </c>
      <c r="G86">
        <v>1349.690918</v>
      </c>
      <c r="H86">
        <v>1345.6049805</v>
      </c>
      <c r="I86">
        <v>1313.5848389</v>
      </c>
      <c r="J86">
        <v>1305.6922606999999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1.6592169999999999</v>
      </c>
      <c r="B87" s="1">
        <f>DATE(2010,5,2) + TIME(15,49,16)</f>
        <v>40300.659212962964</v>
      </c>
      <c r="C87">
        <v>80</v>
      </c>
      <c r="D87">
        <v>75.130134583</v>
      </c>
      <c r="E87">
        <v>50</v>
      </c>
      <c r="F87">
        <v>14.9958601</v>
      </c>
      <c r="G87">
        <v>1349.7064209</v>
      </c>
      <c r="H87">
        <v>1345.6199951000001</v>
      </c>
      <c r="I87">
        <v>1313.5838623</v>
      </c>
      <c r="J87">
        <v>1305.6911620999999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1.702548</v>
      </c>
      <c r="B88" s="1">
        <f>DATE(2010,5,2) + TIME(16,51,40)</f>
        <v>40300.702546296299</v>
      </c>
      <c r="C88">
        <v>80</v>
      </c>
      <c r="D88">
        <v>75.499725342000005</v>
      </c>
      <c r="E88">
        <v>50</v>
      </c>
      <c r="F88">
        <v>14.99587822</v>
      </c>
      <c r="G88">
        <v>1349.7204589999999</v>
      </c>
      <c r="H88">
        <v>1345.6331786999999</v>
      </c>
      <c r="I88">
        <v>1313.5831298999999</v>
      </c>
      <c r="J88">
        <v>1305.6901855000001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1.746502</v>
      </c>
      <c r="B89" s="1">
        <f>DATE(2010,5,2) + TIME(17,54,57)</f>
        <v>40300.746493055558</v>
      </c>
      <c r="C89">
        <v>80</v>
      </c>
      <c r="D89">
        <v>75.846656799000002</v>
      </c>
      <c r="E89">
        <v>50</v>
      </c>
      <c r="F89">
        <v>14.995897293000001</v>
      </c>
      <c r="G89">
        <v>1349.7330322</v>
      </c>
      <c r="H89">
        <v>1345.6446533000001</v>
      </c>
      <c r="I89">
        <v>1313.5826416</v>
      </c>
      <c r="J89">
        <v>1305.6895752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1.79115</v>
      </c>
      <c r="B90" s="1">
        <f>DATE(2010,5,2) + TIME(18,59,15)</f>
        <v>40300.791145833333</v>
      </c>
      <c r="C90">
        <v>80</v>
      </c>
      <c r="D90">
        <v>76.172187804999993</v>
      </c>
      <c r="E90">
        <v>50</v>
      </c>
      <c r="F90">
        <v>14.995915413000001</v>
      </c>
      <c r="G90">
        <v>1349.7442627</v>
      </c>
      <c r="H90">
        <v>1345.6542969</v>
      </c>
      <c r="I90">
        <v>1313.5822754000001</v>
      </c>
      <c r="J90">
        <v>1305.6892089999999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1.8365659999999999</v>
      </c>
      <c r="B91" s="1">
        <f>DATE(2010,5,2) + TIME(20,4,39)</f>
        <v>40300.836562500001</v>
      </c>
      <c r="C91">
        <v>80</v>
      </c>
      <c r="D91">
        <v>76.477470397999994</v>
      </c>
      <c r="E91">
        <v>50</v>
      </c>
      <c r="F91">
        <v>14.995933533000001</v>
      </c>
      <c r="G91">
        <v>1349.7541504000001</v>
      </c>
      <c r="H91">
        <v>1345.6623535000001</v>
      </c>
      <c r="I91">
        <v>1313.5822754000001</v>
      </c>
      <c r="J91">
        <v>1305.6890868999999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1.882825</v>
      </c>
      <c r="B92" s="1">
        <f>DATE(2010,5,2) + TIME(21,11,16)</f>
        <v>40300.882824074077</v>
      </c>
      <c r="C92">
        <v>80</v>
      </c>
      <c r="D92">
        <v>76.763587951999995</v>
      </c>
      <c r="E92">
        <v>50</v>
      </c>
      <c r="F92">
        <v>14.995951653000001</v>
      </c>
      <c r="G92">
        <v>1349.7625731999999</v>
      </c>
      <c r="H92">
        <v>1345.6688231999999</v>
      </c>
      <c r="I92">
        <v>1313.5823975000001</v>
      </c>
      <c r="J92">
        <v>1305.6889647999999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1.9300120000000001</v>
      </c>
      <c r="B93" s="1">
        <f>DATE(2010,5,2) + TIME(22,19,13)</f>
        <v>40300.930011574077</v>
      </c>
      <c r="C93">
        <v>80</v>
      </c>
      <c r="D93">
        <v>77.031532287999994</v>
      </c>
      <c r="E93">
        <v>50</v>
      </c>
      <c r="F93">
        <v>14.995969772</v>
      </c>
      <c r="G93">
        <v>1349.7697754000001</v>
      </c>
      <c r="H93">
        <v>1345.6737060999999</v>
      </c>
      <c r="I93">
        <v>1313.5826416</v>
      </c>
      <c r="J93">
        <v>1305.6892089999999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1.978218</v>
      </c>
      <c r="B94" s="1">
        <f>DATE(2010,5,2) + TIME(23,28,38)</f>
        <v>40300.978217592594</v>
      </c>
      <c r="C94">
        <v>80</v>
      </c>
      <c r="D94">
        <v>77.282279967999997</v>
      </c>
      <c r="E94">
        <v>50</v>
      </c>
      <c r="F94">
        <v>14.995986938</v>
      </c>
      <c r="G94">
        <v>1349.7756348</v>
      </c>
      <c r="H94">
        <v>1345.677124</v>
      </c>
      <c r="I94">
        <v>1313.5830077999999</v>
      </c>
      <c r="J94">
        <v>1305.6894531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2.0275500000000002</v>
      </c>
      <c r="B95" s="1">
        <f>DATE(2010,5,3) + TIME(0,39,40)</f>
        <v>40301.027546296296</v>
      </c>
      <c r="C95">
        <v>80</v>
      </c>
      <c r="D95">
        <v>77.516731261999993</v>
      </c>
      <c r="E95">
        <v>50</v>
      </c>
      <c r="F95">
        <v>14.996005058</v>
      </c>
      <c r="G95">
        <v>1349.7801514</v>
      </c>
      <c r="H95">
        <v>1345.6790771000001</v>
      </c>
      <c r="I95">
        <v>1313.5834961</v>
      </c>
      <c r="J95">
        <v>1305.6898193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2.0780949999999998</v>
      </c>
      <c r="B96" s="1">
        <f>DATE(2010,5,3) + TIME(1,52,27)</f>
        <v>40301.078090277777</v>
      </c>
      <c r="C96">
        <v>80</v>
      </c>
      <c r="D96">
        <v>77.735649108999993</v>
      </c>
      <c r="E96">
        <v>50</v>
      </c>
      <c r="F96">
        <v>14.996023178</v>
      </c>
      <c r="G96">
        <v>1349.7834473</v>
      </c>
      <c r="H96">
        <v>1345.6794434000001</v>
      </c>
      <c r="I96">
        <v>1313.5841064000001</v>
      </c>
      <c r="J96">
        <v>1305.6903076000001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2.1299640000000002</v>
      </c>
      <c r="B97" s="1">
        <f>DATE(2010,5,3) + TIME(3,7,8)</f>
        <v>40301.129953703705</v>
      </c>
      <c r="C97">
        <v>80</v>
      </c>
      <c r="D97">
        <v>77.939804077000005</v>
      </c>
      <c r="E97">
        <v>50</v>
      </c>
      <c r="F97">
        <v>14.996041298</v>
      </c>
      <c r="G97">
        <v>1349.7854004000001</v>
      </c>
      <c r="H97">
        <v>1345.6784668</v>
      </c>
      <c r="I97">
        <v>1313.5848389</v>
      </c>
      <c r="J97">
        <v>1305.690918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2.1832780000000001</v>
      </c>
      <c r="B98" s="1">
        <f>DATE(2010,5,3) + TIME(4,23,55)</f>
        <v>40301.183275462965</v>
      </c>
      <c r="C98">
        <v>80</v>
      </c>
      <c r="D98">
        <v>78.129936217999997</v>
      </c>
      <c r="E98">
        <v>50</v>
      </c>
      <c r="F98">
        <v>14.996058464000001</v>
      </c>
      <c r="G98">
        <v>1349.7861327999999</v>
      </c>
      <c r="H98">
        <v>1345.6760254000001</v>
      </c>
      <c r="I98">
        <v>1313.5856934000001</v>
      </c>
      <c r="J98">
        <v>1305.6916504000001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2.2381730000000002</v>
      </c>
      <c r="B99" s="1">
        <f>DATE(2010,5,3) + TIME(5,42,58)</f>
        <v>40301.238171296296</v>
      </c>
      <c r="C99">
        <v>80</v>
      </c>
      <c r="D99">
        <v>78.306732178000004</v>
      </c>
      <c r="E99">
        <v>50</v>
      </c>
      <c r="F99">
        <v>14.996076584000001</v>
      </c>
      <c r="G99">
        <v>1349.7855225000001</v>
      </c>
      <c r="H99">
        <v>1345.6722411999999</v>
      </c>
      <c r="I99">
        <v>1313.5865478999999</v>
      </c>
      <c r="J99">
        <v>1305.6923827999999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2.2948010000000001</v>
      </c>
      <c r="B100" s="1">
        <f>DATE(2010,5,3) + TIME(7,4,30)</f>
        <v>40301.294791666667</v>
      </c>
      <c r="C100">
        <v>80</v>
      </c>
      <c r="D100">
        <v>78.470863342000001</v>
      </c>
      <c r="E100">
        <v>50</v>
      </c>
      <c r="F100">
        <v>14.996094704000001</v>
      </c>
      <c r="G100">
        <v>1349.7836914</v>
      </c>
      <c r="H100">
        <v>1345.6669922000001</v>
      </c>
      <c r="I100">
        <v>1313.5874022999999</v>
      </c>
      <c r="J100">
        <v>1305.6931152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2.3533270000000002</v>
      </c>
      <c r="B101" s="1">
        <f>DATE(2010,5,3) + TIME(8,28,47)</f>
        <v>40301.353321759256</v>
      </c>
      <c r="C101">
        <v>80</v>
      </c>
      <c r="D101">
        <v>78.622955321999996</v>
      </c>
      <c r="E101">
        <v>50</v>
      </c>
      <c r="F101">
        <v>14.996112823000001</v>
      </c>
      <c r="G101">
        <v>1349.7805175999999</v>
      </c>
      <c r="H101">
        <v>1345.6602783000001</v>
      </c>
      <c r="I101">
        <v>1313.5883789</v>
      </c>
      <c r="J101">
        <v>1305.6939697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2.413767</v>
      </c>
      <c r="B102" s="1">
        <f>DATE(2010,5,3) + TIME(9,55,49)</f>
        <v>40301.413761574076</v>
      </c>
      <c r="C102">
        <v>80</v>
      </c>
      <c r="D102">
        <v>78.763252257999994</v>
      </c>
      <c r="E102">
        <v>50</v>
      </c>
      <c r="F102">
        <v>14.996130943000001</v>
      </c>
      <c r="G102">
        <v>1349.776001</v>
      </c>
      <c r="H102">
        <v>1345.6522216999999</v>
      </c>
      <c r="I102">
        <v>1313.5893555</v>
      </c>
      <c r="J102">
        <v>1305.6949463000001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2.4760119999999999</v>
      </c>
      <c r="B103" s="1">
        <f>DATE(2010,5,3) + TIME(11,25,27)</f>
        <v>40301.476006944446</v>
      </c>
      <c r="C103">
        <v>80</v>
      </c>
      <c r="D103">
        <v>78.891853333</v>
      </c>
      <c r="E103">
        <v>50</v>
      </c>
      <c r="F103">
        <v>14.996149063000001</v>
      </c>
      <c r="G103">
        <v>1349.7702637</v>
      </c>
      <c r="H103">
        <v>1345.6428223</v>
      </c>
      <c r="I103">
        <v>1313.590332</v>
      </c>
      <c r="J103">
        <v>1305.6958007999999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2.540238</v>
      </c>
      <c r="B104" s="1">
        <f>DATE(2010,5,3) + TIME(12,57,56)</f>
        <v>40301.540231481478</v>
      </c>
      <c r="C104">
        <v>80</v>
      </c>
      <c r="D104">
        <v>79.009506225999999</v>
      </c>
      <c r="E104">
        <v>50</v>
      </c>
      <c r="F104">
        <v>14.996167183000001</v>
      </c>
      <c r="G104">
        <v>1349.7631836</v>
      </c>
      <c r="H104">
        <v>1345.6319579999999</v>
      </c>
      <c r="I104">
        <v>1313.5914307</v>
      </c>
      <c r="J104">
        <v>1305.6967772999999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2.606627</v>
      </c>
      <c r="B105" s="1">
        <f>DATE(2010,5,3) + TIME(14,33,32)</f>
        <v>40301.606620370374</v>
      </c>
      <c r="C105">
        <v>80</v>
      </c>
      <c r="D105">
        <v>79.116889954000001</v>
      </c>
      <c r="E105">
        <v>50</v>
      </c>
      <c r="F105">
        <v>14.996186256</v>
      </c>
      <c r="G105">
        <v>1349.7547606999999</v>
      </c>
      <c r="H105">
        <v>1345.6198730000001</v>
      </c>
      <c r="I105">
        <v>1313.5924072</v>
      </c>
      <c r="J105">
        <v>1305.6976318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2.6753960000000001</v>
      </c>
      <c r="B106" s="1">
        <f>DATE(2010,5,3) + TIME(16,12,34)</f>
        <v>40301.675393518519</v>
      </c>
      <c r="C106">
        <v>80</v>
      </c>
      <c r="D106">
        <v>79.214675903</v>
      </c>
      <c r="E106">
        <v>50</v>
      </c>
      <c r="F106">
        <v>14.996204376</v>
      </c>
      <c r="G106">
        <v>1349.7451172000001</v>
      </c>
      <c r="H106">
        <v>1345.6063231999999</v>
      </c>
      <c r="I106">
        <v>1313.5935059000001</v>
      </c>
      <c r="J106">
        <v>1305.6986084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2.7465850000000001</v>
      </c>
      <c r="B107" s="1">
        <f>DATE(2010,5,3) + TIME(17,55,4)</f>
        <v>40301.746574074074</v>
      </c>
      <c r="C107">
        <v>80</v>
      </c>
      <c r="D107">
        <v>79.303260803000001</v>
      </c>
      <c r="E107">
        <v>50</v>
      </c>
      <c r="F107">
        <v>14.996222496</v>
      </c>
      <c r="G107">
        <v>1349.7340088000001</v>
      </c>
      <c r="H107">
        <v>1345.5914307</v>
      </c>
      <c r="I107">
        <v>1313.5944824000001</v>
      </c>
      <c r="J107">
        <v>1305.6995850000001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2.8200750000000001</v>
      </c>
      <c r="B108" s="1">
        <f>DATE(2010,5,3) + TIME(19,40,54)</f>
        <v>40301.820069444446</v>
      </c>
      <c r="C108">
        <v>80</v>
      </c>
      <c r="D108">
        <v>79.382957458000007</v>
      </c>
      <c r="E108">
        <v>50</v>
      </c>
      <c r="F108">
        <v>14.99624157</v>
      </c>
      <c r="G108">
        <v>1349.7215576000001</v>
      </c>
      <c r="H108">
        <v>1345.5753173999999</v>
      </c>
      <c r="I108">
        <v>1313.5955810999999</v>
      </c>
      <c r="J108">
        <v>1305.7005615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2.8960919999999999</v>
      </c>
      <c r="B109" s="1">
        <f>DATE(2010,5,3) + TIME(21,30,22)</f>
        <v>40301.896087962959</v>
      </c>
      <c r="C109">
        <v>80</v>
      </c>
      <c r="D109">
        <v>79.454475403000004</v>
      </c>
      <c r="E109">
        <v>50</v>
      </c>
      <c r="F109">
        <v>14.996259689</v>
      </c>
      <c r="G109">
        <v>1349.7078856999999</v>
      </c>
      <c r="H109">
        <v>1345.5579834</v>
      </c>
      <c r="I109">
        <v>1313.5965576000001</v>
      </c>
      <c r="J109">
        <v>1305.7014160000001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2.9346619999999999</v>
      </c>
      <c r="B110" s="1">
        <f>DATE(2010,5,3) + TIME(22,25,54)</f>
        <v>40301.934652777774</v>
      </c>
      <c r="C110">
        <v>80</v>
      </c>
      <c r="D110">
        <v>79.488174438000001</v>
      </c>
      <c r="E110">
        <v>50</v>
      </c>
      <c r="F110">
        <v>14.996269226000001</v>
      </c>
      <c r="G110">
        <v>1349.6983643000001</v>
      </c>
      <c r="H110">
        <v>1345.5408935999999</v>
      </c>
      <c r="I110">
        <v>1313.597168</v>
      </c>
      <c r="J110">
        <v>1305.7019043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3.0118019999999999</v>
      </c>
      <c r="B111" s="1">
        <f>DATE(2010,5,4) + TIME(0,16,59)</f>
        <v>40302.011793981481</v>
      </c>
      <c r="C111">
        <v>80</v>
      </c>
      <c r="D111">
        <v>79.546478270999998</v>
      </c>
      <c r="E111">
        <v>50</v>
      </c>
      <c r="F111">
        <v>14.996287346000001</v>
      </c>
      <c r="G111">
        <v>1349.6846923999999</v>
      </c>
      <c r="H111">
        <v>1345.5294189000001</v>
      </c>
      <c r="I111">
        <v>1313.5981445</v>
      </c>
      <c r="J111">
        <v>1305.7028809000001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3.0890119999999999</v>
      </c>
      <c r="B112" s="1">
        <f>DATE(2010,5,4) + TIME(2,8,10)</f>
        <v>40302.089004629626</v>
      </c>
      <c r="C112">
        <v>80</v>
      </c>
      <c r="D112">
        <v>79.596984863000003</v>
      </c>
      <c r="E112">
        <v>50</v>
      </c>
      <c r="F112">
        <v>14.996305466000001</v>
      </c>
      <c r="G112">
        <v>1349.6693115</v>
      </c>
      <c r="H112">
        <v>1345.510376</v>
      </c>
      <c r="I112">
        <v>1313.598999</v>
      </c>
      <c r="J112">
        <v>1305.7036132999999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3.1664349999999999</v>
      </c>
      <c r="B113" s="1">
        <f>DATE(2010,5,4) + TIME(3,59,39)</f>
        <v>40302.16642361111</v>
      </c>
      <c r="C113">
        <v>80</v>
      </c>
      <c r="D113">
        <v>79.640808105000005</v>
      </c>
      <c r="E113">
        <v>50</v>
      </c>
      <c r="F113">
        <v>14.996322632</v>
      </c>
      <c r="G113">
        <v>1349.6527100000001</v>
      </c>
      <c r="H113">
        <v>1345.4903564000001</v>
      </c>
      <c r="I113">
        <v>1313.5998535000001</v>
      </c>
      <c r="J113">
        <v>1305.7044678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3.2442220000000002</v>
      </c>
      <c r="B114" s="1">
        <f>DATE(2010,5,4) + TIME(5,51,40)</f>
        <v>40302.244212962964</v>
      </c>
      <c r="C114">
        <v>80</v>
      </c>
      <c r="D114">
        <v>79.678886414000004</v>
      </c>
      <c r="E114">
        <v>50</v>
      </c>
      <c r="F114">
        <v>14.996339797999999</v>
      </c>
      <c r="G114">
        <v>1349.6354980000001</v>
      </c>
      <c r="H114">
        <v>1345.4700928</v>
      </c>
      <c r="I114">
        <v>1313.6007079999999</v>
      </c>
      <c r="J114">
        <v>1305.7052002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3.3222700000000001</v>
      </c>
      <c r="B115" s="1">
        <f>DATE(2010,5,4) + TIME(7,44,4)</f>
        <v>40302.322268518517</v>
      </c>
      <c r="C115">
        <v>80</v>
      </c>
      <c r="D115">
        <v>79.711914062000005</v>
      </c>
      <c r="E115">
        <v>50</v>
      </c>
      <c r="F115">
        <v>14.99635601</v>
      </c>
      <c r="G115">
        <v>1349.6177978999999</v>
      </c>
      <c r="H115">
        <v>1345.4493408000001</v>
      </c>
      <c r="I115">
        <v>1313.6015625</v>
      </c>
      <c r="J115">
        <v>1305.7059326000001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3.4006980000000002</v>
      </c>
      <c r="B116" s="1">
        <f>DATE(2010,5,4) + TIME(9,37,0)</f>
        <v>40302.400694444441</v>
      </c>
      <c r="C116">
        <v>80</v>
      </c>
      <c r="D116">
        <v>79.740592957000004</v>
      </c>
      <c r="E116">
        <v>50</v>
      </c>
      <c r="F116">
        <v>14.996372223</v>
      </c>
      <c r="G116">
        <v>1349.5994873</v>
      </c>
      <c r="H116">
        <v>1345.4284668</v>
      </c>
      <c r="I116">
        <v>1313.6022949000001</v>
      </c>
      <c r="J116">
        <v>1305.7066649999999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3.479619</v>
      </c>
      <c r="B117" s="1">
        <f>DATE(2010,5,4) + TIME(11,30,39)</f>
        <v>40302.479618055557</v>
      </c>
      <c r="C117">
        <v>80</v>
      </c>
      <c r="D117">
        <v>79.765518188000001</v>
      </c>
      <c r="E117">
        <v>50</v>
      </c>
      <c r="F117">
        <v>14.996388435</v>
      </c>
      <c r="G117">
        <v>1349.5809326000001</v>
      </c>
      <c r="H117">
        <v>1345.4074707</v>
      </c>
      <c r="I117">
        <v>1313.6030272999999</v>
      </c>
      <c r="J117">
        <v>1305.7072754000001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3.559161</v>
      </c>
      <c r="B118" s="1">
        <f>DATE(2010,5,4) + TIME(13,25,11)</f>
        <v>40302.559155092589</v>
      </c>
      <c r="C118">
        <v>80</v>
      </c>
      <c r="D118">
        <v>79.787200928000004</v>
      </c>
      <c r="E118">
        <v>50</v>
      </c>
      <c r="F118">
        <v>14.996404648</v>
      </c>
      <c r="G118">
        <v>1349.5620117000001</v>
      </c>
      <c r="H118">
        <v>1345.3861084</v>
      </c>
      <c r="I118">
        <v>1313.6036377</v>
      </c>
      <c r="J118">
        <v>1305.7078856999999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3.63944</v>
      </c>
      <c r="B119" s="1">
        <f>DATE(2010,5,4) + TIME(15,20,47)</f>
        <v>40302.639432870368</v>
      </c>
      <c r="C119">
        <v>80</v>
      </c>
      <c r="D119">
        <v>79.806068420000003</v>
      </c>
      <c r="E119">
        <v>50</v>
      </c>
      <c r="F119">
        <v>14.996419907</v>
      </c>
      <c r="G119">
        <v>1349.5427245999999</v>
      </c>
      <c r="H119">
        <v>1345.364624</v>
      </c>
      <c r="I119">
        <v>1313.6043701000001</v>
      </c>
      <c r="J119">
        <v>1305.7084961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3.7205759999999999</v>
      </c>
      <c r="B120" s="1">
        <f>DATE(2010,5,4) + TIME(17,17,37)</f>
        <v>40302.720567129632</v>
      </c>
      <c r="C120">
        <v>80</v>
      </c>
      <c r="D120">
        <v>79.822494507000002</v>
      </c>
      <c r="E120">
        <v>50</v>
      </c>
      <c r="F120">
        <v>14.996435164999999</v>
      </c>
      <c r="G120">
        <v>1349.5230713000001</v>
      </c>
      <c r="H120">
        <v>1345.3430175999999</v>
      </c>
      <c r="I120">
        <v>1313.6049805</v>
      </c>
      <c r="J120">
        <v>1305.7089844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3.8026879999999998</v>
      </c>
      <c r="B121" s="1">
        <f>DATE(2010,5,4) + TIME(19,15,52)</f>
        <v>40302.802685185183</v>
      </c>
      <c r="C121">
        <v>80</v>
      </c>
      <c r="D121">
        <v>79.836799622000001</v>
      </c>
      <c r="E121">
        <v>50</v>
      </c>
      <c r="F121">
        <v>14.996450424000001</v>
      </c>
      <c r="G121">
        <v>1349.5031738</v>
      </c>
      <c r="H121">
        <v>1345.3212891000001</v>
      </c>
      <c r="I121">
        <v>1313.6055908000001</v>
      </c>
      <c r="J121">
        <v>1305.7095947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3.8859020000000002</v>
      </c>
      <c r="B122" s="1">
        <f>DATE(2010,5,4) + TIME(21,15,41)</f>
        <v>40302.885891203703</v>
      </c>
      <c r="C122">
        <v>80</v>
      </c>
      <c r="D122">
        <v>79.849250792999996</v>
      </c>
      <c r="E122">
        <v>50</v>
      </c>
      <c r="F122">
        <v>14.996465683</v>
      </c>
      <c r="G122">
        <v>1349.4829102000001</v>
      </c>
      <c r="H122">
        <v>1345.2993164</v>
      </c>
      <c r="I122">
        <v>1313.6060791</v>
      </c>
      <c r="J122">
        <v>1305.7100829999999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3.970345</v>
      </c>
      <c r="B123" s="1">
        <f>DATE(2010,5,4) + TIME(23,17,17)</f>
        <v>40302.970335648148</v>
      </c>
      <c r="C123">
        <v>80</v>
      </c>
      <c r="D123">
        <v>79.860099792</v>
      </c>
      <c r="E123">
        <v>50</v>
      </c>
      <c r="F123">
        <v>14.996480942</v>
      </c>
      <c r="G123">
        <v>1349.4622803</v>
      </c>
      <c r="H123">
        <v>1345.2772216999999</v>
      </c>
      <c r="I123">
        <v>1313.6066894999999</v>
      </c>
      <c r="J123">
        <v>1305.7105713000001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4.056152</v>
      </c>
      <c r="B124" s="1">
        <f>DATE(2010,5,5) + TIME(1,20,51)</f>
        <v>40303.056145833332</v>
      </c>
      <c r="C124">
        <v>80</v>
      </c>
      <c r="D124">
        <v>79.869544982999997</v>
      </c>
      <c r="E124">
        <v>50</v>
      </c>
      <c r="F124">
        <v>14.996495247</v>
      </c>
      <c r="G124">
        <v>1349.4415283000001</v>
      </c>
      <c r="H124">
        <v>1345.2548827999999</v>
      </c>
      <c r="I124">
        <v>1313.6071777</v>
      </c>
      <c r="J124">
        <v>1305.7110596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4.143465</v>
      </c>
      <c r="B125" s="1">
        <f>DATE(2010,5,5) + TIME(3,26,35)</f>
        <v>40303.143460648149</v>
      </c>
      <c r="C125">
        <v>80</v>
      </c>
      <c r="D125">
        <v>79.877777100000003</v>
      </c>
      <c r="E125">
        <v>50</v>
      </c>
      <c r="F125">
        <v>14.996510506</v>
      </c>
      <c r="G125">
        <v>1349.4202881000001</v>
      </c>
      <c r="H125">
        <v>1345.2324219</v>
      </c>
      <c r="I125">
        <v>1313.6077881000001</v>
      </c>
      <c r="J125">
        <v>1305.7115478999999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4.2324409999999997</v>
      </c>
      <c r="B126" s="1">
        <f>DATE(2010,5,5) + TIME(5,34,42)</f>
        <v>40303.232430555552</v>
      </c>
      <c r="C126">
        <v>80</v>
      </c>
      <c r="D126">
        <v>79.884933472</v>
      </c>
      <c r="E126">
        <v>50</v>
      </c>
      <c r="F126">
        <v>14.996525763999999</v>
      </c>
      <c r="G126">
        <v>1349.3989257999999</v>
      </c>
      <c r="H126">
        <v>1345.2098389</v>
      </c>
      <c r="I126">
        <v>1313.6082764</v>
      </c>
      <c r="J126">
        <v>1305.7119141000001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4.3232670000000004</v>
      </c>
      <c r="B127" s="1">
        <f>DATE(2010,5,5) + TIME(7,45,30)</f>
        <v>40303.323263888888</v>
      </c>
      <c r="C127">
        <v>80</v>
      </c>
      <c r="D127">
        <v>79.891166686999995</v>
      </c>
      <c r="E127">
        <v>50</v>
      </c>
      <c r="F127">
        <v>14.99654007</v>
      </c>
      <c r="G127">
        <v>1349.3771973</v>
      </c>
      <c r="H127">
        <v>1345.1870117000001</v>
      </c>
      <c r="I127">
        <v>1313.6087646000001</v>
      </c>
      <c r="J127">
        <v>1305.7124022999999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4.4160890000000004</v>
      </c>
      <c r="B128" s="1">
        <f>DATE(2010,5,5) + TIME(9,59,10)</f>
        <v>40303.416087962964</v>
      </c>
      <c r="C128">
        <v>80</v>
      </c>
      <c r="D128">
        <v>79.896591186999999</v>
      </c>
      <c r="E128">
        <v>50</v>
      </c>
      <c r="F128">
        <v>14.996555327999999</v>
      </c>
      <c r="G128">
        <v>1349.3551024999999</v>
      </c>
      <c r="H128">
        <v>1345.1639404</v>
      </c>
      <c r="I128">
        <v>1313.6092529</v>
      </c>
      <c r="J128">
        <v>1305.7127685999999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4.5110950000000001</v>
      </c>
      <c r="B129" s="1">
        <f>DATE(2010,5,5) + TIME(12,15,58)</f>
        <v>40303.511087962965</v>
      </c>
      <c r="C129">
        <v>80</v>
      </c>
      <c r="D129">
        <v>79.901306152000004</v>
      </c>
      <c r="E129">
        <v>50</v>
      </c>
      <c r="F129">
        <v>14.996569633</v>
      </c>
      <c r="G129">
        <v>1349.3326416</v>
      </c>
      <c r="H129">
        <v>1345.140625</v>
      </c>
      <c r="I129">
        <v>1313.6097411999999</v>
      </c>
      <c r="J129">
        <v>1305.7132568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4.6084909999999999</v>
      </c>
      <c r="B130" s="1">
        <f>DATE(2010,5,5) + TIME(14,36,13)</f>
        <v>40303.608483796299</v>
      </c>
      <c r="C130">
        <v>80</v>
      </c>
      <c r="D130">
        <v>79.905410767000006</v>
      </c>
      <c r="E130">
        <v>50</v>
      </c>
      <c r="F130">
        <v>14.996584892</v>
      </c>
      <c r="G130">
        <v>1349.3098144999999</v>
      </c>
      <c r="H130">
        <v>1345.1171875</v>
      </c>
      <c r="I130">
        <v>1313.6101074000001</v>
      </c>
      <c r="J130">
        <v>1305.7136230000001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4.7084999999999999</v>
      </c>
      <c r="B131" s="1">
        <f>DATE(2010,5,5) + TIME(17,0,14)</f>
        <v>40303.708495370367</v>
      </c>
      <c r="C131">
        <v>80</v>
      </c>
      <c r="D131">
        <v>79.908973693999997</v>
      </c>
      <c r="E131">
        <v>50</v>
      </c>
      <c r="F131">
        <v>14.996600151000001</v>
      </c>
      <c r="G131">
        <v>1349.2867432</v>
      </c>
      <c r="H131">
        <v>1345.0933838000001</v>
      </c>
      <c r="I131">
        <v>1313.6105957</v>
      </c>
      <c r="J131">
        <v>1305.7139893000001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4.8113710000000003</v>
      </c>
      <c r="B132" s="1">
        <f>DATE(2010,5,5) + TIME(19,28,22)</f>
        <v>40303.811365740738</v>
      </c>
      <c r="C132">
        <v>80</v>
      </c>
      <c r="D132">
        <v>79.912063599000007</v>
      </c>
      <c r="E132">
        <v>50</v>
      </c>
      <c r="F132">
        <v>14.99661541</v>
      </c>
      <c r="G132">
        <v>1349.2631836</v>
      </c>
      <c r="H132">
        <v>1345.0693358999999</v>
      </c>
      <c r="I132">
        <v>1313.6110839999999</v>
      </c>
      <c r="J132">
        <v>1305.7144774999999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4.9170780000000001</v>
      </c>
      <c r="B133" s="1">
        <f>DATE(2010,5,5) + TIME(22,0,35)</f>
        <v>40303.917071759257</v>
      </c>
      <c r="C133">
        <v>80</v>
      </c>
      <c r="D133">
        <v>79.914749146000005</v>
      </c>
      <c r="E133">
        <v>50</v>
      </c>
      <c r="F133">
        <v>14.996630669</v>
      </c>
      <c r="G133">
        <v>1349.2391356999999</v>
      </c>
      <c r="H133">
        <v>1345.0449219</v>
      </c>
      <c r="I133">
        <v>1313.6115723</v>
      </c>
      <c r="J133">
        <v>1305.7148437999999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5.0251200000000003</v>
      </c>
      <c r="B134" s="1">
        <f>DATE(2010,5,6) + TIME(0,36,10)</f>
        <v>40304.02511574074</v>
      </c>
      <c r="C134">
        <v>80</v>
      </c>
      <c r="D134">
        <v>79.917060852000006</v>
      </c>
      <c r="E134">
        <v>50</v>
      </c>
      <c r="F134">
        <v>14.996645926999999</v>
      </c>
      <c r="G134">
        <v>1349.2148437999999</v>
      </c>
      <c r="H134">
        <v>1345.0202637</v>
      </c>
      <c r="I134">
        <v>1313.6119385</v>
      </c>
      <c r="J134">
        <v>1305.7152100000001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5.1357290000000004</v>
      </c>
      <c r="B135" s="1">
        <f>DATE(2010,5,6) + TIME(3,15,27)</f>
        <v>40304.135729166665</v>
      </c>
      <c r="C135">
        <v>80</v>
      </c>
      <c r="D135">
        <v>79.919052124000004</v>
      </c>
      <c r="E135">
        <v>50</v>
      </c>
      <c r="F135">
        <v>14.996661186000001</v>
      </c>
      <c r="G135">
        <v>1349.1903076000001</v>
      </c>
      <c r="H135">
        <v>1344.9953613</v>
      </c>
      <c r="I135">
        <v>1313.6124268000001</v>
      </c>
      <c r="J135">
        <v>1305.7155762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5.2491399999999997</v>
      </c>
      <c r="B136" s="1">
        <f>DATE(2010,5,6) + TIME(5,58,45)</f>
        <v>40304.249131944445</v>
      </c>
      <c r="C136">
        <v>80</v>
      </c>
      <c r="D136">
        <v>79.920776367000002</v>
      </c>
      <c r="E136">
        <v>50</v>
      </c>
      <c r="F136">
        <v>14.996676445</v>
      </c>
      <c r="G136">
        <v>1349.1654053</v>
      </c>
      <c r="H136">
        <v>1344.9704589999999</v>
      </c>
      <c r="I136">
        <v>1313.612793</v>
      </c>
      <c r="J136">
        <v>1305.7159423999999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5.365615</v>
      </c>
      <c r="B137" s="1">
        <f>DATE(2010,5,6) + TIME(8,46,29)</f>
        <v>40304.365613425929</v>
      </c>
      <c r="C137">
        <v>80</v>
      </c>
      <c r="D137">
        <v>79.922264099000003</v>
      </c>
      <c r="E137">
        <v>50</v>
      </c>
      <c r="F137">
        <v>14.996691704</v>
      </c>
      <c r="G137">
        <v>1349.1402588000001</v>
      </c>
      <c r="H137">
        <v>1344.9453125</v>
      </c>
      <c r="I137">
        <v>1313.6132812000001</v>
      </c>
      <c r="J137">
        <v>1305.7163086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5.4248510000000003</v>
      </c>
      <c r="B138" s="1">
        <f>DATE(2010,5,6) + TIME(10,11,47)</f>
        <v>40304.424849537034</v>
      </c>
      <c r="C138">
        <v>80</v>
      </c>
      <c r="D138">
        <v>79.922927856000001</v>
      </c>
      <c r="E138">
        <v>50</v>
      </c>
      <c r="F138">
        <v>14.996700286999999</v>
      </c>
      <c r="G138">
        <v>1349.1173096</v>
      </c>
      <c r="H138">
        <v>1344.9213867000001</v>
      </c>
      <c r="I138">
        <v>1313.6135254000001</v>
      </c>
      <c r="J138">
        <v>1305.7165527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5.4840879999999999</v>
      </c>
      <c r="B139" s="1">
        <f>DATE(2010,5,6) + TIME(11,37,5)</f>
        <v>40304.484085648146</v>
      </c>
      <c r="C139">
        <v>80</v>
      </c>
      <c r="D139">
        <v>79.923561096</v>
      </c>
      <c r="E139">
        <v>50</v>
      </c>
      <c r="F139">
        <v>14.996707916</v>
      </c>
      <c r="G139">
        <v>1349.1030272999999</v>
      </c>
      <c r="H139">
        <v>1344.9074707</v>
      </c>
      <c r="I139">
        <v>1313.6137695</v>
      </c>
      <c r="J139">
        <v>1305.7166748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5.5433240000000001</v>
      </c>
      <c r="B140" s="1">
        <f>DATE(2010,5,6) + TIME(13,2,23)</f>
        <v>40304.543321759258</v>
      </c>
      <c r="C140">
        <v>80</v>
      </c>
      <c r="D140">
        <v>79.924140929999993</v>
      </c>
      <c r="E140">
        <v>50</v>
      </c>
      <c r="F140">
        <v>14.996716499</v>
      </c>
      <c r="G140">
        <v>1349.0899658000001</v>
      </c>
      <c r="H140">
        <v>1344.8946533000001</v>
      </c>
      <c r="I140">
        <v>1313.6140137</v>
      </c>
      <c r="J140">
        <v>1305.7169189000001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5.6025609999999997</v>
      </c>
      <c r="B141" s="1">
        <f>DATE(2010,5,6) + TIME(14,27,41)</f>
        <v>40304.60255787037</v>
      </c>
      <c r="C141">
        <v>80</v>
      </c>
      <c r="D141">
        <v>79.924674988000007</v>
      </c>
      <c r="E141">
        <v>50</v>
      </c>
      <c r="F141">
        <v>14.996724129</v>
      </c>
      <c r="G141">
        <v>1349.0771483999999</v>
      </c>
      <c r="H141">
        <v>1344.8820800999999</v>
      </c>
      <c r="I141">
        <v>1313.6142577999999</v>
      </c>
      <c r="J141">
        <v>1305.7171631000001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5.661797</v>
      </c>
      <c r="B142" s="1">
        <f>DATE(2010,5,6) + TIME(15,52,59)</f>
        <v>40304.661793981482</v>
      </c>
      <c r="C142">
        <v>80</v>
      </c>
      <c r="D142">
        <v>79.925163268999995</v>
      </c>
      <c r="E142">
        <v>50</v>
      </c>
      <c r="F142">
        <v>14.996732712</v>
      </c>
      <c r="G142">
        <v>1349.0645752</v>
      </c>
      <c r="H142">
        <v>1344.8696289</v>
      </c>
      <c r="I142">
        <v>1313.6145019999999</v>
      </c>
      <c r="J142">
        <v>1305.7172852000001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5.7802699999999998</v>
      </c>
      <c r="B143" s="1">
        <f>DATE(2010,5,6) + TIME(18,43,35)</f>
        <v>40304.780266203707</v>
      </c>
      <c r="C143">
        <v>80</v>
      </c>
      <c r="D143">
        <v>79.926033020000006</v>
      </c>
      <c r="E143">
        <v>50</v>
      </c>
      <c r="F143">
        <v>14.996747017000001</v>
      </c>
      <c r="G143">
        <v>1349.0506591999999</v>
      </c>
      <c r="H143">
        <v>1344.8564452999999</v>
      </c>
      <c r="I143">
        <v>1313.6148682</v>
      </c>
      <c r="J143">
        <v>1305.7176514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5.8987660000000002</v>
      </c>
      <c r="B144" s="1">
        <f>DATE(2010,5,6) + TIME(21,34,13)</f>
        <v>40304.898761574077</v>
      </c>
      <c r="C144">
        <v>80</v>
      </c>
      <c r="D144">
        <v>79.926742554</v>
      </c>
      <c r="E144">
        <v>50</v>
      </c>
      <c r="F144">
        <v>14.996761321999999</v>
      </c>
      <c r="G144">
        <v>1349.0269774999999</v>
      </c>
      <c r="H144">
        <v>1344.8330077999999</v>
      </c>
      <c r="I144">
        <v>1313.6152344</v>
      </c>
      <c r="J144">
        <v>1305.7180175999999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6.0176990000000004</v>
      </c>
      <c r="B145" s="1">
        <f>DATE(2010,5,7) + TIME(0,25,29)</f>
        <v>40305.017696759256</v>
      </c>
      <c r="C145">
        <v>80</v>
      </c>
      <c r="D145">
        <v>79.927360535000005</v>
      </c>
      <c r="E145">
        <v>50</v>
      </c>
      <c r="F145">
        <v>14.996775627</v>
      </c>
      <c r="G145">
        <v>1349.0029297000001</v>
      </c>
      <c r="H145">
        <v>1344.8094481999999</v>
      </c>
      <c r="I145">
        <v>1313.6156006000001</v>
      </c>
      <c r="J145">
        <v>1305.7183838000001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6.1372850000000003</v>
      </c>
      <c r="B146" s="1">
        <f>DATE(2010,5,7) + TIME(3,17,41)</f>
        <v>40305.137280092589</v>
      </c>
      <c r="C146">
        <v>80</v>
      </c>
      <c r="D146">
        <v>79.927894592000001</v>
      </c>
      <c r="E146">
        <v>50</v>
      </c>
      <c r="F146">
        <v>14.996789932</v>
      </c>
      <c r="G146">
        <v>1348.979126</v>
      </c>
      <c r="H146">
        <v>1344.7860106999999</v>
      </c>
      <c r="I146">
        <v>1313.6159668</v>
      </c>
      <c r="J146">
        <v>1305.7186279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6.2577119999999997</v>
      </c>
      <c r="B147" s="1">
        <f>DATE(2010,5,7) + TIME(6,11,6)</f>
        <v>40305.257708333331</v>
      </c>
      <c r="C147">
        <v>80</v>
      </c>
      <c r="D147">
        <v>79.928359985</v>
      </c>
      <c r="E147">
        <v>50</v>
      </c>
      <c r="F147">
        <v>14.996803284</v>
      </c>
      <c r="G147">
        <v>1348.9554443</v>
      </c>
      <c r="H147">
        <v>1344.7630615</v>
      </c>
      <c r="I147">
        <v>1313.6164550999999</v>
      </c>
      <c r="J147">
        <v>1305.7189940999999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6.3791640000000003</v>
      </c>
      <c r="B148" s="1">
        <f>DATE(2010,5,7) + TIME(9,5,59)</f>
        <v>40305.379155092596</v>
      </c>
      <c r="C148">
        <v>80</v>
      </c>
      <c r="D148">
        <v>79.928771972999996</v>
      </c>
      <c r="E148">
        <v>50</v>
      </c>
      <c r="F148">
        <v>14.996817589000001</v>
      </c>
      <c r="G148">
        <v>1348.9318848</v>
      </c>
      <c r="H148">
        <v>1344.7402344</v>
      </c>
      <c r="I148">
        <v>1313.6168213000001</v>
      </c>
      <c r="J148">
        <v>1305.7193603999999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6.5018269999999996</v>
      </c>
      <c r="B149" s="1">
        <f>DATE(2010,5,7) + TIME(12,2,37)</f>
        <v>40305.501817129632</v>
      </c>
      <c r="C149">
        <v>80</v>
      </c>
      <c r="D149">
        <v>79.929138183999996</v>
      </c>
      <c r="E149">
        <v>50</v>
      </c>
      <c r="F149">
        <v>14.996830940000001</v>
      </c>
      <c r="G149">
        <v>1348.9085693</v>
      </c>
      <c r="H149">
        <v>1344.7176514</v>
      </c>
      <c r="I149">
        <v>1313.6171875</v>
      </c>
      <c r="J149">
        <v>1305.7197266000001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6.6258929999999996</v>
      </c>
      <c r="B150" s="1">
        <f>DATE(2010,5,7) + TIME(15,1,17)</f>
        <v>40305.625891203701</v>
      </c>
      <c r="C150">
        <v>80</v>
      </c>
      <c r="D150">
        <v>79.929458617999998</v>
      </c>
      <c r="E150">
        <v>50</v>
      </c>
      <c r="F150">
        <v>14.996845244999999</v>
      </c>
      <c r="G150">
        <v>1348.8852539</v>
      </c>
      <c r="H150">
        <v>1344.6953125</v>
      </c>
      <c r="I150">
        <v>1313.6175536999999</v>
      </c>
      <c r="J150">
        <v>1305.7199707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6.751557</v>
      </c>
      <c r="B151" s="1">
        <f>DATE(2010,5,7) + TIME(18,2,14)</f>
        <v>40305.751550925925</v>
      </c>
      <c r="C151">
        <v>80</v>
      </c>
      <c r="D151">
        <v>79.929740906000006</v>
      </c>
      <c r="E151">
        <v>50</v>
      </c>
      <c r="F151">
        <v>14.996858596999999</v>
      </c>
      <c r="G151">
        <v>1348.8620605000001</v>
      </c>
      <c r="H151">
        <v>1344.6730957</v>
      </c>
      <c r="I151">
        <v>1313.6180420000001</v>
      </c>
      <c r="J151">
        <v>1305.7203368999999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6.8790250000000004</v>
      </c>
      <c r="B152" s="1">
        <f>DATE(2010,5,7) + TIME(21,5,47)</f>
        <v>40305.879016203704</v>
      </c>
      <c r="C152">
        <v>80</v>
      </c>
      <c r="D152">
        <v>79.930000304999993</v>
      </c>
      <c r="E152">
        <v>50</v>
      </c>
      <c r="F152">
        <v>14.996871948000001</v>
      </c>
      <c r="G152">
        <v>1348.8389893000001</v>
      </c>
      <c r="H152">
        <v>1344.651001</v>
      </c>
      <c r="I152">
        <v>1313.6184082</v>
      </c>
      <c r="J152">
        <v>1305.7207031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7.0085110000000004</v>
      </c>
      <c r="B153" s="1">
        <f>DATE(2010,5,8) + TIME(0,12,15)</f>
        <v>40306.008506944447</v>
      </c>
      <c r="C153">
        <v>80</v>
      </c>
      <c r="D153">
        <v>79.930229186999995</v>
      </c>
      <c r="E153">
        <v>50</v>
      </c>
      <c r="F153">
        <v>14.996886253</v>
      </c>
      <c r="G153">
        <v>1348.815918</v>
      </c>
      <c r="H153">
        <v>1344.6290283000001</v>
      </c>
      <c r="I153">
        <v>1313.6187743999999</v>
      </c>
      <c r="J153">
        <v>1305.7210693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7.1402479999999997</v>
      </c>
      <c r="B154" s="1">
        <f>DATE(2010,5,8) + TIME(3,21,57)</f>
        <v>40306.140243055554</v>
      </c>
      <c r="C154">
        <v>80</v>
      </c>
      <c r="D154">
        <v>79.930435181000007</v>
      </c>
      <c r="E154">
        <v>50</v>
      </c>
      <c r="F154">
        <v>14.996899604999999</v>
      </c>
      <c r="G154">
        <v>1348.7928466999999</v>
      </c>
      <c r="H154">
        <v>1344.6070557</v>
      </c>
      <c r="I154">
        <v>1313.6192627</v>
      </c>
      <c r="J154">
        <v>1305.7214355000001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7.2745199999999999</v>
      </c>
      <c r="B155" s="1">
        <f>DATE(2010,5,8) + TIME(6,35,18)</f>
        <v>40306.274513888886</v>
      </c>
      <c r="C155">
        <v>80</v>
      </c>
      <c r="D155">
        <v>79.930618285999998</v>
      </c>
      <c r="E155">
        <v>50</v>
      </c>
      <c r="F155">
        <v>14.996912955999999</v>
      </c>
      <c r="G155">
        <v>1348.7697754000001</v>
      </c>
      <c r="H155">
        <v>1344.5852050999999</v>
      </c>
      <c r="I155">
        <v>1313.6196289</v>
      </c>
      <c r="J155">
        <v>1305.7218018000001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7.4115409999999997</v>
      </c>
      <c r="B156" s="1">
        <f>DATE(2010,5,8) + TIME(9,52,37)</f>
        <v>40306.411539351851</v>
      </c>
      <c r="C156">
        <v>80</v>
      </c>
      <c r="D156">
        <v>79.930778502999999</v>
      </c>
      <c r="E156">
        <v>50</v>
      </c>
      <c r="F156">
        <v>14.996927261</v>
      </c>
      <c r="G156">
        <v>1348.746582</v>
      </c>
      <c r="H156">
        <v>1344.5633545000001</v>
      </c>
      <c r="I156">
        <v>1313.6201172000001</v>
      </c>
      <c r="J156">
        <v>1305.722168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7.5515939999999997</v>
      </c>
      <c r="B157" s="1">
        <f>DATE(2010,5,8) + TIME(13,14,17)</f>
        <v>40306.551585648151</v>
      </c>
      <c r="C157">
        <v>80</v>
      </c>
      <c r="D157">
        <v>79.930931091000005</v>
      </c>
      <c r="E157">
        <v>50</v>
      </c>
      <c r="F157">
        <v>14.996940613</v>
      </c>
      <c r="G157">
        <v>1348.7233887</v>
      </c>
      <c r="H157">
        <v>1344.5413818</v>
      </c>
      <c r="I157">
        <v>1313.6204834</v>
      </c>
      <c r="J157">
        <v>1305.7225341999999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7.6949829999999997</v>
      </c>
      <c r="B158" s="1">
        <f>DATE(2010,5,8) + TIME(16,40,46)</f>
        <v>40306.694976851853</v>
      </c>
      <c r="C158">
        <v>80</v>
      </c>
      <c r="D158">
        <v>79.931068420000003</v>
      </c>
      <c r="E158">
        <v>50</v>
      </c>
      <c r="F158">
        <v>14.996954918</v>
      </c>
      <c r="G158">
        <v>1348.6999512</v>
      </c>
      <c r="H158">
        <v>1344.5194091999999</v>
      </c>
      <c r="I158">
        <v>1313.6209716999999</v>
      </c>
      <c r="J158">
        <v>1305.7229004000001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7.8420430000000003</v>
      </c>
      <c r="B159" s="1">
        <f>DATE(2010,5,8) + TIME(20,12,32)</f>
        <v>40306.842037037037</v>
      </c>
      <c r="C159">
        <v>80</v>
      </c>
      <c r="D159">
        <v>79.931190490999995</v>
      </c>
      <c r="E159">
        <v>50</v>
      </c>
      <c r="F159">
        <v>14.996969223000001</v>
      </c>
      <c r="G159">
        <v>1348.6763916</v>
      </c>
      <c r="H159">
        <v>1344.4974365</v>
      </c>
      <c r="I159">
        <v>1313.6213379000001</v>
      </c>
      <c r="J159">
        <v>1305.7232666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7.9927849999999996</v>
      </c>
      <c r="B160" s="1">
        <f>DATE(2010,5,8) + TIME(23,49,36)</f>
        <v>40306.992777777778</v>
      </c>
      <c r="C160">
        <v>80</v>
      </c>
      <c r="D160">
        <v>79.931297302000004</v>
      </c>
      <c r="E160">
        <v>50</v>
      </c>
      <c r="F160">
        <v>14.996982574</v>
      </c>
      <c r="G160">
        <v>1348.6525879000001</v>
      </c>
      <c r="H160">
        <v>1344.4752197</v>
      </c>
      <c r="I160">
        <v>1313.6218262</v>
      </c>
      <c r="J160">
        <v>1305.7236327999999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8.1466419999999999</v>
      </c>
      <c r="B161" s="1">
        <f>DATE(2010,5,9) + TIME(3,31,9)</f>
        <v>40307.146631944444</v>
      </c>
      <c r="C161">
        <v>80</v>
      </c>
      <c r="D161">
        <v>79.931396484000004</v>
      </c>
      <c r="E161">
        <v>50</v>
      </c>
      <c r="F161">
        <v>14.996996879999999</v>
      </c>
      <c r="G161">
        <v>1348.6286620999999</v>
      </c>
      <c r="H161">
        <v>1344.4528809000001</v>
      </c>
      <c r="I161">
        <v>1313.6223144999999</v>
      </c>
      <c r="J161">
        <v>1305.723999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8.3032199999999996</v>
      </c>
      <c r="B162" s="1">
        <f>DATE(2010,5,9) + TIME(7,16,38)</f>
        <v>40307.303217592591</v>
      </c>
      <c r="C162">
        <v>80</v>
      </c>
      <c r="D162">
        <v>79.931480407999999</v>
      </c>
      <c r="E162">
        <v>50</v>
      </c>
      <c r="F162">
        <v>14.997011185</v>
      </c>
      <c r="G162">
        <v>1348.6046143000001</v>
      </c>
      <c r="H162">
        <v>1344.4305420000001</v>
      </c>
      <c r="I162">
        <v>1313.6228027</v>
      </c>
      <c r="J162">
        <v>1305.7243652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8.3822069999999993</v>
      </c>
      <c r="B163" s="1">
        <f>DATE(2010,5,9) + TIME(9,10,22)</f>
        <v>40307.382199074076</v>
      </c>
      <c r="C163">
        <v>80</v>
      </c>
      <c r="D163">
        <v>79.931495666999993</v>
      </c>
      <c r="E163">
        <v>50</v>
      </c>
      <c r="F163">
        <v>14.997018814</v>
      </c>
      <c r="G163">
        <v>1348.5825195</v>
      </c>
      <c r="H163">
        <v>1344.4097899999999</v>
      </c>
      <c r="I163">
        <v>1313.6230469</v>
      </c>
      <c r="J163">
        <v>1305.7246094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8.4611940000000008</v>
      </c>
      <c r="B164" s="1">
        <f>DATE(2010,5,9) + TIME(11,4,7)</f>
        <v>40307.461192129631</v>
      </c>
      <c r="C164">
        <v>80</v>
      </c>
      <c r="D164">
        <v>79.931533813000001</v>
      </c>
      <c r="E164">
        <v>50</v>
      </c>
      <c r="F164">
        <v>14.997026442999999</v>
      </c>
      <c r="G164">
        <v>1348.5692139</v>
      </c>
      <c r="H164">
        <v>1344.3975829999999</v>
      </c>
      <c r="I164">
        <v>1313.6232910000001</v>
      </c>
      <c r="J164">
        <v>1305.7248535000001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8.5401799999999994</v>
      </c>
      <c r="B165" s="1">
        <f>DATE(2010,5,9) + TIME(12,57,51)</f>
        <v>40307.540173611109</v>
      </c>
      <c r="C165">
        <v>80</v>
      </c>
      <c r="D165">
        <v>79.931571959999999</v>
      </c>
      <c r="E165">
        <v>50</v>
      </c>
      <c r="F165">
        <v>14.997034073</v>
      </c>
      <c r="G165">
        <v>1348.5570068</v>
      </c>
      <c r="H165">
        <v>1344.3863524999999</v>
      </c>
      <c r="I165">
        <v>1313.6236572</v>
      </c>
      <c r="J165">
        <v>1305.7250977000001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8.6191669999999991</v>
      </c>
      <c r="B166" s="1">
        <f>DATE(2010,5,9) + TIME(14,51,36)</f>
        <v>40307.619166666664</v>
      </c>
      <c r="C166">
        <v>80</v>
      </c>
      <c r="D166">
        <v>79.931602478000002</v>
      </c>
      <c r="E166">
        <v>50</v>
      </c>
      <c r="F166">
        <v>14.997041702000001</v>
      </c>
      <c r="G166">
        <v>1348.5450439000001</v>
      </c>
      <c r="H166">
        <v>1344.3753661999999</v>
      </c>
      <c r="I166">
        <v>1313.6239014</v>
      </c>
      <c r="J166">
        <v>1305.7253418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8.6981540000000006</v>
      </c>
      <c r="B167" s="1">
        <f>DATE(2010,5,9) + TIME(16,45,20)</f>
        <v>40307.698148148149</v>
      </c>
      <c r="C167">
        <v>80</v>
      </c>
      <c r="D167">
        <v>79.931632996000005</v>
      </c>
      <c r="E167">
        <v>50</v>
      </c>
      <c r="F167">
        <v>14.997048378000001</v>
      </c>
      <c r="G167">
        <v>1348.5332031</v>
      </c>
      <c r="H167">
        <v>1344.3645019999999</v>
      </c>
      <c r="I167">
        <v>1313.6241454999999</v>
      </c>
      <c r="J167">
        <v>1305.7255858999999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8.7771410000000003</v>
      </c>
      <c r="B168" s="1">
        <f>DATE(2010,5,9) + TIME(18,39,4)</f>
        <v>40307.777129629627</v>
      </c>
      <c r="C168">
        <v>80</v>
      </c>
      <c r="D168">
        <v>79.931663513000004</v>
      </c>
      <c r="E168">
        <v>50</v>
      </c>
      <c r="F168">
        <v>14.997056006999999</v>
      </c>
      <c r="G168">
        <v>1348.5216064000001</v>
      </c>
      <c r="H168">
        <v>1344.3537598</v>
      </c>
      <c r="I168">
        <v>1313.6243896000001</v>
      </c>
      <c r="J168">
        <v>1305.7258300999999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8.9351140000000004</v>
      </c>
      <c r="B169" s="1">
        <f>DATE(2010,5,9) + TIME(22,26,33)</f>
        <v>40307.935104166667</v>
      </c>
      <c r="C169">
        <v>80</v>
      </c>
      <c r="D169">
        <v>79.931739807</v>
      </c>
      <c r="E169">
        <v>50</v>
      </c>
      <c r="F169">
        <v>14.997068405</v>
      </c>
      <c r="G169">
        <v>1348.5089111</v>
      </c>
      <c r="H169">
        <v>1344.3422852000001</v>
      </c>
      <c r="I169">
        <v>1313.6248779</v>
      </c>
      <c r="J169">
        <v>1305.7261963000001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9.0931580000000007</v>
      </c>
      <c r="B170" s="1">
        <f>DATE(2010,5,10) + TIME(2,14,8)</f>
        <v>40308.093148148146</v>
      </c>
      <c r="C170">
        <v>80</v>
      </c>
      <c r="D170">
        <v>79.931785583000007</v>
      </c>
      <c r="E170">
        <v>50</v>
      </c>
      <c r="F170">
        <v>14.997081757</v>
      </c>
      <c r="G170">
        <v>1348.4870605000001</v>
      </c>
      <c r="H170">
        <v>1344.3221435999999</v>
      </c>
      <c r="I170">
        <v>1313.6252440999999</v>
      </c>
      <c r="J170">
        <v>1305.7265625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9.2519380000000009</v>
      </c>
      <c r="B171" s="1">
        <f>DATE(2010,5,10) + TIME(6,2,47)</f>
        <v>40308.251932870371</v>
      </c>
      <c r="C171">
        <v>80</v>
      </c>
      <c r="D171">
        <v>79.931823730000005</v>
      </c>
      <c r="E171">
        <v>50</v>
      </c>
      <c r="F171">
        <v>14.997094153999999</v>
      </c>
      <c r="G171">
        <v>1348.4648437999999</v>
      </c>
      <c r="H171">
        <v>1344.3018798999999</v>
      </c>
      <c r="I171">
        <v>1313.6257324000001</v>
      </c>
      <c r="J171">
        <v>1305.7269286999999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9.4117289999999993</v>
      </c>
      <c r="B172" s="1">
        <f>DATE(2010,5,10) + TIME(9,52,53)</f>
        <v>40308.411724537036</v>
      </c>
      <c r="C172">
        <v>80</v>
      </c>
      <c r="D172">
        <v>79.931854247999993</v>
      </c>
      <c r="E172">
        <v>50</v>
      </c>
      <c r="F172">
        <v>14.997107506000001</v>
      </c>
      <c r="G172">
        <v>1348.442749</v>
      </c>
      <c r="H172">
        <v>1344.2817382999999</v>
      </c>
      <c r="I172">
        <v>1313.6260986</v>
      </c>
      <c r="J172">
        <v>1305.7272949000001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9.5727890000000002</v>
      </c>
      <c r="B173" s="1">
        <f>DATE(2010,5,10) + TIME(13,44,48)</f>
        <v>40308.572777777779</v>
      </c>
      <c r="C173">
        <v>80</v>
      </c>
      <c r="D173">
        <v>79.931877135999997</v>
      </c>
      <c r="E173">
        <v>50</v>
      </c>
      <c r="F173">
        <v>14.997119904</v>
      </c>
      <c r="G173">
        <v>1348.4208983999999</v>
      </c>
      <c r="H173">
        <v>1344.2618408000001</v>
      </c>
      <c r="I173">
        <v>1313.6265868999999</v>
      </c>
      <c r="J173">
        <v>1305.7276611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9.735379</v>
      </c>
      <c r="B174" s="1">
        <f>DATE(2010,5,10) + TIME(17,38,56)</f>
        <v>40308.73537037037</v>
      </c>
      <c r="C174">
        <v>80</v>
      </c>
      <c r="D174">
        <v>79.931900024000001</v>
      </c>
      <c r="E174">
        <v>50</v>
      </c>
      <c r="F174">
        <v>14.997132301000001</v>
      </c>
      <c r="G174">
        <v>1348.3991699000001</v>
      </c>
      <c r="H174">
        <v>1344.2421875</v>
      </c>
      <c r="I174">
        <v>1313.6270752</v>
      </c>
      <c r="J174">
        <v>1305.7281493999999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9.8997670000000006</v>
      </c>
      <c r="B175" s="1">
        <f>DATE(2010,5,10) + TIME(21,35,39)</f>
        <v>40308.899756944447</v>
      </c>
      <c r="C175">
        <v>80</v>
      </c>
      <c r="D175">
        <v>79.931922912999994</v>
      </c>
      <c r="E175">
        <v>50</v>
      </c>
      <c r="F175">
        <v>14.997145653</v>
      </c>
      <c r="G175">
        <v>1348.3775635</v>
      </c>
      <c r="H175">
        <v>1344.2225341999999</v>
      </c>
      <c r="I175">
        <v>1313.6275635</v>
      </c>
      <c r="J175">
        <v>1305.7285156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10.066228000000001</v>
      </c>
      <c r="B176" s="1">
        <f>DATE(2010,5,11) + TIME(1,35,22)</f>
        <v>40309.06622685185</v>
      </c>
      <c r="C176">
        <v>80</v>
      </c>
      <c r="D176">
        <v>79.931938170999999</v>
      </c>
      <c r="E176">
        <v>50</v>
      </c>
      <c r="F176">
        <v>14.997158051</v>
      </c>
      <c r="G176">
        <v>1348.355957</v>
      </c>
      <c r="H176">
        <v>1344.203125</v>
      </c>
      <c r="I176">
        <v>1313.6280518000001</v>
      </c>
      <c r="J176">
        <v>1305.7290039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10.235048000000001</v>
      </c>
      <c r="B177" s="1">
        <f>DATE(2010,5,11) + TIME(5,38,28)</f>
        <v>40309.235046296293</v>
      </c>
      <c r="C177">
        <v>80</v>
      </c>
      <c r="D177">
        <v>79.931953429999993</v>
      </c>
      <c r="E177">
        <v>50</v>
      </c>
      <c r="F177">
        <v>14.997170448</v>
      </c>
      <c r="G177">
        <v>1348.3344727000001</v>
      </c>
      <c r="H177">
        <v>1344.1838379000001</v>
      </c>
      <c r="I177">
        <v>1313.6285399999999</v>
      </c>
      <c r="J177">
        <v>1305.7293701000001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10.406529000000001</v>
      </c>
      <c r="B178" s="1">
        <f>DATE(2010,5,11) + TIME(9,45,24)</f>
        <v>40309.406527777777</v>
      </c>
      <c r="C178">
        <v>80</v>
      </c>
      <c r="D178">
        <v>79.931961060000006</v>
      </c>
      <c r="E178">
        <v>50</v>
      </c>
      <c r="F178">
        <v>14.997182845999999</v>
      </c>
      <c r="G178">
        <v>1348.3131103999999</v>
      </c>
      <c r="H178">
        <v>1344.1645507999999</v>
      </c>
      <c r="I178">
        <v>1313.6291504000001</v>
      </c>
      <c r="J178">
        <v>1305.7298584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10.581046000000001</v>
      </c>
      <c r="B179" s="1">
        <f>DATE(2010,5,11) + TIME(13,56,42)</f>
        <v>40309.581041666665</v>
      </c>
      <c r="C179">
        <v>80</v>
      </c>
      <c r="D179">
        <v>79.931968689000001</v>
      </c>
      <c r="E179">
        <v>50</v>
      </c>
      <c r="F179">
        <v>14.997196197999999</v>
      </c>
      <c r="G179">
        <v>1348.291626</v>
      </c>
      <c r="H179">
        <v>1344.1452637</v>
      </c>
      <c r="I179">
        <v>1313.6296387</v>
      </c>
      <c r="J179">
        <v>1305.7302245999999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10.758903999999999</v>
      </c>
      <c r="B180" s="1">
        <f>DATE(2010,5,11) + TIME(18,12,49)</f>
        <v>40309.758900462963</v>
      </c>
      <c r="C180">
        <v>80</v>
      </c>
      <c r="D180">
        <v>79.931976317999997</v>
      </c>
      <c r="E180">
        <v>50</v>
      </c>
      <c r="F180">
        <v>14.997208595</v>
      </c>
      <c r="G180">
        <v>1348.2701416</v>
      </c>
      <c r="H180">
        <v>1344.1260986</v>
      </c>
      <c r="I180">
        <v>1313.6301269999999</v>
      </c>
      <c r="J180">
        <v>1305.7307129000001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10.940455</v>
      </c>
      <c r="B181" s="1">
        <f>DATE(2010,5,11) + TIME(22,34,15)</f>
        <v>40309.940451388888</v>
      </c>
      <c r="C181">
        <v>80</v>
      </c>
      <c r="D181">
        <v>79.931976317999997</v>
      </c>
      <c r="E181">
        <v>50</v>
      </c>
      <c r="F181">
        <v>14.997220992999999</v>
      </c>
      <c r="G181">
        <v>1348.2485352000001</v>
      </c>
      <c r="H181">
        <v>1344.1068115</v>
      </c>
      <c r="I181">
        <v>1313.6307373</v>
      </c>
      <c r="J181">
        <v>1305.7312012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11.126097</v>
      </c>
      <c r="B182" s="1">
        <f>DATE(2010,5,12) + TIME(3,1,34)</f>
        <v>40310.126087962963</v>
      </c>
      <c r="C182">
        <v>80</v>
      </c>
      <c r="D182">
        <v>79.931976317999997</v>
      </c>
      <c r="E182">
        <v>50</v>
      </c>
      <c r="F182">
        <v>14.997234344000001</v>
      </c>
      <c r="G182">
        <v>1348.2268065999999</v>
      </c>
      <c r="H182">
        <v>1344.0875243999999</v>
      </c>
      <c r="I182">
        <v>1313.6312256000001</v>
      </c>
      <c r="J182">
        <v>1305.7316894999999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11.316128000000001</v>
      </c>
      <c r="B183" s="1">
        <f>DATE(2010,5,12) + TIME(7,35,13)</f>
        <v>40310.316122685188</v>
      </c>
      <c r="C183">
        <v>80</v>
      </c>
      <c r="D183">
        <v>79.931976317999997</v>
      </c>
      <c r="E183">
        <v>50</v>
      </c>
      <c r="F183">
        <v>14.997247696000001</v>
      </c>
      <c r="G183">
        <v>1348.2049560999999</v>
      </c>
      <c r="H183">
        <v>1344.0681152</v>
      </c>
      <c r="I183">
        <v>1313.6318358999999</v>
      </c>
      <c r="J183">
        <v>1305.7320557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11.509726000000001</v>
      </c>
      <c r="B184" s="1">
        <f>DATE(2010,5,12) + TIME(12,14,0)</f>
        <v>40310.509722222225</v>
      </c>
      <c r="C184">
        <v>80</v>
      </c>
      <c r="D184">
        <v>79.931976317999997</v>
      </c>
      <c r="E184">
        <v>50</v>
      </c>
      <c r="F184">
        <v>14.997260094</v>
      </c>
      <c r="G184">
        <v>1348.1828613</v>
      </c>
      <c r="H184">
        <v>1344.0487060999999</v>
      </c>
      <c r="I184">
        <v>1313.6323242000001</v>
      </c>
      <c r="J184">
        <v>1305.7325439000001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11.707262</v>
      </c>
      <c r="B185" s="1">
        <f>DATE(2010,5,12) + TIME(16,58,27)</f>
        <v>40310.707256944443</v>
      </c>
      <c r="C185">
        <v>80</v>
      </c>
      <c r="D185">
        <v>79.931968689000001</v>
      </c>
      <c r="E185">
        <v>50</v>
      </c>
      <c r="F185">
        <v>14.997273444999999</v>
      </c>
      <c r="G185">
        <v>1348.1607666</v>
      </c>
      <c r="H185">
        <v>1344.0291748</v>
      </c>
      <c r="I185">
        <v>1313.6329346</v>
      </c>
      <c r="J185">
        <v>1305.7330322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11.806746</v>
      </c>
      <c r="B186" s="1">
        <f>DATE(2010,5,12) + TIME(19,21,42)</f>
        <v>40310.80673611111</v>
      </c>
      <c r="C186">
        <v>80</v>
      </c>
      <c r="D186">
        <v>79.931938170999999</v>
      </c>
      <c r="E186">
        <v>50</v>
      </c>
      <c r="F186">
        <v>14.997280120999999</v>
      </c>
      <c r="G186">
        <v>1348.1405029</v>
      </c>
      <c r="H186">
        <v>1344.0112305</v>
      </c>
      <c r="I186">
        <v>1313.6333007999999</v>
      </c>
      <c r="J186">
        <v>1305.7333983999999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11.906231</v>
      </c>
      <c r="B187" s="1">
        <f>DATE(2010,5,12) + TIME(21,44,58)</f>
        <v>40310.906226851854</v>
      </c>
      <c r="C187">
        <v>80</v>
      </c>
      <c r="D187">
        <v>79.931930542000003</v>
      </c>
      <c r="E187">
        <v>50</v>
      </c>
      <c r="F187">
        <v>14.99728775</v>
      </c>
      <c r="G187">
        <v>1348.1281738</v>
      </c>
      <c r="H187">
        <v>1344.0003661999999</v>
      </c>
      <c r="I187">
        <v>1313.6336670000001</v>
      </c>
      <c r="J187">
        <v>1305.7336425999999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12.005715</v>
      </c>
      <c r="B188" s="1">
        <f>DATE(2010,5,13) + TIME(0,8,13)</f>
        <v>40311.005706018521</v>
      </c>
      <c r="C188">
        <v>80</v>
      </c>
      <c r="D188">
        <v>79.931930542000003</v>
      </c>
      <c r="E188">
        <v>50</v>
      </c>
      <c r="F188">
        <v>14.997294426</v>
      </c>
      <c r="G188">
        <v>1348.1169434000001</v>
      </c>
      <c r="H188">
        <v>1343.9904785000001</v>
      </c>
      <c r="I188">
        <v>1313.6340332</v>
      </c>
      <c r="J188">
        <v>1305.7340088000001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12.105199000000001</v>
      </c>
      <c r="B189" s="1">
        <f>DATE(2010,5,13) + TIME(2,31,29)</f>
        <v>40311.105196759258</v>
      </c>
      <c r="C189">
        <v>80</v>
      </c>
      <c r="D189">
        <v>79.931922912999994</v>
      </c>
      <c r="E189">
        <v>50</v>
      </c>
      <c r="F189">
        <v>14.997301102</v>
      </c>
      <c r="G189">
        <v>1348.1058350000001</v>
      </c>
      <c r="H189">
        <v>1343.9807129000001</v>
      </c>
      <c r="I189">
        <v>1313.6343993999999</v>
      </c>
      <c r="J189">
        <v>1305.7342529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12.204684</v>
      </c>
      <c r="B190" s="1">
        <f>DATE(2010,5,13) + TIME(4,54,44)</f>
        <v>40311.204675925925</v>
      </c>
      <c r="C190">
        <v>80</v>
      </c>
      <c r="D190">
        <v>79.931922912999994</v>
      </c>
      <c r="E190">
        <v>50</v>
      </c>
      <c r="F190">
        <v>14.997308731</v>
      </c>
      <c r="G190">
        <v>1348.0949707</v>
      </c>
      <c r="H190">
        <v>1343.9711914</v>
      </c>
      <c r="I190">
        <v>1313.6346435999999</v>
      </c>
      <c r="J190">
        <v>1305.7346190999999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12.304168000000001</v>
      </c>
      <c r="B191" s="1">
        <f>DATE(2010,5,13) + TIME(7,18,0)</f>
        <v>40311.304166666669</v>
      </c>
      <c r="C191">
        <v>80</v>
      </c>
      <c r="D191">
        <v>79.931915282999995</v>
      </c>
      <c r="E191">
        <v>50</v>
      </c>
      <c r="F191">
        <v>14.997315407</v>
      </c>
      <c r="G191">
        <v>1348.0842285000001</v>
      </c>
      <c r="H191">
        <v>1343.9617920000001</v>
      </c>
      <c r="I191">
        <v>1313.6350098</v>
      </c>
      <c r="J191">
        <v>1305.7348632999999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12.403653</v>
      </c>
      <c r="B192" s="1">
        <f>DATE(2010,5,13) + TIME(9,41,15)</f>
        <v>40311.403645833336</v>
      </c>
      <c r="C192">
        <v>80</v>
      </c>
      <c r="D192">
        <v>79.931907654</v>
      </c>
      <c r="E192">
        <v>50</v>
      </c>
      <c r="F192">
        <v>14.997322083</v>
      </c>
      <c r="G192">
        <v>1348.0734863</v>
      </c>
      <c r="H192">
        <v>1343.9523925999999</v>
      </c>
      <c r="I192">
        <v>1313.635376</v>
      </c>
      <c r="J192">
        <v>1305.7351074000001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12.503137000000001</v>
      </c>
      <c r="B193" s="1">
        <f>DATE(2010,5,13) + TIME(12,4,31)</f>
        <v>40311.503136574072</v>
      </c>
      <c r="C193">
        <v>80</v>
      </c>
      <c r="D193">
        <v>79.931907654</v>
      </c>
      <c r="E193">
        <v>50</v>
      </c>
      <c r="F193">
        <v>14.997327804999999</v>
      </c>
      <c r="G193">
        <v>1348.0628661999999</v>
      </c>
      <c r="H193">
        <v>1343.9431152</v>
      </c>
      <c r="I193">
        <v>1313.6356201000001</v>
      </c>
      <c r="J193">
        <v>1305.7353516000001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12.602620999999999</v>
      </c>
      <c r="B194" s="1">
        <f>DATE(2010,5,13) + TIME(14,27,46)</f>
        <v>40311.60261574074</v>
      </c>
      <c r="C194">
        <v>80</v>
      </c>
      <c r="D194">
        <v>79.931900024000001</v>
      </c>
      <c r="E194">
        <v>50</v>
      </c>
      <c r="F194">
        <v>14.997334479999999</v>
      </c>
      <c r="G194">
        <v>1348.0523682</v>
      </c>
      <c r="H194">
        <v>1343.9339600000001</v>
      </c>
      <c r="I194">
        <v>1313.6359863</v>
      </c>
      <c r="J194">
        <v>1305.7355957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12.801589999999999</v>
      </c>
      <c r="B195" s="1">
        <f>DATE(2010,5,13) + TIME(19,14,17)</f>
        <v>40311.801585648151</v>
      </c>
      <c r="C195">
        <v>80</v>
      </c>
      <c r="D195">
        <v>79.931915282999995</v>
      </c>
      <c r="E195">
        <v>50</v>
      </c>
      <c r="F195">
        <v>14.997345923999999</v>
      </c>
      <c r="G195">
        <v>1348.0408935999999</v>
      </c>
      <c r="H195">
        <v>1343.9240723</v>
      </c>
      <c r="I195">
        <v>1313.6364745999999</v>
      </c>
      <c r="J195">
        <v>1305.7360839999999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13.000700999999999</v>
      </c>
      <c r="B196" s="1">
        <f>DATE(2010,5,14) + TIME(0,1,0)</f>
        <v>40312.000694444447</v>
      </c>
      <c r="C196">
        <v>80</v>
      </c>
      <c r="D196">
        <v>79.931900024000001</v>
      </c>
      <c r="E196">
        <v>50</v>
      </c>
      <c r="F196">
        <v>14.997357367999999</v>
      </c>
      <c r="G196">
        <v>1348.0211182</v>
      </c>
      <c r="H196">
        <v>1343.9068603999999</v>
      </c>
      <c r="I196">
        <v>1313.6369629000001</v>
      </c>
      <c r="J196">
        <v>1305.7364502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13.201101</v>
      </c>
      <c r="B197" s="1">
        <f>DATE(2010,5,14) + TIME(4,49,35)</f>
        <v>40312.201099537036</v>
      </c>
      <c r="C197">
        <v>80</v>
      </c>
      <c r="D197">
        <v>79.931884765999996</v>
      </c>
      <c r="E197">
        <v>50</v>
      </c>
      <c r="F197">
        <v>14.997368813</v>
      </c>
      <c r="G197">
        <v>1348.0010986</v>
      </c>
      <c r="H197">
        <v>1343.8894043</v>
      </c>
      <c r="I197">
        <v>1313.6374512</v>
      </c>
      <c r="J197">
        <v>1305.7369385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13.403149000000001</v>
      </c>
      <c r="B198" s="1">
        <f>DATE(2010,5,14) + TIME(9,40,32)</f>
        <v>40312.403148148151</v>
      </c>
      <c r="C198">
        <v>80</v>
      </c>
      <c r="D198">
        <v>79.931869507000002</v>
      </c>
      <c r="E198">
        <v>50</v>
      </c>
      <c r="F198">
        <v>14.997380257</v>
      </c>
      <c r="G198">
        <v>1347.980957</v>
      </c>
      <c r="H198">
        <v>1343.8720702999999</v>
      </c>
      <c r="I198">
        <v>1313.6380615</v>
      </c>
      <c r="J198">
        <v>1305.7374268000001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13.607193000000001</v>
      </c>
      <c r="B199" s="1">
        <f>DATE(2010,5,14) + TIME(14,34,21)</f>
        <v>40312.607187499998</v>
      </c>
      <c r="C199">
        <v>80</v>
      </c>
      <c r="D199">
        <v>79.931854247999993</v>
      </c>
      <c r="E199">
        <v>50</v>
      </c>
      <c r="F199">
        <v>14.997392654</v>
      </c>
      <c r="G199">
        <v>1347.9610596</v>
      </c>
      <c r="H199">
        <v>1343.8547363</v>
      </c>
      <c r="I199">
        <v>1313.6386719</v>
      </c>
      <c r="J199">
        <v>1305.7379149999999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13.813587</v>
      </c>
      <c r="B200" s="1">
        <f>DATE(2010,5,14) + TIME(19,31,33)</f>
        <v>40312.813576388886</v>
      </c>
      <c r="C200">
        <v>80</v>
      </c>
      <c r="D200">
        <v>79.931838988999999</v>
      </c>
      <c r="E200">
        <v>50</v>
      </c>
      <c r="F200">
        <v>14.997404099000001</v>
      </c>
      <c r="G200">
        <v>1347.9410399999999</v>
      </c>
      <c r="H200">
        <v>1343.8375243999999</v>
      </c>
      <c r="I200">
        <v>1313.6392822</v>
      </c>
      <c r="J200">
        <v>1305.7384033000001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14.022697000000001</v>
      </c>
      <c r="B201" s="1">
        <f>DATE(2010,5,15) + TIME(0,32,41)</f>
        <v>40313.022696759261</v>
      </c>
      <c r="C201">
        <v>80</v>
      </c>
      <c r="D201">
        <v>79.931823730000005</v>
      </c>
      <c r="E201">
        <v>50</v>
      </c>
      <c r="F201">
        <v>14.997415543000001</v>
      </c>
      <c r="G201">
        <v>1347.9211425999999</v>
      </c>
      <c r="H201">
        <v>1343.8204346</v>
      </c>
      <c r="I201">
        <v>1313.6398925999999</v>
      </c>
      <c r="J201">
        <v>1305.7390137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14.234907</v>
      </c>
      <c r="B202" s="1">
        <f>DATE(2010,5,15) + TIME(5,38,15)</f>
        <v>40313.234895833331</v>
      </c>
      <c r="C202">
        <v>80</v>
      </c>
      <c r="D202">
        <v>79.931808472</v>
      </c>
      <c r="E202">
        <v>50</v>
      </c>
      <c r="F202">
        <v>14.997426987000001</v>
      </c>
      <c r="G202">
        <v>1347.9012451000001</v>
      </c>
      <c r="H202">
        <v>1343.8033447</v>
      </c>
      <c r="I202">
        <v>1313.6405029</v>
      </c>
      <c r="J202">
        <v>1305.7395019999999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14.450652</v>
      </c>
      <c r="B203" s="1">
        <f>DATE(2010,5,15) + TIME(10,48,56)</f>
        <v>40313.450648148151</v>
      </c>
      <c r="C203">
        <v>80</v>
      </c>
      <c r="D203">
        <v>79.931785583000007</v>
      </c>
      <c r="E203">
        <v>50</v>
      </c>
      <c r="F203">
        <v>14.997439384</v>
      </c>
      <c r="G203">
        <v>1347.8813477000001</v>
      </c>
      <c r="H203">
        <v>1343.7862548999999</v>
      </c>
      <c r="I203">
        <v>1313.6412353999999</v>
      </c>
      <c r="J203">
        <v>1305.7401123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14.670394</v>
      </c>
      <c r="B204" s="1">
        <f>DATE(2010,5,15) + TIME(16,5,22)</f>
        <v>40313.670393518521</v>
      </c>
      <c r="C204">
        <v>80</v>
      </c>
      <c r="D204">
        <v>79.931770325000002</v>
      </c>
      <c r="E204">
        <v>50</v>
      </c>
      <c r="F204">
        <v>14.997450829</v>
      </c>
      <c r="G204">
        <v>1347.8614502</v>
      </c>
      <c r="H204">
        <v>1343.7692870999999</v>
      </c>
      <c r="I204">
        <v>1313.6418457</v>
      </c>
      <c r="J204">
        <v>1305.7406006000001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14.894542</v>
      </c>
      <c r="B205" s="1">
        <f>DATE(2010,5,15) + TIME(21,28,8)</f>
        <v>40313.894537037035</v>
      </c>
      <c r="C205">
        <v>80</v>
      </c>
      <c r="D205">
        <v>79.931747436999999</v>
      </c>
      <c r="E205">
        <v>50</v>
      </c>
      <c r="F205">
        <v>14.997462273</v>
      </c>
      <c r="G205">
        <v>1347.8414307</v>
      </c>
      <c r="H205">
        <v>1343.7520752</v>
      </c>
      <c r="I205">
        <v>1313.6425781</v>
      </c>
      <c r="J205">
        <v>1305.7412108999999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15.123593</v>
      </c>
      <c r="B206" s="1">
        <f>DATE(2010,5,16) + TIME(2,57,58)</f>
        <v>40314.12358796296</v>
      </c>
      <c r="C206">
        <v>80</v>
      </c>
      <c r="D206">
        <v>79.931732178000004</v>
      </c>
      <c r="E206">
        <v>50</v>
      </c>
      <c r="F206">
        <v>14.997474670000001</v>
      </c>
      <c r="G206">
        <v>1347.8211670000001</v>
      </c>
      <c r="H206">
        <v>1343.7349853999999</v>
      </c>
      <c r="I206">
        <v>1313.6431885</v>
      </c>
      <c r="J206">
        <v>1305.7418213000001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15.357969000000001</v>
      </c>
      <c r="B207" s="1">
        <f>DATE(2010,5,16) + TIME(8,35,28)</f>
        <v>40314.35796296296</v>
      </c>
      <c r="C207">
        <v>80</v>
      </c>
      <c r="D207">
        <v>79.931709290000001</v>
      </c>
      <c r="E207">
        <v>50</v>
      </c>
      <c r="F207">
        <v>14.997487068</v>
      </c>
      <c r="G207">
        <v>1347.8009033000001</v>
      </c>
      <c r="H207">
        <v>1343.7176514</v>
      </c>
      <c r="I207">
        <v>1313.6439209</v>
      </c>
      <c r="J207">
        <v>1305.7424315999999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15.595817</v>
      </c>
      <c r="B208" s="1">
        <f>DATE(2010,5,16) + TIME(14,17,58)</f>
        <v>40314.595810185187</v>
      </c>
      <c r="C208">
        <v>80</v>
      </c>
      <c r="D208">
        <v>79.931694031000006</v>
      </c>
      <c r="E208">
        <v>50</v>
      </c>
      <c r="F208">
        <v>14.997498512</v>
      </c>
      <c r="G208">
        <v>1347.7803954999999</v>
      </c>
      <c r="H208">
        <v>1343.7003173999999</v>
      </c>
      <c r="I208">
        <v>1313.6446533000001</v>
      </c>
      <c r="J208">
        <v>1305.7429199000001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15.715665</v>
      </c>
      <c r="B209" s="1">
        <f>DATE(2010,5,16) + TIME(17,10,33)</f>
        <v>40314.71565972222</v>
      </c>
      <c r="C209">
        <v>80</v>
      </c>
      <c r="D209">
        <v>79.931655883999994</v>
      </c>
      <c r="E209">
        <v>50</v>
      </c>
      <c r="F209">
        <v>14.997506142000001</v>
      </c>
      <c r="G209">
        <v>1347.7617187999999</v>
      </c>
      <c r="H209">
        <v>1343.6844481999999</v>
      </c>
      <c r="I209">
        <v>1313.6450195</v>
      </c>
      <c r="J209">
        <v>1305.7434082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15.835514</v>
      </c>
      <c r="B210" s="1">
        <f>DATE(2010,5,16) + TIME(20,3,8)</f>
        <v>40314.835509259261</v>
      </c>
      <c r="C210">
        <v>80</v>
      </c>
      <c r="D210">
        <v>79.931648253999995</v>
      </c>
      <c r="E210">
        <v>50</v>
      </c>
      <c r="F210">
        <v>14.997512817</v>
      </c>
      <c r="G210">
        <v>1347.7502440999999</v>
      </c>
      <c r="H210">
        <v>1343.6746826000001</v>
      </c>
      <c r="I210">
        <v>1313.6455077999999</v>
      </c>
      <c r="J210">
        <v>1305.7437743999999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15.955361999999999</v>
      </c>
      <c r="B211" s="1">
        <f>DATE(2010,5,16) + TIME(22,55,43)</f>
        <v>40314.955358796295</v>
      </c>
      <c r="C211">
        <v>80</v>
      </c>
      <c r="D211">
        <v>79.931632996000005</v>
      </c>
      <c r="E211">
        <v>50</v>
      </c>
      <c r="F211">
        <v>14.997518539</v>
      </c>
      <c r="G211">
        <v>1347.7397461</v>
      </c>
      <c r="H211">
        <v>1343.6658935999999</v>
      </c>
      <c r="I211">
        <v>1313.6459961</v>
      </c>
      <c r="J211">
        <v>1305.7441406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16.075209999999998</v>
      </c>
      <c r="B212" s="1">
        <f>DATE(2010,5,17) + TIME(1,48,18)</f>
        <v>40315.075208333335</v>
      </c>
      <c r="C212">
        <v>80</v>
      </c>
      <c r="D212">
        <v>79.931625366000006</v>
      </c>
      <c r="E212">
        <v>50</v>
      </c>
      <c r="F212">
        <v>14.997525215</v>
      </c>
      <c r="G212">
        <v>1347.7294922000001</v>
      </c>
      <c r="H212">
        <v>1343.6571045000001</v>
      </c>
      <c r="I212">
        <v>1313.6463623</v>
      </c>
      <c r="J212">
        <v>1305.7445068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16.195058</v>
      </c>
      <c r="B213" s="1">
        <f>DATE(2010,5,17) + TIME(4,40,53)</f>
        <v>40315.195057870369</v>
      </c>
      <c r="C213">
        <v>80</v>
      </c>
      <c r="D213">
        <v>79.931610106999997</v>
      </c>
      <c r="E213">
        <v>50</v>
      </c>
      <c r="F213">
        <v>14.997531891</v>
      </c>
      <c r="G213">
        <v>1347.7193603999999</v>
      </c>
      <c r="H213">
        <v>1343.6485596</v>
      </c>
      <c r="I213">
        <v>1313.6467285000001</v>
      </c>
      <c r="J213">
        <v>1305.744751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16.314907000000002</v>
      </c>
      <c r="B214" s="1">
        <f>DATE(2010,5,17) + TIME(7,33,27)</f>
        <v>40315.314895833333</v>
      </c>
      <c r="C214">
        <v>80</v>
      </c>
      <c r="D214">
        <v>79.931602478000002</v>
      </c>
      <c r="E214">
        <v>50</v>
      </c>
      <c r="F214">
        <v>14.997537613</v>
      </c>
      <c r="G214">
        <v>1347.7093506000001</v>
      </c>
      <c r="H214">
        <v>1343.6401367000001</v>
      </c>
      <c r="I214">
        <v>1313.6472168</v>
      </c>
      <c r="J214">
        <v>1305.7451172000001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16.434754999999999</v>
      </c>
      <c r="B215" s="1">
        <f>DATE(2010,5,17) + TIME(10,26,2)</f>
        <v>40315.434745370374</v>
      </c>
      <c r="C215">
        <v>80</v>
      </c>
      <c r="D215">
        <v>79.931594849000007</v>
      </c>
      <c r="E215">
        <v>50</v>
      </c>
      <c r="F215">
        <v>14.997544289</v>
      </c>
      <c r="G215">
        <v>1347.6994629000001</v>
      </c>
      <c r="H215">
        <v>1343.6318358999999</v>
      </c>
      <c r="I215">
        <v>1313.6475829999999</v>
      </c>
      <c r="J215">
        <v>1305.7454834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16.554603</v>
      </c>
      <c r="B216" s="1">
        <f>DATE(2010,5,17) + TIME(13,18,37)</f>
        <v>40315.554594907408</v>
      </c>
      <c r="C216">
        <v>80</v>
      </c>
      <c r="D216">
        <v>79.931579589999998</v>
      </c>
      <c r="E216">
        <v>50</v>
      </c>
      <c r="F216">
        <v>14.997550011</v>
      </c>
      <c r="G216">
        <v>1347.6895752</v>
      </c>
      <c r="H216">
        <v>1343.6235352000001</v>
      </c>
      <c r="I216">
        <v>1313.6479492000001</v>
      </c>
      <c r="J216">
        <v>1305.7457274999999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16.674451999999999</v>
      </c>
      <c r="B217" s="1">
        <f>DATE(2010,5,17) + TIME(16,11,12)</f>
        <v>40315.674444444441</v>
      </c>
      <c r="C217">
        <v>80</v>
      </c>
      <c r="D217">
        <v>79.931571959999999</v>
      </c>
      <c r="E217">
        <v>50</v>
      </c>
      <c r="F217">
        <v>14.997556685999999</v>
      </c>
      <c r="G217">
        <v>1347.6798096</v>
      </c>
      <c r="H217">
        <v>1343.6152344</v>
      </c>
      <c r="I217">
        <v>1313.6483154</v>
      </c>
      <c r="J217">
        <v>1305.7460937999999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16.7943</v>
      </c>
      <c r="B218" s="1">
        <f>DATE(2010,5,17) + TIME(19,3,47)</f>
        <v>40315.794293981482</v>
      </c>
      <c r="C218">
        <v>80</v>
      </c>
      <c r="D218">
        <v>79.931564331000004</v>
      </c>
      <c r="E218">
        <v>50</v>
      </c>
      <c r="F218">
        <v>14.997562408</v>
      </c>
      <c r="G218">
        <v>1347.6701660000001</v>
      </c>
      <c r="H218">
        <v>1343.6070557</v>
      </c>
      <c r="I218">
        <v>1313.6486815999999</v>
      </c>
      <c r="J218">
        <v>1305.7463379000001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17.033996999999999</v>
      </c>
      <c r="B219" s="1">
        <f>DATE(2010,5,18) + TIME(0,48,57)</f>
        <v>40316.033993055556</v>
      </c>
      <c r="C219">
        <v>80</v>
      </c>
      <c r="D219">
        <v>79.931564331000004</v>
      </c>
      <c r="E219">
        <v>50</v>
      </c>
      <c r="F219">
        <v>14.997572899</v>
      </c>
      <c r="G219">
        <v>1347.6594238</v>
      </c>
      <c r="H219">
        <v>1343.5981445</v>
      </c>
      <c r="I219">
        <v>1313.6491699000001</v>
      </c>
      <c r="J219">
        <v>1305.7468262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17.273866999999999</v>
      </c>
      <c r="B220" s="1">
        <f>DATE(2010,5,18) + TIME(6,34,22)</f>
        <v>40316.273865740739</v>
      </c>
      <c r="C220">
        <v>80</v>
      </c>
      <c r="D220">
        <v>79.931541443</v>
      </c>
      <c r="E220">
        <v>50</v>
      </c>
      <c r="F220">
        <v>14.997583389000001</v>
      </c>
      <c r="G220">
        <v>1347.6411132999999</v>
      </c>
      <c r="H220">
        <v>1343.5828856999999</v>
      </c>
      <c r="I220">
        <v>1313.6497803</v>
      </c>
      <c r="J220">
        <v>1305.7473144999999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17.515526000000001</v>
      </c>
      <c r="B221" s="1">
        <f>DATE(2010,5,18) + TIME(12,22,21)</f>
        <v>40316.515520833331</v>
      </c>
      <c r="C221">
        <v>80</v>
      </c>
      <c r="D221">
        <v>79.931526184000006</v>
      </c>
      <c r="E221">
        <v>50</v>
      </c>
      <c r="F221">
        <v>14.99759388</v>
      </c>
      <c r="G221">
        <v>1347.6225586</v>
      </c>
      <c r="H221">
        <v>1343.5672606999999</v>
      </c>
      <c r="I221">
        <v>1313.6505127</v>
      </c>
      <c r="J221">
        <v>1305.7479248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17.759428</v>
      </c>
      <c r="B222" s="1">
        <f>DATE(2010,5,18) + TIME(18,13,34)</f>
        <v>40316.759421296294</v>
      </c>
      <c r="C222">
        <v>80</v>
      </c>
      <c r="D222">
        <v>79.931503296000002</v>
      </c>
      <c r="E222">
        <v>50</v>
      </c>
      <c r="F222">
        <v>14.997604369999999</v>
      </c>
      <c r="G222">
        <v>1347.6038818</v>
      </c>
      <c r="H222">
        <v>1343.5517577999999</v>
      </c>
      <c r="I222">
        <v>1313.6512451000001</v>
      </c>
      <c r="J222">
        <v>1305.7485352000001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18.006022000000002</v>
      </c>
      <c r="B223" s="1">
        <f>DATE(2010,5,19) + TIME(0,8,40)</f>
        <v>40317.006018518521</v>
      </c>
      <c r="C223">
        <v>80</v>
      </c>
      <c r="D223">
        <v>79.931480407999999</v>
      </c>
      <c r="E223">
        <v>50</v>
      </c>
      <c r="F223">
        <v>14.997615814</v>
      </c>
      <c r="G223">
        <v>1347.5852050999999</v>
      </c>
      <c r="H223">
        <v>1343.5362548999999</v>
      </c>
      <c r="I223">
        <v>1313.6519774999999</v>
      </c>
      <c r="J223">
        <v>1305.7491454999999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18.255763999999999</v>
      </c>
      <c r="B224" s="1">
        <f>DATE(2010,5,19) + TIME(6,8,18)</f>
        <v>40317.25576388889</v>
      </c>
      <c r="C224">
        <v>80</v>
      </c>
      <c r="D224">
        <v>79.931465149000005</v>
      </c>
      <c r="E224">
        <v>50</v>
      </c>
      <c r="F224">
        <v>14.997626305000001</v>
      </c>
      <c r="G224">
        <v>1347.5666504000001</v>
      </c>
      <c r="H224">
        <v>1343.5207519999999</v>
      </c>
      <c r="I224">
        <v>1313.6527100000001</v>
      </c>
      <c r="J224">
        <v>1305.7498779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18.509135000000001</v>
      </c>
      <c r="B225" s="1">
        <f>DATE(2010,5,19) + TIME(12,13,9)</f>
        <v>40317.509131944447</v>
      </c>
      <c r="C225">
        <v>80</v>
      </c>
      <c r="D225">
        <v>79.931442261000001</v>
      </c>
      <c r="E225">
        <v>50</v>
      </c>
      <c r="F225">
        <v>14.997637749000001</v>
      </c>
      <c r="G225">
        <v>1347.5479736</v>
      </c>
      <c r="H225">
        <v>1343.5053711</v>
      </c>
      <c r="I225">
        <v>1313.6535644999999</v>
      </c>
      <c r="J225">
        <v>1305.7504882999999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18.766653000000002</v>
      </c>
      <c r="B226" s="1">
        <f>DATE(2010,5,19) + TIME(18,23,58)</f>
        <v>40317.766643518517</v>
      </c>
      <c r="C226">
        <v>80</v>
      </c>
      <c r="D226">
        <v>79.931419372999997</v>
      </c>
      <c r="E226">
        <v>50</v>
      </c>
      <c r="F226">
        <v>14.997648239</v>
      </c>
      <c r="G226">
        <v>1347.5292969</v>
      </c>
      <c r="H226">
        <v>1343.4898682</v>
      </c>
      <c r="I226">
        <v>1313.6542969</v>
      </c>
      <c r="J226">
        <v>1305.7510986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19.028939000000001</v>
      </c>
      <c r="B227" s="1">
        <f>DATE(2010,5,20) + TIME(0,41,40)</f>
        <v>40318.028935185182</v>
      </c>
      <c r="C227">
        <v>80</v>
      </c>
      <c r="D227">
        <v>79.931396484000004</v>
      </c>
      <c r="E227">
        <v>50</v>
      </c>
      <c r="F227">
        <v>14.997659683</v>
      </c>
      <c r="G227">
        <v>1347.5104980000001</v>
      </c>
      <c r="H227">
        <v>1343.4743652</v>
      </c>
      <c r="I227">
        <v>1313.6551514</v>
      </c>
      <c r="J227">
        <v>1305.7518310999999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19.296482000000001</v>
      </c>
      <c r="B228" s="1">
        <f>DATE(2010,5,20) + TIME(7,6,56)</f>
        <v>40318.296481481484</v>
      </c>
      <c r="C228">
        <v>80</v>
      </c>
      <c r="D228">
        <v>79.931373596</v>
      </c>
      <c r="E228">
        <v>50</v>
      </c>
      <c r="F228">
        <v>14.997671127</v>
      </c>
      <c r="G228">
        <v>1347.4916992000001</v>
      </c>
      <c r="H228">
        <v>1343.4587402</v>
      </c>
      <c r="I228">
        <v>1313.6558838000001</v>
      </c>
      <c r="J228">
        <v>1305.7525635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19.569904999999999</v>
      </c>
      <c r="B229" s="1">
        <f>DATE(2010,5,20) + TIME(13,40,39)</f>
        <v>40318.569895833331</v>
      </c>
      <c r="C229">
        <v>80</v>
      </c>
      <c r="D229">
        <v>79.931358337000006</v>
      </c>
      <c r="E229">
        <v>50</v>
      </c>
      <c r="F229">
        <v>14.997681618</v>
      </c>
      <c r="G229">
        <v>1347.4726562000001</v>
      </c>
      <c r="H229">
        <v>1343.4431152</v>
      </c>
      <c r="I229">
        <v>1313.6567382999999</v>
      </c>
      <c r="J229">
        <v>1305.7531738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19.847479</v>
      </c>
      <c r="B230" s="1">
        <f>DATE(2010,5,20) + TIME(20,20,22)</f>
        <v>40318.84747685185</v>
      </c>
      <c r="C230">
        <v>80</v>
      </c>
      <c r="D230">
        <v>79.931335449000002</v>
      </c>
      <c r="E230">
        <v>50</v>
      </c>
      <c r="F230">
        <v>14.997693062</v>
      </c>
      <c r="G230">
        <v>1347.4534911999999</v>
      </c>
      <c r="H230">
        <v>1343.4273682</v>
      </c>
      <c r="I230">
        <v>1313.6575928</v>
      </c>
      <c r="J230">
        <v>1305.7539062000001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19.986525</v>
      </c>
      <c r="B231" s="1">
        <f>DATE(2010,5,20) + TIME(23,40,35)</f>
        <v>40318.986516203702</v>
      </c>
      <c r="C231">
        <v>80</v>
      </c>
      <c r="D231">
        <v>79.931297302000004</v>
      </c>
      <c r="E231">
        <v>50</v>
      </c>
      <c r="F231">
        <v>14.997699738</v>
      </c>
      <c r="G231">
        <v>1347.4361572</v>
      </c>
      <c r="H231">
        <v>1343.4130858999999</v>
      </c>
      <c r="I231">
        <v>1313.6582031</v>
      </c>
      <c r="J231">
        <v>1305.7543945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20.125571000000001</v>
      </c>
      <c r="B232" s="1">
        <f>DATE(2010,5,21) + TIME(3,0,49)</f>
        <v>40319.125567129631</v>
      </c>
      <c r="C232">
        <v>80</v>
      </c>
      <c r="D232">
        <v>79.931282042999996</v>
      </c>
      <c r="E232">
        <v>50</v>
      </c>
      <c r="F232">
        <v>14.997706413</v>
      </c>
      <c r="G232">
        <v>1347.4254149999999</v>
      </c>
      <c r="H232">
        <v>1343.4042969</v>
      </c>
      <c r="I232">
        <v>1313.6586914</v>
      </c>
      <c r="J232">
        <v>1305.7548827999999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20.264617000000001</v>
      </c>
      <c r="B233" s="1">
        <f>DATE(2010,5,21) + TIME(6,21,2)</f>
        <v>40319.264606481483</v>
      </c>
      <c r="C233">
        <v>80</v>
      </c>
      <c r="D233">
        <v>79.931274414000001</v>
      </c>
      <c r="E233">
        <v>50</v>
      </c>
      <c r="F233">
        <v>14.997712135</v>
      </c>
      <c r="G233">
        <v>1347.4156493999999</v>
      </c>
      <c r="H233">
        <v>1343.3962402</v>
      </c>
      <c r="I233">
        <v>1313.6593018000001</v>
      </c>
      <c r="J233">
        <v>1305.755249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20.403663000000002</v>
      </c>
      <c r="B234" s="1">
        <f>DATE(2010,5,21) + TIME(9,41,16)</f>
        <v>40319.403657407405</v>
      </c>
      <c r="C234">
        <v>80</v>
      </c>
      <c r="D234">
        <v>79.931259155000006</v>
      </c>
      <c r="E234">
        <v>50</v>
      </c>
      <c r="F234">
        <v>14.997718811</v>
      </c>
      <c r="G234">
        <v>1347.4060059000001</v>
      </c>
      <c r="H234">
        <v>1343.3883057</v>
      </c>
      <c r="I234">
        <v>1313.6597899999999</v>
      </c>
      <c r="J234">
        <v>1305.7557373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20.542708999999999</v>
      </c>
      <c r="B235" s="1">
        <f>DATE(2010,5,21) + TIME(13,1,30)</f>
        <v>40319.542708333334</v>
      </c>
      <c r="C235">
        <v>80</v>
      </c>
      <c r="D235">
        <v>79.931251525999997</v>
      </c>
      <c r="E235">
        <v>50</v>
      </c>
      <c r="F235">
        <v>14.997724533</v>
      </c>
      <c r="G235">
        <v>1347.3966064000001</v>
      </c>
      <c r="H235">
        <v>1343.3806152</v>
      </c>
      <c r="I235">
        <v>1313.6601562000001</v>
      </c>
      <c r="J235">
        <v>1305.7561035000001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20.681754999999999</v>
      </c>
      <c r="B236" s="1">
        <f>DATE(2010,5,21) + TIME(16,21,43)</f>
        <v>40319.681747685187</v>
      </c>
      <c r="C236">
        <v>80</v>
      </c>
      <c r="D236">
        <v>79.931236267000003</v>
      </c>
      <c r="E236">
        <v>50</v>
      </c>
      <c r="F236">
        <v>14.997730255</v>
      </c>
      <c r="G236">
        <v>1347.387207</v>
      </c>
      <c r="H236">
        <v>1343.3729248</v>
      </c>
      <c r="I236">
        <v>1313.6606445</v>
      </c>
      <c r="J236">
        <v>1305.7564697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20.820800999999999</v>
      </c>
      <c r="B237" s="1">
        <f>DATE(2010,5,21) + TIME(19,41,57)</f>
        <v>40319.820798611108</v>
      </c>
      <c r="C237">
        <v>80</v>
      </c>
      <c r="D237">
        <v>79.931228637999993</v>
      </c>
      <c r="E237">
        <v>50</v>
      </c>
      <c r="F237">
        <v>14.997735977</v>
      </c>
      <c r="G237">
        <v>1347.3779297000001</v>
      </c>
      <c r="H237">
        <v>1343.3652344</v>
      </c>
      <c r="I237">
        <v>1313.6611327999999</v>
      </c>
      <c r="J237">
        <v>1305.7568358999999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20.959847</v>
      </c>
      <c r="B238" s="1">
        <f>DATE(2010,5,21) + TIME(23,2,10)</f>
        <v>40319.959837962961</v>
      </c>
      <c r="C238">
        <v>80</v>
      </c>
      <c r="D238">
        <v>79.931213378999999</v>
      </c>
      <c r="E238">
        <v>50</v>
      </c>
      <c r="F238">
        <v>14.997741699000001</v>
      </c>
      <c r="G238">
        <v>1347.3687743999999</v>
      </c>
      <c r="H238">
        <v>1343.3576660000001</v>
      </c>
      <c r="I238">
        <v>1313.661499</v>
      </c>
      <c r="J238">
        <v>1305.7572021000001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21.098893</v>
      </c>
      <c r="B239" s="1">
        <f>DATE(2010,5,22) + TIME(2,22,24)</f>
        <v>40320.09888888889</v>
      </c>
      <c r="C239">
        <v>80</v>
      </c>
      <c r="D239">
        <v>79.931205750000004</v>
      </c>
      <c r="E239">
        <v>50</v>
      </c>
      <c r="F239">
        <v>14.997747421</v>
      </c>
      <c r="G239">
        <v>1347.3596190999999</v>
      </c>
      <c r="H239">
        <v>1343.3502197</v>
      </c>
      <c r="I239">
        <v>1313.6619873</v>
      </c>
      <c r="J239">
        <v>1305.7575684000001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21.237939000000001</v>
      </c>
      <c r="B240" s="1">
        <f>DATE(2010,5,22) + TIME(5,42,37)</f>
        <v>40320.237928240742</v>
      </c>
      <c r="C240">
        <v>80</v>
      </c>
      <c r="D240">
        <v>79.931190490999995</v>
      </c>
      <c r="E240">
        <v>50</v>
      </c>
      <c r="F240">
        <v>14.997753143000001</v>
      </c>
      <c r="G240">
        <v>1347.3504639</v>
      </c>
      <c r="H240">
        <v>1343.3427733999999</v>
      </c>
      <c r="I240">
        <v>1313.6624756000001</v>
      </c>
      <c r="J240">
        <v>1305.7579346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21.376985000000001</v>
      </c>
      <c r="B241" s="1">
        <f>DATE(2010,5,22) + TIME(9,2,51)</f>
        <v>40320.376979166664</v>
      </c>
      <c r="C241">
        <v>80</v>
      </c>
      <c r="D241">
        <v>79.931182860999996</v>
      </c>
      <c r="E241">
        <v>50</v>
      </c>
      <c r="F241">
        <v>14.997758865</v>
      </c>
      <c r="G241">
        <v>1347.3414307</v>
      </c>
      <c r="H241">
        <v>1343.3354492000001</v>
      </c>
      <c r="I241">
        <v>1313.6628418</v>
      </c>
      <c r="J241">
        <v>1305.7583007999999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21.655078</v>
      </c>
      <c r="B242" s="1">
        <f>DATE(2010,5,22) + TIME(15,43,18)</f>
        <v>40320.655069444445</v>
      </c>
      <c r="C242">
        <v>80</v>
      </c>
      <c r="D242">
        <v>79.931182860999996</v>
      </c>
      <c r="E242">
        <v>50</v>
      </c>
      <c r="F242">
        <v>14.997768402</v>
      </c>
      <c r="G242">
        <v>1347.3312988</v>
      </c>
      <c r="H242">
        <v>1343.3271483999999</v>
      </c>
      <c r="I242">
        <v>1313.6634521000001</v>
      </c>
      <c r="J242">
        <v>1305.7589111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21.933599000000001</v>
      </c>
      <c r="B243" s="1">
        <f>DATE(2010,5,22) + TIME(22,24,22)</f>
        <v>40320.933587962965</v>
      </c>
      <c r="C243">
        <v>80</v>
      </c>
      <c r="D243">
        <v>79.931167603000006</v>
      </c>
      <c r="E243">
        <v>50</v>
      </c>
      <c r="F243">
        <v>14.997777939000001</v>
      </c>
      <c r="G243">
        <v>1347.3144531</v>
      </c>
      <c r="H243">
        <v>1343.3133545000001</v>
      </c>
      <c r="I243">
        <v>1313.6643065999999</v>
      </c>
      <c r="J243">
        <v>1305.7595214999999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22.214497000000001</v>
      </c>
      <c r="B244" s="1">
        <f>DATE(2010,5,23) + TIME(5,8,52)</f>
        <v>40321.214490740742</v>
      </c>
      <c r="C244">
        <v>80</v>
      </c>
      <c r="D244">
        <v>79.931152343999997</v>
      </c>
      <c r="E244">
        <v>50</v>
      </c>
      <c r="F244">
        <v>14.997787475999999</v>
      </c>
      <c r="G244">
        <v>1347.2969971</v>
      </c>
      <c r="H244">
        <v>1343.2993164</v>
      </c>
      <c r="I244">
        <v>1313.6650391000001</v>
      </c>
      <c r="J244">
        <v>1305.7601318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22.498331</v>
      </c>
      <c r="B245" s="1">
        <f>DATE(2010,5,23) + TIME(11,57,35)</f>
        <v>40321.49832175926</v>
      </c>
      <c r="C245">
        <v>80</v>
      </c>
      <c r="D245">
        <v>79.931129455999994</v>
      </c>
      <c r="E245">
        <v>50</v>
      </c>
      <c r="F245">
        <v>14.997797966</v>
      </c>
      <c r="G245">
        <v>1347.2795410000001</v>
      </c>
      <c r="H245">
        <v>1343.2851562000001</v>
      </c>
      <c r="I245">
        <v>1313.6658935999999</v>
      </c>
      <c r="J245">
        <v>1305.7608643000001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22.785663</v>
      </c>
      <c r="B246" s="1">
        <f>DATE(2010,5,23) + TIME(18,51,21)</f>
        <v>40321.78565972222</v>
      </c>
      <c r="C246">
        <v>80</v>
      </c>
      <c r="D246">
        <v>79.931106567</v>
      </c>
      <c r="E246">
        <v>50</v>
      </c>
      <c r="F246">
        <v>14.997808456</v>
      </c>
      <c r="G246">
        <v>1347.2620850000001</v>
      </c>
      <c r="H246">
        <v>1343.2709961</v>
      </c>
      <c r="I246">
        <v>1313.6668701000001</v>
      </c>
      <c r="J246">
        <v>1305.7615966999999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23.077072000000001</v>
      </c>
      <c r="B247" s="1">
        <f>DATE(2010,5,24) + TIME(1,50,59)</f>
        <v>40322.07707175926</v>
      </c>
      <c r="C247">
        <v>80</v>
      </c>
      <c r="D247">
        <v>79.931091308999996</v>
      </c>
      <c r="E247">
        <v>50</v>
      </c>
      <c r="F247">
        <v>14.997817993</v>
      </c>
      <c r="G247">
        <v>1347.2445068</v>
      </c>
      <c r="H247">
        <v>1343.2568358999999</v>
      </c>
      <c r="I247">
        <v>1313.6677245999999</v>
      </c>
      <c r="J247">
        <v>1305.7624512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23.373165</v>
      </c>
      <c r="B248" s="1">
        <f>DATE(2010,5,24) + TIME(8,57,21)</f>
        <v>40322.373159722221</v>
      </c>
      <c r="C248">
        <v>80</v>
      </c>
      <c r="D248">
        <v>79.931068420000003</v>
      </c>
      <c r="E248">
        <v>50</v>
      </c>
      <c r="F248">
        <v>14.997828483999999</v>
      </c>
      <c r="G248">
        <v>1347.2269286999999</v>
      </c>
      <c r="H248">
        <v>1343.2425536999999</v>
      </c>
      <c r="I248">
        <v>1313.6687012</v>
      </c>
      <c r="J248">
        <v>1305.7631836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23.674688</v>
      </c>
      <c r="B249" s="1">
        <f>DATE(2010,5,24) + TIME(16,11,33)</f>
        <v>40322.674687500003</v>
      </c>
      <c r="C249">
        <v>80</v>
      </c>
      <c r="D249">
        <v>79.931045531999999</v>
      </c>
      <c r="E249">
        <v>50</v>
      </c>
      <c r="F249">
        <v>14.997838974</v>
      </c>
      <c r="G249">
        <v>1347.2093506000001</v>
      </c>
      <c r="H249">
        <v>1343.2283935999999</v>
      </c>
      <c r="I249">
        <v>1313.6696777</v>
      </c>
      <c r="J249">
        <v>1305.7640381000001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23.982261999999999</v>
      </c>
      <c r="B250" s="1">
        <f>DATE(2010,5,24) + TIME(23,34,27)</f>
        <v>40322.982256944444</v>
      </c>
      <c r="C250">
        <v>80</v>
      </c>
      <c r="D250">
        <v>79.931030273000005</v>
      </c>
      <c r="E250">
        <v>50</v>
      </c>
      <c r="F250">
        <v>14.997849464</v>
      </c>
      <c r="G250">
        <v>1347.1915283000001</v>
      </c>
      <c r="H250">
        <v>1343.2139893000001</v>
      </c>
      <c r="I250">
        <v>1313.6706543</v>
      </c>
      <c r="J250">
        <v>1305.7647704999999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24.296612</v>
      </c>
      <c r="B251" s="1">
        <f>DATE(2010,5,25) + TIME(7,7,7)</f>
        <v>40323.2966087963</v>
      </c>
      <c r="C251">
        <v>80</v>
      </c>
      <c r="D251">
        <v>79.931007385000001</v>
      </c>
      <c r="E251">
        <v>50</v>
      </c>
      <c r="F251">
        <v>14.997860909</v>
      </c>
      <c r="G251">
        <v>1347.1735839999999</v>
      </c>
      <c r="H251">
        <v>1343.1995850000001</v>
      </c>
      <c r="I251">
        <v>1313.6716309000001</v>
      </c>
      <c r="J251">
        <v>1305.765625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24.456517999999999</v>
      </c>
      <c r="B252" s="1">
        <f>DATE(2010,5,25) + TIME(10,57,23)</f>
        <v>40323.456516203703</v>
      </c>
      <c r="C252">
        <v>80</v>
      </c>
      <c r="D252">
        <v>79.930976868000002</v>
      </c>
      <c r="E252">
        <v>50</v>
      </c>
      <c r="F252">
        <v>14.997866631000001</v>
      </c>
      <c r="G252">
        <v>1347.1573486</v>
      </c>
      <c r="H252">
        <v>1343.1865233999999</v>
      </c>
      <c r="I252">
        <v>1313.6723632999999</v>
      </c>
      <c r="J252">
        <v>1305.7662353999999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24.615874000000002</v>
      </c>
      <c r="B253" s="1">
        <f>DATE(2010,5,25) + TIME(14,46,51)</f>
        <v>40323.615868055553</v>
      </c>
      <c r="C253">
        <v>80</v>
      </c>
      <c r="D253">
        <v>79.930961608999993</v>
      </c>
      <c r="E253">
        <v>50</v>
      </c>
      <c r="F253">
        <v>14.997873306000001</v>
      </c>
      <c r="G253">
        <v>1347.1469727000001</v>
      </c>
      <c r="H253">
        <v>1343.1783447</v>
      </c>
      <c r="I253">
        <v>1313.6729736</v>
      </c>
      <c r="J253">
        <v>1305.7667236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24.774937999999999</v>
      </c>
      <c r="B254" s="1">
        <f>DATE(2010,5,25) + TIME(18,35,54)</f>
        <v>40323.774930555555</v>
      </c>
      <c r="C254">
        <v>80</v>
      </c>
      <c r="D254">
        <v>79.930946349999999</v>
      </c>
      <c r="E254">
        <v>50</v>
      </c>
      <c r="F254">
        <v>14.997879028</v>
      </c>
      <c r="G254">
        <v>1347.1375731999999</v>
      </c>
      <c r="H254">
        <v>1343.1706543</v>
      </c>
      <c r="I254">
        <v>1313.6735839999999</v>
      </c>
      <c r="J254">
        <v>1305.7672118999999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24.933761000000001</v>
      </c>
      <c r="B255" s="1">
        <f>DATE(2010,5,25) + TIME(22,24,36)</f>
        <v>40323.933749999997</v>
      </c>
      <c r="C255">
        <v>80</v>
      </c>
      <c r="D255">
        <v>79.930938721000004</v>
      </c>
      <c r="E255">
        <v>50</v>
      </c>
      <c r="F255">
        <v>14.997884750000001</v>
      </c>
      <c r="G255">
        <v>1347.1285399999999</v>
      </c>
      <c r="H255">
        <v>1343.1633300999999</v>
      </c>
      <c r="I255">
        <v>1313.6741943</v>
      </c>
      <c r="J255">
        <v>1305.7677002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25.092424000000001</v>
      </c>
      <c r="B256" s="1">
        <f>DATE(2010,5,26) + TIME(2,13,5)</f>
        <v>40324.092418981483</v>
      </c>
      <c r="C256">
        <v>80</v>
      </c>
      <c r="D256">
        <v>79.930931091000005</v>
      </c>
      <c r="E256">
        <v>50</v>
      </c>
      <c r="F256">
        <v>14.997890472</v>
      </c>
      <c r="G256">
        <v>1347.1195068</v>
      </c>
      <c r="H256">
        <v>1343.1561279</v>
      </c>
      <c r="I256">
        <v>1313.6746826000001</v>
      </c>
      <c r="J256">
        <v>1305.7681885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25.250995</v>
      </c>
      <c r="B257" s="1">
        <f>DATE(2010,5,26) + TIME(6,1,25)</f>
        <v>40324.250983796293</v>
      </c>
      <c r="C257">
        <v>80</v>
      </c>
      <c r="D257">
        <v>79.930915833</v>
      </c>
      <c r="E257">
        <v>50</v>
      </c>
      <c r="F257">
        <v>14.997896194000001</v>
      </c>
      <c r="G257">
        <v>1347.1105957</v>
      </c>
      <c r="H257">
        <v>1343.1489257999999</v>
      </c>
      <c r="I257">
        <v>1313.675293</v>
      </c>
      <c r="J257">
        <v>1305.7686768000001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25.409541000000001</v>
      </c>
      <c r="B258" s="1">
        <f>DATE(2010,5,26) + TIME(9,49,44)</f>
        <v>40324.409537037034</v>
      </c>
      <c r="C258">
        <v>80</v>
      </c>
      <c r="D258">
        <v>79.930908203000001</v>
      </c>
      <c r="E258">
        <v>50</v>
      </c>
      <c r="F258">
        <v>14.997901917</v>
      </c>
      <c r="G258">
        <v>1347.1016846</v>
      </c>
      <c r="H258">
        <v>1343.1417236</v>
      </c>
      <c r="I258">
        <v>1313.6757812000001</v>
      </c>
      <c r="J258">
        <v>1305.769043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25.568086999999998</v>
      </c>
      <c r="B259" s="1">
        <f>DATE(2010,5,26) + TIME(13,38,2)</f>
        <v>40324.568078703705</v>
      </c>
      <c r="C259">
        <v>80</v>
      </c>
      <c r="D259">
        <v>79.930892943999993</v>
      </c>
      <c r="E259">
        <v>50</v>
      </c>
      <c r="F259">
        <v>14.997906685</v>
      </c>
      <c r="G259">
        <v>1347.0928954999999</v>
      </c>
      <c r="H259">
        <v>1343.1347656</v>
      </c>
      <c r="I259">
        <v>1313.6762695</v>
      </c>
      <c r="J259">
        <v>1305.7695312000001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25.726633</v>
      </c>
      <c r="B260" s="1">
        <f>DATE(2010,5,26) + TIME(17,26,21)</f>
        <v>40324.726631944446</v>
      </c>
      <c r="C260">
        <v>80</v>
      </c>
      <c r="D260">
        <v>79.930885314999998</v>
      </c>
      <c r="E260">
        <v>50</v>
      </c>
      <c r="F260">
        <v>14.997912406999999</v>
      </c>
      <c r="G260">
        <v>1347.0842285000001</v>
      </c>
      <c r="H260">
        <v>1343.1276855000001</v>
      </c>
      <c r="I260">
        <v>1313.6767577999999</v>
      </c>
      <c r="J260">
        <v>1305.7698975000001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25.885179000000001</v>
      </c>
      <c r="B261" s="1">
        <f>DATE(2010,5,26) + TIME(21,14,39)</f>
        <v>40324.88517361111</v>
      </c>
      <c r="C261">
        <v>80</v>
      </c>
      <c r="D261">
        <v>79.930877686000002</v>
      </c>
      <c r="E261">
        <v>50</v>
      </c>
      <c r="F261">
        <v>14.997918129</v>
      </c>
      <c r="G261">
        <v>1347.0755615</v>
      </c>
      <c r="H261">
        <v>1343.1207274999999</v>
      </c>
      <c r="I261">
        <v>1313.6773682</v>
      </c>
      <c r="J261">
        <v>1305.7703856999999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26.043724999999998</v>
      </c>
      <c r="B262" s="1">
        <f>DATE(2010,5,27) + TIME(1,2,57)</f>
        <v>40325.043715277781</v>
      </c>
      <c r="C262">
        <v>80</v>
      </c>
      <c r="D262">
        <v>79.930870056000003</v>
      </c>
      <c r="E262">
        <v>50</v>
      </c>
      <c r="F262">
        <v>14.997922897</v>
      </c>
      <c r="G262">
        <v>1347.0668945</v>
      </c>
      <c r="H262">
        <v>1343.1138916</v>
      </c>
      <c r="I262">
        <v>1313.6778564000001</v>
      </c>
      <c r="J262">
        <v>1305.7707519999999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26.202272000000001</v>
      </c>
      <c r="B263" s="1">
        <f>DATE(2010,5,27) + TIME(4,51,16)</f>
        <v>40325.202268518522</v>
      </c>
      <c r="C263">
        <v>80</v>
      </c>
      <c r="D263">
        <v>79.930854796999995</v>
      </c>
      <c r="E263">
        <v>50</v>
      </c>
      <c r="F263">
        <v>14.997928619</v>
      </c>
      <c r="G263">
        <v>1347.0583495999999</v>
      </c>
      <c r="H263">
        <v>1343.1070557</v>
      </c>
      <c r="I263">
        <v>1313.6783447</v>
      </c>
      <c r="J263">
        <v>1305.7712402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26.519363999999999</v>
      </c>
      <c r="B264" s="1">
        <f>DATE(2010,5,27) + TIME(12,27,53)</f>
        <v>40325.519363425927</v>
      </c>
      <c r="C264">
        <v>80</v>
      </c>
      <c r="D264">
        <v>79.930862426999994</v>
      </c>
      <c r="E264">
        <v>50</v>
      </c>
      <c r="F264">
        <v>14.997937201999999</v>
      </c>
      <c r="G264">
        <v>1347.0487060999999</v>
      </c>
      <c r="H264">
        <v>1343.0992432</v>
      </c>
      <c r="I264">
        <v>1313.6790771000001</v>
      </c>
      <c r="J264">
        <v>1305.7718506000001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26.836801000000001</v>
      </c>
      <c r="B265" s="1">
        <f>DATE(2010,5,27) + TIME(20,4,59)</f>
        <v>40325.836793981478</v>
      </c>
      <c r="C265">
        <v>80</v>
      </c>
      <c r="D265">
        <v>79.930847168</v>
      </c>
      <c r="E265">
        <v>50</v>
      </c>
      <c r="F265">
        <v>14.997946739</v>
      </c>
      <c r="G265">
        <v>1347.0327147999999</v>
      </c>
      <c r="H265">
        <v>1343.0865478999999</v>
      </c>
      <c r="I265">
        <v>1313.6799315999999</v>
      </c>
      <c r="J265">
        <v>1305.7725829999999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27.156813</v>
      </c>
      <c r="B266" s="1">
        <f>DATE(2010,5,28) + TIME(3,45,48)</f>
        <v>40326.156805555554</v>
      </c>
      <c r="C266">
        <v>80</v>
      </c>
      <c r="D266">
        <v>79.930831909000005</v>
      </c>
      <c r="E266">
        <v>50</v>
      </c>
      <c r="F266">
        <v>14.997956276</v>
      </c>
      <c r="G266">
        <v>1347.0161132999999</v>
      </c>
      <c r="H266">
        <v>1343.0733643000001</v>
      </c>
      <c r="I266">
        <v>1313.6810303</v>
      </c>
      <c r="J266">
        <v>1305.7734375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27.480038</v>
      </c>
      <c r="B267" s="1">
        <f>DATE(2010,5,28) + TIME(11,31,15)</f>
        <v>40326.480034722219</v>
      </c>
      <c r="C267">
        <v>80</v>
      </c>
      <c r="D267">
        <v>79.930816649999997</v>
      </c>
      <c r="E267">
        <v>50</v>
      </c>
      <c r="F267">
        <v>14.997965813</v>
      </c>
      <c r="G267">
        <v>1346.9995117000001</v>
      </c>
      <c r="H267">
        <v>1343.0601807</v>
      </c>
      <c r="I267">
        <v>1313.6820068</v>
      </c>
      <c r="J267">
        <v>1305.7742920000001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27.807134999999999</v>
      </c>
      <c r="B268" s="1">
        <f>DATE(2010,5,28) + TIME(19,22,16)</f>
        <v>40326.807129629633</v>
      </c>
      <c r="C268">
        <v>80</v>
      </c>
      <c r="D268">
        <v>79.930801392000006</v>
      </c>
      <c r="E268">
        <v>50</v>
      </c>
      <c r="F268">
        <v>14.997975349000001</v>
      </c>
      <c r="G268">
        <v>1346.9829102000001</v>
      </c>
      <c r="H268">
        <v>1343.0469971</v>
      </c>
      <c r="I268">
        <v>1313.6831055</v>
      </c>
      <c r="J268">
        <v>1305.7751464999999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28.138807</v>
      </c>
      <c r="B269" s="1">
        <f>DATE(2010,5,29) + TIME(3,19,52)</f>
        <v>40327.138796296298</v>
      </c>
      <c r="C269">
        <v>80</v>
      </c>
      <c r="D269">
        <v>79.930778502999999</v>
      </c>
      <c r="E269">
        <v>50</v>
      </c>
      <c r="F269">
        <v>14.997984885999999</v>
      </c>
      <c r="G269">
        <v>1346.9661865</v>
      </c>
      <c r="H269">
        <v>1343.0338135</v>
      </c>
      <c r="I269">
        <v>1313.6842041</v>
      </c>
      <c r="J269">
        <v>1305.7761230000001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28.475781999999999</v>
      </c>
      <c r="B270" s="1">
        <f>DATE(2010,5,29) + TIME(11,25,7)</f>
        <v>40327.475775462961</v>
      </c>
      <c r="C270">
        <v>80</v>
      </c>
      <c r="D270">
        <v>79.930763244999994</v>
      </c>
      <c r="E270">
        <v>50</v>
      </c>
      <c r="F270">
        <v>14.997994423</v>
      </c>
      <c r="G270">
        <v>1346.9494629000001</v>
      </c>
      <c r="H270">
        <v>1343.0205077999999</v>
      </c>
      <c r="I270">
        <v>1313.6853027</v>
      </c>
      <c r="J270">
        <v>1305.7769774999999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28.818895999999999</v>
      </c>
      <c r="B271" s="1">
        <f>DATE(2010,5,29) + TIME(19,39,12)</f>
        <v>40327.818888888891</v>
      </c>
      <c r="C271">
        <v>80</v>
      </c>
      <c r="D271">
        <v>79.930747986</v>
      </c>
      <c r="E271">
        <v>50</v>
      </c>
      <c r="F271">
        <v>14.998004913000001</v>
      </c>
      <c r="G271">
        <v>1346.9326172000001</v>
      </c>
      <c r="H271">
        <v>1343.0072021000001</v>
      </c>
      <c r="I271">
        <v>1313.6865233999999</v>
      </c>
      <c r="J271">
        <v>1305.7779541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29.169</v>
      </c>
      <c r="B272" s="1">
        <f>DATE(2010,5,30) + TIME(4,3,21)</f>
        <v>40328.168993055559</v>
      </c>
      <c r="C272">
        <v>80</v>
      </c>
      <c r="D272">
        <v>79.930732727000006</v>
      </c>
      <c r="E272">
        <v>50</v>
      </c>
      <c r="F272">
        <v>14.998015404</v>
      </c>
      <c r="G272">
        <v>1346.9156493999999</v>
      </c>
      <c r="H272">
        <v>1342.9936522999999</v>
      </c>
      <c r="I272">
        <v>1313.6876221</v>
      </c>
      <c r="J272">
        <v>1305.7789307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29.346934999999998</v>
      </c>
      <c r="B273" s="1">
        <f>DATE(2010,5,30) + TIME(8,19,35)</f>
        <v>40328.346932870372</v>
      </c>
      <c r="C273">
        <v>80</v>
      </c>
      <c r="D273">
        <v>79.930702209000003</v>
      </c>
      <c r="E273">
        <v>50</v>
      </c>
      <c r="F273">
        <v>14.998021125999999</v>
      </c>
      <c r="G273">
        <v>1346.9003906</v>
      </c>
      <c r="H273">
        <v>1342.9816894999999</v>
      </c>
      <c r="I273">
        <v>1313.6884766000001</v>
      </c>
      <c r="J273">
        <v>1305.7795410000001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29.524868999999999</v>
      </c>
      <c r="B274" s="1">
        <f>DATE(2010,5,30) + TIME(12,35,48)</f>
        <v>40328.524861111109</v>
      </c>
      <c r="C274">
        <v>80</v>
      </c>
      <c r="D274">
        <v>79.930686950999998</v>
      </c>
      <c r="E274">
        <v>50</v>
      </c>
      <c r="F274">
        <v>14.998026848</v>
      </c>
      <c r="G274">
        <v>1346.890625</v>
      </c>
      <c r="H274">
        <v>1342.9738769999999</v>
      </c>
      <c r="I274">
        <v>1313.6892089999999</v>
      </c>
      <c r="J274">
        <v>1305.7802733999999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29.702804</v>
      </c>
      <c r="B275" s="1">
        <f>DATE(2010,5,30) + TIME(16,52,2)</f>
        <v>40328.702800925923</v>
      </c>
      <c r="C275">
        <v>80</v>
      </c>
      <c r="D275">
        <v>79.930679321</v>
      </c>
      <c r="E275">
        <v>50</v>
      </c>
      <c r="F275">
        <v>14.998032569999999</v>
      </c>
      <c r="G275">
        <v>1346.8817139</v>
      </c>
      <c r="H275">
        <v>1342.9667969</v>
      </c>
      <c r="I275">
        <v>1313.6899414</v>
      </c>
      <c r="J275">
        <v>1305.7807617000001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29.880738000000001</v>
      </c>
      <c r="B276" s="1">
        <f>DATE(2010,5,30) + TIME(21,8,15)</f>
        <v>40328.880729166667</v>
      </c>
      <c r="C276">
        <v>80</v>
      </c>
      <c r="D276">
        <v>79.930664062000005</v>
      </c>
      <c r="E276">
        <v>50</v>
      </c>
      <c r="F276">
        <v>14.998038292</v>
      </c>
      <c r="G276">
        <v>1346.8729248</v>
      </c>
      <c r="H276">
        <v>1342.9598389</v>
      </c>
      <c r="I276">
        <v>1313.6906738</v>
      </c>
      <c r="J276">
        <v>1305.7813721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30.058672000000001</v>
      </c>
      <c r="B277" s="1">
        <f>DATE(2010,5,31) + TIME(1,24,29)</f>
        <v>40329.058668981481</v>
      </c>
      <c r="C277">
        <v>80</v>
      </c>
      <c r="D277">
        <v>79.930656432999996</v>
      </c>
      <c r="E277">
        <v>50</v>
      </c>
      <c r="F277">
        <v>14.998044014</v>
      </c>
      <c r="G277">
        <v>1346.8643798999999</v>
      </c>
      <c r="H277">
        <v>1342.953125</v>
      </c>
      <c r="I277">
        <v>1313.6912841999999</v>
      </c>
      <c r="J277">
        <v>1305.7818603999999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30.236606999999999</v>
      </c>
      <c r="B278" s="1">
        <f>DATE(2010,5,31) + TIME(5,40,42)</f>
        <v>40329.236597222225</v>
      </c>
      <c r="C278">
        <v>80</v>
      </c>
      <c r="D278">
        <v>79.930648804</v>
      </c>
      <c r="E278">
        <v>50</v>
      </c>
      <c r="F278">
        <v>14.998048782</v>
      </c>
      <c r="G278">
        <v>1346.8558350000001</v>
      </c>
      <c r="H278">
        <v>1342.9462891000001</v>
      </c>
      <c r="I278">
        <v>1313.6918945</v>
      </c>
      <c r="J278">
        <v>1305.7823486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30.414541</v>
      </c>
      <c r="B279" s="1">
        <f>DATE(2010,5,31) + TIME(9,56,56)</f>
        <v>40329.414537037039</v>
      </c>
      <c r="C279">
        <v>80</v>
      </c>
      <c r="D279">
        <v>79.930641174000002</v>
      </c>
      <c r="E279">
        <v>50</v>
      </c>
      <c r="F279">
        <v>14.998054504000001</v>
      </c>
      <c r="G279">
        <v>1346.8474120999999</v>
      </c>
      <c r="H279">
        <v>1342.9396973</v>
      </c>
      <c r="I279">
        <v>1313.6925048999999</v>
      </c>
      <c r="J279">
        <v>1305.7828368999999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30.592476000000001</v>
      </c>
      <c r="B280" s="1">
        <f>DATE(2010,5,31) + TIME(14,13,9)</f>
        <v>40329.592465277776</v>
      </c>
      <c r="C280">
        <v>80</v>
      </c>
      <c r="D280">
        <v>79.930633545000006</v>
      </c>
      <c r="E280">
        <v>50</v>
      </c>
      <c r="F280">
        <v>14.998060226</v>
      </c>
      <c r="G280">
        <v>1346.8389893000001</v>
      </c>
      <c r="H280">
        <v>1342.9329834</v>
      </c>
      <c r="I280">
        <v>1313.6931152</v>
      </c>
      <c r="J280">
        <v>1305.7834473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30.770409999999998</v>
      </c>
      <c r="B281" s="1">
        <f>DATE(2010,5,31) + TIME(18,29,23)</f>
        <v>40329.770405092589</v>
      </c>
      <c r="C281">
        <v>80</v>
      </c>
      <c r="D281">
        <v>79.930618285999998</v>
      </c>
      <c r="E281">
        <v>50</v>
      </c>
      <c r="F281">
        <v>14.998064995</v>
      </c>
      <c r="G281">
        <v>1346.8306885</v>
      </c>
      <c r="H281">
        <v>1342.9263916</v>
      </c>
      <c r="I281">
        <v>1313.6937256000001</v>
      </c>
      <c r="J281">
        <v>1305.7839355000001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31</v>
      </c>
      <c r="B282" s="1">
        <f>DATE(2010,6,1) + TIME(0,0,0)</f>
        <v>40330</v>
      </c>
      <c r="C282">
        <v>80</v>
      </c>
      <c r="D282">
        <v>79.930618285999998</v>
      </c>
      <c r="E282">
        <v>50</v>
      </c>
      <c r="F282">
        <v>14.998071671</v>
      </c>
      <c r="G282">
        <v>1346.8218993999999</v>
      </c>
      <c r="H282">
        <v>1342.9195557</v>
      </c>
      <c r="I282">
        <v>1313.6943358999999</v>
      </c>
      <c r="J282">
        <v>1305.7844238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31.177934</v>
      </c>
      <c r="B283" s="1">
        <f>DATE(2010,6,1) + TIME(4,16,13)</f>
        <v>40330.177928240744</v>
      </c>
      <c r="C283">
        <v>80</v>
      </c>
      <c r="D283">
        <v>79.930603027000004</v>
      </c>
      <c r="E283">
        <v>50</v>
      </c>
      <c r="F283">
        <v>14.998076439</v>
      </c>
      <c r="G283">
        <v>1346.8120117000001</v>
      </c>
      <c r="H283">
        <v>1342.9117432</v>
      </c>
      <c r="I283">
        <v>1313.6950684000001</v>
      </c>
      <c r="J283">
        <v>1305.7850341999999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31.355868999999998</v>
      </c>
      <c r="B284" s="1">
        <f>DATE(2010,6,1) + TIME(8,32,27)</f>
        <v>40330.355868055558</v>
      </c>
      <c r="C284">
        <v>80</v>
      </c>
      <c r="D284">
        <v>79.930595397999994</v>
      </c>
      <c r="E284">
        <v>50</v>
      </c>
      <c r="F284">
        <v>14.998081207</v>
      </c>
      <c r="G284">
        <v>1346.8035889</v>
      </c>
      <c r="H284">
        <v>1342.9051514</v>
      </c>
      <c r="I284">
        <v>1313.6956786999999</v>
      </c>
      <c r="J284">
        <v>1305.7855225000001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31.533802999999999</v>
      </c>
      <c r="B285" s="1">
        <f>DATE(2010,6,1) + TIME(12,48,40)</f>
        <v>40330.533796296295</v>
      </c>
      <c r="C285">
        <v>80</v>
      </c>
      <c r="D285">
        <v>79.930587768999999</v>
      </c>
      <c r="E285">
        <v>50</v>
      </c>
      <c r="F285">
        <v>14.998085976</v>
      </c>
      <c r="G285">
        <v>1346.7954102000001</v>
      </c>
      <c r="H285">
        <v>1342.8985596</v>
      </c>
      <c r="I285">
        <v>1313.6962891000001</v>
      </c>
      <c r="J285">
        <v>1305.7860106999999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31.711738</v>
      </c>
      <c r="B286" s="1">
        <f>DATE(2010,6,1) + TIME(17,4,54)</f>
        <v>40330.711736111109</v>
      </c>
      <c r="C286">
        <v>80</v>
      </c>
      <c r="D286">
        <v>79.930580139</v>
      </c>
      <c r="E286">
        <v>50</v>
      </c>
      <c r="F286">
        <v>14.998091698</v>
      </c>
      <c r="G286">
        <v>1346.7872314000001</v>
      </c>
      <c r="H286">
        <v>1342.8922118999999</v>
      </c>
      <c r="I286">
        <v>1313.6968993999999</v>
      </c>
      <c r="J286">
        <v>1305.786499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32.067605999999998</v>
      </c>
      <c r="B287" s="1">
        <f>DATE(2010,6,2) + TIME(1,37,21)</f>
        <v>40331.067604166667</v>
      </c>
      <c r="C287">
        <v>80</v>
      </c>
      <c r="D287">
        <v>79.930587768999999</v>
      </c>
      <c r="E287">
        <v>50</v>
      </c>
      <c r="F287">
        <v>14.998099327</v>
      </c>
      <c r="G287">
        <v>1346.7780762</v>
      </c>
      <c r="H287">
        <v>1342.8848877</v>
      </c>
      <c r="I287">
        <v>1313.6977539</v>
      </c>
      <c r="J287">
        <v>1305.7872314000001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32.424314000000003</v>
      </c>
      <c r="B288" s="1">
        <f>DATE(2010,6,2) + TIME(10,11,0)</f>
        <v>40331.424305555556</v>
      </c>
      <c r="C288">
        <v>80</v>
      </c>
      <c r="D288">
        <v>79.930580139</v>
      </c>
      <c r="E288">
        <v>50</v>
      </c>
      <c r="F288">
        <v>14.99810791</v>
      </c>
      <c r="G288">
        <v>1346.7629394999999</v>
      </c>
      <c r="H288">
        <v>1342.8730469</v>
      </c>
      <c r="I288">
        <v>1313.6988524999999</v>
      </c>
      <c r="J288">
        <v>1305.7880858999999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32.784944000000003</v>
      </c>
      <c r="B289" s="1">
        <f>DATE(2010,6,2) + TIME(18,50,19)</f>
        <v>40331.784942129627</v>
      </c>
      <c r="C289">
        <v>80</v>
      </c>
      <c r="D289">
        <v>79.930564880000006</v>
      </c>
      <c r="E289">
        <v>50</v>
      </c>
      <c r="F289">
        <v>14.998117447</v>
      </c>
      <c r="G289">
        <v>1346.7471923999999</v>
      </c>
      <c r="H289">
        <v>1342.8607178</v>
      </c>
      <c r="I289">
        <v>1313.7000731999999</v>
      </c>
      <c r="J289">
        <v>1305.7890625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33.150232000000003</v>
      </c>
      <c r="B290" s="1">
        <f>DATE(2010,6,3) + TIME(3,36,20)</f>
        <v>40332.150231481479</v>
      </c>
      <c r="C290">
        <v>80</v>
      </c>
      <c r="D290">
        <v>79.930557250999996</v>
      </c>
      <c r="E290">
        <v>50</v>
      </c>
      <c r="F290">
        <v>14.99812603</v>
      </c>
      <c r="G290">
        <v>1346.7314452999999</v>
      </c>
      <c r="H290">
        <v>1342.8482666</v>
      </c>
      <c r="I290">
        <v>1313.7012939000001</v>
      </c>
      <c r="J290">
        <v>1305.7901611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33.520924999999998</v>
      </c>
      <c r="B291" s="1">
        <f>DATE(2010,6,3) + TIME(12,30,7)</f>
        <v>40332.520914351851</v>
      </c>
      <c r="C291">
        <v>80</v>
      </c>
      <c r="D291">
        <v>79.930541992000002</v>
      </c>
      <c r="E291">
        <v>50</v>
      </c>
      <c r="F291">
        <v>14.998135567</v>
      </c>
      <c r="G291">
        <v>1346.7154541</v>
      </c>
      <c r="H291">
        <v>1342.8358154</v>
      </c>
      <c r="I291">
        <v>1313.7026367000001</v>
      </c>
      <c r="J291">
        <v>1305.7912598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33.897880999999998</v>
      </c>
      <c r="B292" s="1">
        <f>DATE(2010,6,3) + TIME(21,32,56)</f>
        <v>40332.897870370369</v>
      </c>
      <c r="C292">
        <v>80</v>
      </c>
      <c r="D292">
        <v>79.930526732999994</v>
      </c>
      <c r="E292">
        <v>50</v>
      </c>
      <c r="F292">
        <v>14.998145103000001</v>
      </c>
      <c r="G292">
        <v>1346.6994629000001</v>
      </c>
      <c r="H292">
        <v>1342.8233643000001</v>
      </c>
      <c r="I292">
        <v>1313.7038574000001</v>
      </c>
      <c r="J292">
        <v>1305.7922363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34.282159999999998</v>
      </c>
      <c r="B293" s="1">
        <f>DATE(2010,6,4) + TIME(6,46,18)</f>
        <v>40333.282152777778</v>
      </c>
      <c r="C293">
        <v>80</v>
      </c>
      <c r="D293">
        <v>79.930519103999998</v>
      </c>
      <c r="E293">
        <v>50</v>
      </c>
      <c r="F293">
        <v>14.998154639999999</v>
      </c>
      <c r="G293">
        <v>1346.6833495999999</v>
      </c>
      <c r="H293">
        <v>1342.8106689000001</v>
      </c>
      <c r="I293">
        <v>1313.7052002</v>
      </c>
      <c r="J293">
        <v>1305.793457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34.478437999999997</v>
      </c>
      <c r="B294" s="1">
        <f>DATE(2010,6,4) + TIME(11,28,57)</f>
        <v>40333.478437500002</v>
      </c>
      <c r="C294">
        <v>80</v>
      </c>
      <c r="D294">
        <v>79.930488585999996</v>
      </c>
      <c r="E294">
        <v>50</v>
      </c>
      <c r="F294">
        <v>14.998160362</v>
      </c>
      <c r="G294">
        <v>1346.6688231999999</v>
      </c>
      <c r="H294">
        <v>1342.7994385</v>
      </c>
      <c r="I294">
        <v>1313.7062988</v>
      </c>
      <c r="J294">
        <v>1305.7941894999999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34.674715999999997</v>
      </c>
      <c r="B295" s="1">
        <f>DATE(2010,6,4) + TIME(16,11,35)</f>
        <v>40333.674710648149</v>
      </c>
      <c r="C295">
        <v>80</v>
      </c>
      <c r="D295">
        <v>79.930480957</v>
      </c>
      <c r="E295">
        <v>50</v>
      </c>
      <c r="F295">
        <v>14.998166083999999</v>
      </c>
      <c r="G295">
        <v>1346.6594238</v>
      </c>
      <c r="H295">
        <v>1342.7921143000001</v>
      </c>
      <c r="I295">
        <v>1313.7071533000001</v>
      </c>
      <c r="J295">
        <v>1305.7949219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34.870994000000003</v>
      </c>
      <c r="B296" s="1">
        <f>DATE(2010,6,4) + TIME(20,54,13)</f>
        <v>40333.870983796296</v>
      </c>
      <c r="C296">
        <v>80</v>
      </c>
      <c r="D296">
        <v>79.930465698000006</v>
      </c>
      <c r="E296">
        <v>50</v>
      </c>
      <c r="F296">
        <v>14.998171806</v>
      </c>
      <c r="G296">
        <v>1346.6508789</v>
      </c>
      <c r="H296">
        <v>1342.7852783000001</v>
      </c>
      <c r="I296">
        <v>1313.7080077999999</v>
      </c>
      <c r="J296">
        <v>1305.7956543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35.067272000000003</v>
      </c>
      <c r="B297" s="1">
        <f>DATE(2010,6,5) + TIME(1,36,52)</f>
        <v>40334.06726851852</v>
      </c>
      <c r="C297">
        <v>80</v>
      </c>
      <c r="D297">
        <v>79.930458068999997</v>
      </c>
      <c r="E297">
        <v>50</v>
      </c>
      <c r="F297">
        <v>14.998177527999999</v>
      </c>
      <c r="G297">
        <v>1346.6425781</v>
      </c>
      <c r="H297">
        <v>1342.7788086</v>
      </c>
      <c r="I297">
        <v>1313.7087402</v>
      </c>
      <c r="J297">
        <v>1305.7962646000001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35.263550000000002</v>
      </c>
      <c r="B298" s="1">
        <f>DATE(2010,6,5) + TIME(6,19,30)</f>
        <v>40334.263541666667</v>
      </c>
      <c r="C298">
        <v>80</v>
      </c>
      <c r="D298">
        <v>79.930450438999998</v>
      </c>
      <c r="E298">
        <v>50</v>
      </c>
      <c r="F298">
        <v>14.998182297</v>
      </c>
      <c r="G298">
        <v>1346.6342772999999</v>
      </c>
      <c r="H298">
        <v>1342.7723389</v>
      </c>
      <c r="I298">
        <v>1313.7094727000001</v>
      </c>
      <c r="J298">
        <v>1305.796875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35.459828999999999</v>
      </c>
      <c r="B299" s="1">
        <f>DATE(2010,6,5) + TIME(11,2,9)</f>
        <v>40334.459826388891</v>
      </c>
      <c r="C299">
        <v>80</v>
      </c>
      <c r="D299">
        <v>79.930450438999998</v>
      </c>
      <c r="E299">
        <v>50</v>
      </c>
      <c r="F299">
        <v>14.998188019000001</v>
      </c>
      <c r="G299">
        <v>1346.6262207</v>
      </c>
      <c r="H299">
        <v>1342.7658690999999</v>
      </c>
      <c r="I299">
        <v>1313.7102050999999</v>
      </c>
      <c r="J299">
        <v>1305.7974853999999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35.656106999999999</v>
      </c>
      <c r="B300" s="1">
        <f>DATE(2010,6,5) + TIME(15,44,47)</f>
        <v>40334.656099537038</v>
      </c>
      <c r="C300">
        <v>80</v>
      </c>
      <c r="D300">
        <v>79.930442810000002</v>
      </c>
      <c r="E300">
        <v>50</v>
      </c>
      <c r="F300">
        <v>14.998192787000001</v>
      </c>
      <c r="G300">
        <v>1346.6180420000001</v>
      </c>
      <c r="H300">
        <v>1342.7595214999999</v>
      </c>
      <c r="I300">
        <v>1313.7109375</v>
      </c>
      <c r="J300">
        <v>1305.7979736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35.852384999999998</v>
      </c>
      <c r="B301" s="1">
        <f>DATE(2010,6,5) + TIME(20,27,26)</f>
        <v>40334.852384259262</v>
      </c>
      <c r="C301">
        <v>80</v>
      </c>
      <c r="D301">
        <v>79.930435181000007</v>
      </c>
      <c r="E301">
        <v>50</v>
      </c>
      <c r="F301">
        <v>14.998197555999999</v>
      </c>
      <c r="G301">
        <v>1346.6099853999999</v>
      </c>
      <c r="H301">
        <v>1342.7531738</v>
      </c>
      <c r="I301">
        <v>1313.7115478999999</v>
      </c>
      <c r="J301">
        <v>1305.7985839999999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36.048662999999998</v>
      </c>
      <c r="B302" s="1">
        <f>DATE(2010,6,6) + TIME(1,10,4)</f>
        <v>40335.048657407409</v>
      </c>
      <c r="C302">
        <v>80</v>
      </c>
      <c r="D302">
        <v>79.930427550999994</v>
      </c>
      <c r="E302">
        <v>50</v>
      </c>
      <c r="F302">
        <v>14.998203278</v>
      </c>
      <c r="G302">
        <v>1346.6020507999999</v>
      </c>
      <c r="H302">
        <v>1342.7469481999999</v>
      </c>
      <c r="I302">
        <v>1313.7122803</v>
      </c>
      <c r="J302">
        <v>1305.7991943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36.244940999999997</v>
      </c>
      <c r="B303" s="1">
        <f>DATE(2010,6,6) + TIME(5,52,42)</f>
        <v>40335.244930555556</v>
      </c>
      <c r="C303">
        <v>80</v>
      </c>
      <c r="D303">
        <v>79.930419921999999</v>
      </c>
      <c r="E303">
        <v>50</v>
      </c>
      <c r="F303">
        <v>14.998208046</v>
      </c>
      <c r="G303">
        <v>1346.5939940999999</v>
      </c>
      <c r="H303">
        <v>1342.7407227000001</v>
      </c>
      <c r="I303">
        <v>1313.7130127</v>
      </c>
      <c r="J303">
        <v>1305.7996826000001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36.441218999999997</v>
      </c>
      <c r="B304" s="1">
        <f>DATE(2010,6,6) + TIME(10,35,21)</f>
        <v>40335.44121527778</v>
      </c>
      <c r="C304">
        <v>80</v>
      </c>
      <c r="D304">
        <v>79.930419921999999</v>
      </c>
      <c r="E304">
        <v>50</v>
      </c>
      <c r="F304">
        <v>14.998212814</v>
      </c>
      <c r="G304">
        <v>1346.5860596</v>
      </c>
      <c r="H304">
        <v>1342.7344971</v>
      </c>
      <c r="I304">
        <v>1313.7137451000001</v>
      </c>
      <c r="J304">
        <v>1305.800293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36.637498000000001</v>
      </c>
      <c r="B305" s="1">
        <f>DATE(2010,6,6) + TIME(15,17,59)</f>
        <v>40335.637488425928</v>
      </c>
      <c r="C305">
        <v>80</v>
      </c>
      <c r="D305">
        <v>79.930412292</v>
      </c>
      <c r="E305">
        <v>50</v>
      </c>
      <c r="F305">
        <v>14.998217583000001</v>
      </c>
      <c r="G305">
        <v>1346.5782471</v>
      </c>
      <c r="H305">
        <v>1342.7283935999999</v>
      </c>
      <c r="I305">
        <v>1313.7144774999999</v>
      </c>
      <c r="J305">
        <v>1305.8009033000001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36.833776</v>
      </c>
      <c r="B306" s="1">
        <f>DATE(2010,6,6) + TIME(20,0,38)</f>
        <v>40335.833773148152</v>
      </c>
      <c r="C306">
        <v>80</v>
      </c>
      <c r="D306">
        <v>79.930404663000004</v>
      </c>
      <c r="E306">
        <v>50</v>
      </c>
      <c r="F306">
        <v>14.998222351000001</v>
      </c>
      <c r="G306">
        <v>1346.5704346</v>
      </c>
      <c r="H306">
        <v>1342.722168</v>
      </c>
      <c r="I306">
        <v>1313.7150879000001</v>
      </c>
      <c r="J306">
        <v>1305.8015137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37.030054</v>
      </c>
      <c r="B307" s="1">
        <f>DATE(2010,6,7) + TIME(0,43,16)</f>
        <v>40336.030046296299</v>
      </c>
      <c r="C307">
        <v>80</v>
      </c>
      <c r="D307">
        <v>79.930397033999995</v>
      </c>
      <c r="E307">
        <v>50</v>
      </c>
      <c r="F307">
        <v>14.998227118999999</v>
      </c>
      <c r="G307">
        <v>1346.5626221</v>
      </c>
      <c r="H307">
        <v>1342.7161865</v>
      </c>
      <c r="I307">
        <v>1313.7158202999999</v>
      </c>
      <c r="J307">
        <v>1305.802124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37.226331999999999</v>
      </c>
      <c r="B308" s="1">
        <f>DATE(2010,6,7) + TIME(5,25,55)</f>
        <v>40336.226331018515</v>
      </c>
      <c r="C308">
        <v>80</v>
      </c>
      <c r="D308">
        <v>79.930397033999995</v>
      </c>
      <c r="E308">
        <v>50</v>
      </c>
      <c r="F308">
        <v>14.998231887999999</v>
      </c>
      <c r="G308">
        <v>1346.5548096</v>
      </c>
      <c r="H308">
        <v>1342.7100829999999</v>
      </c>
      <c r="I308">
        <v>1313.7165527</v>
      </c>
      <c r="J308">
        <v>1305.8026123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37.618889000000003</v>
      </c>
      <c r="B309" s="1">
        <f>DATE(2010,6,7) + TIME(14,51,11)</f>
        <v>40336.618877314817</v>
      </c>
      <c r="C309">
        <v>80</v>
      </c>
      <c r="D309">
        <v>79.930404663000004</v>
      </c>
      <c r="E309">
        <v>50</v>
      </c>
      <c r="F309">
        <v>14.998239517</v>
      </c>
      <c r="G309">
        <v>1346.5460204999999</v>
      </c>
      <c r="H309">
        <v>1342.703125</v>
      </c>
      <c r="I309">
        <v>1313.7175293</v>
      </c>
      <c r="J309">
        <v>1305.8034668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38.012469000000003</v>
      </c>
      <c r="B310" s="1">
        <f>DATE(2010,6,8) + TIME(0,17,57)</f>
        <v>40337.012465277781</v>
      </c>
      <c r="C310">
        <v>80</v>
      </c>
      <c r="D310">
        <v>79.930404663000004</v>
      </c>
      <c r="E310">
        <v>50</v>
      </c>
      <c r="F310">
        <v>14.9982481</v>
      </c>
      <c r="G310">
        <v>1346.5314940999999</v>
      </c>
      <c r="H310">
        <v>1342.6918945</v>
      </c>
      <c r="I310">
        <v>1313.71875</v>
      </c>
      <c r="J310">
        <v>1305.8044434000001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38.410567</v>
      </c>
      <c r="B311" s="1">
        <f>DATE(2010,6,8) + TIME(9,51,13)</f>
        <v>40337.410567129627</v>
      </c>
      <c r="C311">
        <v>80</v>
      </c>
      <c r="D311">
        <v>79.930397033999995</v>
      </c>
      <c r="E311">
        <v>50</v>
      </c>
      <c r="F311">
        <v>14.998256682999999</v>
      </c>
      <c r="G311">
        <v>1346.5164795000001</v>
      </c>
      <c r="H311">
        <v>1342.6801757999999</v>
      </c>
      <c r="I311">
        <v>1313.7202147999999</v>
      </c>
      <c r="J311">
        <v>1305.8056641000001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38.814039000000001</v>
      </c>
      <c r="B312" s="1">
        <f>DATE(2010,6,8) + TIME(19,32,12)</f>
        <v>40337.814027777778</v>
      </c>
      <c r="C312">
        <v>80</v>
      </c>
      <c r="D312">
        <v>79.930389403999996</v>
      </c>
      <c r="E312">
        <v>50</v>
      </c>
      <c r="F312">
        <v>14.998265266000001</v>
      </c>
      <c r="G312">
        <v>1346.5012207</v>
      </c>
      <c r="H312">
        <v>1342.6683350000001</v>
      </c>
      <c r="I312">
        <v>1313.7216797000001</v>
      </c>
      <c r="J312">
        <v>1305.8067627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39.223748999999998</v>
      </c>
      <c r="B313" s="1">
        <f>DATE(2010,6,9) + TIME(5,22,11)</f>
        <v>40338.223738425928</v>
      </c>
      <c r="C313">
        <v>80</v>
      </c>
      <c r="D313">
        <v>79.930381775000001</v>
      </c>
      <c r="E313">
        <v>50</v>
      </c>
      <c r="F313">
        <v>14.998274802999999</v>
      </c>
      <c r="G313">
        <v>1346.4859618999999</v>
      </c>
      <c r="H313">
        <v>1342.6564940999999</v>
      </c>
      <c r="I313">
        <v>1313.7232666</v>
      </c>
      <c r="J313">
        <v>1305.8081055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39.640613000000002</v>
      </c>
      <c r="B314" s="1">
        <f>DATE(2010,6,9) + TIME(15,22,28)</f>
        <v>40338.640601851854</v>
      </c>
      <c r="C314">
        <v>80</v>
      </c>
      <c r="D314">
        <v>79.930374146000005</v>
      </c>
      <c r="E314">
        <v>50</v>
      </c>
      <c r="F314">
        <v>14.998283386000001</v>
      </c>
      <c r="G314">
        <v>1346.4704589999999</v>
      </c>
      <c r="H314">
        <v>1342.6445312000001</v>
      </c>
      <c r="I314">
        <v>1313.7247314000001</v>
      </c>
      <c r="J314">
        <v>1305.8093262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40.065724000000003</v>
      </c>
      <c r="B315" s="1">
        <f>DATE(2010,6,10) + TIME(1,34,38)</f>
        <v>40339.065717592595</v>
      </c>
      <c r="C315">
        <v>80</v>
      </c>
      <c r="D315">
        <v>79.930366516000007</v>
      </c>
      <c r="E315">
        <v>50</v>
      </c>
      <c r="F315">
        <v>14.998292922999999</v>
      </c>
      <c r="G315">
        <v>1346.4549560999999</v>
      </c>
      <c r="H315">
        <v>1342.6323242000001</v>
      </c>
      <c r="I315">
        <v>1313.7263184000001</v>
      </c>
      <c r="J315">
        <v>1305.8105469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40.281435999999999</v>
      </c>
      <c r="B316" s="1">
        <f>DATE(2010,6,10) + TIME(6,45,16)</f>
        <v>40339.281435185185</v>
      </c>
      <c r="C316">
        <v>80</v>
      </c>
      <c r="D316">
        <v>79.930343628000003</v>
      </c>
      <c r="E316">
        <v>50</v>
      </c>
      <c r="F316">
        <v>14.998298645</v>
      </c>
      <c r="G316">
        <v>1346.4410399999999</v>
      </c>
      <c r="H316">
        <v>1342.6217041</v>
      </c>
      <c r="I316">
        <v>1313.7275391000001</v>
      </c>
      <c r="J316">
        <v>1305.8115233999999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40.496882999999997</v>
      </c>
      <c r="B317" s="1">
        <f>DATE(2010,6,10) + TIME(11,55,30)</f>
        <v>40339.496874999997</v>
      </c>
      <c r="C317">
        <v>80</v>
      </c>
      <c r="D317">
        <v>79.930328368999994</v>
      </c>
      <c r="E317">
        <v>50</v>
      </c>
      <c r="F317">
        <v>14.998304366999999</v>
      </c>
      <c r="G317">
        <v>1346.4320068</v>
      </c>
      <c r="H317">
        <v>1342.614624</v>
      </c>
      <c r="I317">
        <v>1313.7286377</v>
      </c>
      <c r="J317">
        <v>1305.8123779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40.711848000000003</v>
      </c>
      <c r="B318" s="1">
        <f>DATE(2010,6,10) + TIME(17,5,3)</f>
        <v>40339.711840277778</v>
      </c>
      <c r="C318">
        <v>80</v>
      </c>
      <c r="D318">
        <v>79.930320739999999</v>
      </c>
      <c r="E318">
        <v>50</v>
      </c>
      <c r="F318">
        <v>14.998310089</v>
      </c>
      <c r="G318">
        <v>1346.4237060999999</v>
      </c>
      <c r="H318">
        <v>1342.6081543</v>
      </c>
      <c r="I318">
        <v>1313.7296143000001</v>
      </c>
      <c r="J318">
        <v>1305.8132324000001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40.926416000000003</v>
      </c>
      <c r="B319" s="1">
        <f>DATE(2010,6,10) + TIME(22,14,2)</f>
        <v>40339.926412037035</v>
      </c>
      <c r="C319">
        <v>80</v>
      </c>
      <c r="D319">
        <v>79.930320739999999</v>
      </c>
      <c r="E319">
        <v>50</v>
      </c>
      <c r="F319">
        <v>14.998314857</v>
      </c>
      <c r="G319">
        <v>1346.4157714999999</v>
      </c>
      <c r="H319">
        <v>1342.6019286999999</v>
      </c>
      <c r="I319">
        <v>1313.7304687999999</v>
      </c>
      <c r="J319">
        <v>1305.8139647999999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41.140712999999998</v>
      </c>
      <c r="B320" s="1">
        <f>DATE(2010,6,11) + TIME(3,22,37)</f>
        <v>40340.140706018516</v>
      </c>
      <c r="C320">
        <v>80</v>
      </c>
      <c r="D320">
        <v>79.93031311</v>
      </c>
      <c r="E320">
        <v>50</v>
      </c>
      <c r="F320">
        <v>14.99832058</v>
      </c>
      <c r="G320">
        <v>1346.4078368999999</v>
      </c>
      <c r="H320">
        <v>1342.5958252</v>
      </c>
      <c r="I320">
        <v>1313.7313231999999</v>
      </c>
      <c r="J320">
        <v>1305.8145752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41.354860000000002</v>
      </c>
      <c r="B321" s="1">
        <f>DATE(2010,6,11) + TIME(8,30,59)</f>
        <v>40340.354849537034</v>
      </c>
      <c r="C321">
        <v>80</v>
      </c>
      <c r="D321">
        <v>79.930305481000005</v>
      </c>
      <c r="E321">
        <v>50</v>
      </c>
      <c r="F321">
        <v>14.998325348</v>
      </c>
      <c r="G321">
        <v>1346.4000243999999</v>
      </c>
      <c r="H321">
        <v>1342.5897216999999</v>
      </c>
      <c r="I321">
        <v>1313.7320557</v>
      </c>
      <c r="J321">
        <v>1305.8153076000001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41.568947000000001</v>
      </c>
      <c r="B322" s="1">
        <f>DATE(2010,6,11) + TIME(13,39,17)</f>
        <v>40340.56894675926</v>
      </c>
      <c r="C322">
        <v>80</v>
      </c>
      <c r="D322">
        <v>79.930305481000005</v>
      </c>
      <c r="E322">
        <v>50</v>
      </c>
      <c r="F322">
        <v>14.998330116</v>
      </c>
      <c r="G322">
        <v>1346.3923339999999</v>
      </c>
      <c r="H322">
        <v>1342.5836182</v>
      </c>
      <c r="I322">
        <v>1313.7329102000001</v>
      </c>
      <c r="J322">
        <v>1305.815918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41.783034000000001</v>
      </c>
      <c r="B323" s="1">
        <f>DATE(2010,6,11) + TIME(18,47,34)</f>
        <v>40340.783032407409</v>
      </c>
      <c r="C323">
        <v>80</v>
      </c>
      <c r="D323">
        <v>79.930297851999995</v>
      </c>
      <c r="E323">
        <v>50</v>
      </c>
      <c r="F323">
        <v>14.998334885</v>
      </c>
      <c r="G323">
        <v>1346.3846435999999</v>
      </c>
      <c r="H323">
        <v>1342.5776367000001</v>
      </c>
      <c r="I323">
        <v>1313.7337646000001</v>
      </c>
      <c r="J323">
        <v>1305.8166504000001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41.997120000000002</v>
      </c>
      <c r="B324" s="1">
        <f>DATE(2010,6,11) + TIME(23,55,51)</f>
        <v>40340.997118055559</v>
      </c>
      <c r="C324">
        <v>80</v>
      </c>
      <c r="D324">
        <v>79.930297851999995</v>
      </c>
      <c r="E324">
        <v>50</v>
      </c>
      <c r="F324">
        <v>14.998339653</v>
      </c>
      <c r="G324">
        <v>1346.3769531</v>
      </c>
      <c r="H324">
        <v>1342.5716553</v>
      </c>
      <c r="I324">
        <v>1313.7346190999999</v>
      </c>
      <c r="J324">
        <v>1305.8172606999999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42.211207000000002</v>
      </c>
      <c r="B325" s="1">
        <f>DATE(2010,6,12) + TIME(5,4,8)</f>
        <v>40341.2112037037</v>
      </c>
      <c r="C325">
        <v>80</v>
      </c>
      <c r="D325">
        <v>79.930297851999995</v>
      </c>
      <c r="E325">
        <v>50</v>
      </c>
      <c r="F325">
        <v>14.998344421000001</v>
      </c>
      <c r="G325">
        <v>1346.3693848</v>
      </c>
      <c r="H325">
        <v>1342.5657959</v>
      </c>
      <c r="I325">
        <v>1313.7353516000001</v>
      </c>
      <c r="J325">
        <v>1305.8178711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42.425294000000001</v>
      </c>
      <c r="B326" s="1">
        <f>DATE(2010,6,12) + TIME(10,12,25)</f>
        <v>40341.42528935185</v>
      </c>
      <c r="C326">
        <v>80</v>
      </c>
      <c r="D326">
        <v>79.930290221999996</v>
      </c>
      <c r="E326">
        <v>50</v>
      </c>
      <c r="F326">
        <v>14.998349190000001</v>
      </c>
      <c r="G326">
        <v>1346.3618164</v>
      </c>
      <c r="H326">
        <v>1342.5599365</v>
      </c>
      <c r="I326">
        <v>1313.7362060999999</v>
      </c>
      <c r="J326">
        <v>1305.8186035000001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42.639380000000003</v>
      </c>
      <c r="B327" s="1">
        <f>DATE(2010,6,12) + TIME(15,20,42)</f>
        <v>40341.639374999999</v>
      </c>
      <c r="C327">
        <v>80</v>
      </c>
      <c r="D327">
        <v>79.930290221999996</v>
      </c>
      <c r="E327">
        <v>50</v>
      </c>
      <c r="F327">
        <v>14.998353957999999</v>
      </c>
      <c r="G327">
        <v>1346.3542480000001</v>
      </c>
      <c r="H327">
        <v>1342.5540771000001</v>
      </c>
      <c r="I327">
        <v>1313.7370605000001</v>
      </c>
      <c r="J327">
        <v>1305.8192139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42.853467000000002</v>
      </c>
      <c r="B328" s="1">
        <f>DATE(2010,6,12) + TIME(20,28,59)</f>
        <v>40341.853460648148</v>
      </c>
      <c r="C328">
        <v>80</v>
      </c>
      <c r="D328">
        <v>79.930282593000001</v>
      </c>
      <c r="E328">
        <v>50</v>
      </c>
      <c r="F328">
        <v>14.998358726999999</v>
      </c>
      <c r="G328">
        <v>1346.3468018000001</v>
      </c>
      <c r="H328">
        <v>1342.5482178</v>
      </c>
      <c r="I328">
        <v>1313.7379149999999</v>
      </c>
      <c r="J328">
        <v>1305.8199463000001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43.281641</v>
      </c>
      <c r="B329" s="1">
        <f>DATE(2010,6,13) + TIME(6,45,33)</f>
        <v>40342.281631944446</v>
      </c>
      <c r="C329">
        <v>80</v>
      </c>
      <c r="D329">
        <v>79.930305481000005</v>
      </c>
      <c r="E329">
        <v>50</v>
      </c>
      <c r="F329">
        <v>14.998365401999999</v>
      </c>
      <c r="G329">
        <v>1346.3381348</v>
      </c>
      <c r="H329">
        <v>1342.5413818</v>
      </c>
      <c r="I329">
        <v>1313.7390137</v>
      </c>
      <c r="J329">
        <v>1305.8208007999999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43.711281999999997</v>
      </c>
      <c r="B330" s="1">
        <f>DATE(2010,6,13) + TIME(17,4,14)</f>
        <v>40342.711273148147</v>
      </c>
      <c r="C330">
        <v>80</v>
      </c>
      <c r="D330">
        <v>79.930305481000005</v>
      </c>
      <c r="E330">
        <v>50</v>
      </c>
      <c r="F330">
        <v>14.998373985000001</v>
      </c>
      <c r="G330">
        <v>1346.3242187999999</v>
      </c>
      <c r="H330">
        <v>1342.5306396000001</v>
      </c>
      <c r="I330">
        <v>1313.7404785000001</v>
      </c>
      <c r="J330">
        <v>1305.8220214999999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44.145609</v>
      </c>
      <c r="B331" s="1">
        <f>DATE(2010,6,14) + TIME(3,29,40)</f>
        <v>40343.145601851851</v>
      </c>
      <c r="C331">
        <v>80</v>
      </c>
      <c r="D331">
        <v>79.930297851999995</v>
      </c>
      <c r="E331">
        <v>50</v>
      </c>
      <c r="F331">
        <v>14.998382568</v>
      </c>
      <c r="G331">
        <v>1346.3096923999999</v>
      </c>
      <c r="H331">
        <v>1342.5194091999999</v>
      </c>
      <c r="I331">
        <v>1313.7420654</v>
      </c>
      <c r="J331">
        <v>1305.8233643000001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44.585582000000002</v>
      </c>
      <c r="B332" s="1">
        <f>DATE(2010,6,14) + TIME(14,3,14)</f>
        <v>40343.585578703707</v>
      </c>
      <c r="C332">
        <v>80</v>
      </c>
      <c r="D332">
        <v>79.930297851999995</v>
      </c>
      <c r="E332">
        <v>50</v>
      </c>
      <c r="F332">
        <v>14.998391151</v>
      </c>
      <c r="G332">
        <v>1346.2949219</v>
      </c>
      <c r="H332">
        <v>1342.5080565999999</v>
      </c>
      <c r="I332">
        <v>1313.7437743999999</v>
      </c>
      <c r="J332">
        <v>1305.824707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45.032181999999999</v>
      </c>
      <c r="B333" s="1">
        <f>DATE(2010,6,15) + TIME(0,46,20)</f>
        <v>40344.032175925924</v>
      </c>
      <c r="C333">
        <v>80</v>
      </c>
      <c r="D333">
        <v>79.930297851999995</v>
      </c>
      <c r="E333">
        <v>50</v>
      </c>
      <c r="F333">
        <v>14.998399733999999</v>
      </c>
      <c r="G333">
        <v>1346.2801514</v>
      </c>
      <c r="H333">
        <v>1342.496582</v>
      </c>
      <c r="I333">
        <v>1313.7456055</v>
      </c>
      <c r="J333">
        <v>1305.8261719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45.486438999999997</v>
      </c>
      <c r="B334" s="1">
        <f>DATE(2010,6,15) + TIME(11,40,28)</f>
        <v>40344.486435185187</v>
      </c>
      <c r="C334">
        <v>80</v>
      </c>
      <c r="D334">
        <v>79.930290221999996</v>
      </c>
      <c r="E334">
        <v>50</v>
      </c>
      <c r="F334">
        <v>14.998408317999999</v>
      </c>
      <c r="G334">
        <v>1346.2652588000001</v>
      </c>
      <c r="H334">
        <v>1342.4851074000001</v>
      </c>
      <c r="I334">
        <v>1313.7474365</v>
      </c>
      <c r="J334">
        <v>1305.8276367000001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45.949449999999999</v>
      </c>
      <c r="B335" s="1">
        <f>DATE(2010,6,15) + TIME(22,47,12)</f>
        <v>40344.949444444443</v>
      </c>
      <c r="C335">
        <v>80</v>
      </c>
      <c r="D335">
        <v>79.930290221999996</v>
      </c>
      <c r="E335">
        <v>50</v>
      </c>
      <c r="F335">
        <v>14.998417853999999</v>
      </c>
      <c r="G335">
        <v>1346.2501221</v>
      </c>
      <c r="H335">
        <v>1342.4733887</v>
      </c>
      <c r="I335">
        <v>1313.7492675999999</v>
      </c>
      <c r="J335">
        <v>1305.8291016000001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46.182876</v>
      </c>
      <c r="B336" s="1">
        <f>DATE(2010,6,16) + TIME(4,23,20)</f>
        <v>40345.182870370372</v>
      </c>
      <c r="C336">
        <v>80</v>
      </c>
      <c r="D336">
        <v>79.930267334000007</v>
      </c>
      <c r="E336">
        <v>50</v>
      </c>
      <c r="F336">
        <v>14.998423576</v>
      </c>
      <c r="G336">
        <v>1346.2368164</v>
      </c>
      <c r="H336">
        <v>1342.4632568</v>
      </c>
      <c r="I336">
        <v>1313.7506103999999</v>
      </c>
      <c r="J336">
        <v>1305.8302002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46.416300999999997</v>
      </c>
      <c r="B337" s="1">
        <f>DATE(2010,6,16) + TIME(9,59,28)</f>
        <v>40345.416296296295</v>
      </c>
      <c r="C337">
        <v>80</v>
      </c>
      <c r="D337">
        <v>79.930259704999997</v>
      </c>
      <c r="E337">
        <v>50</v>
      </c>
      <c r="F337">
        <v>14.998429298</v>
      </c>
      <c r="G337">
        <v>1346.2280272999999</v>
      </c>
      <c r="H337">
        <v>1342.4564209</v>
      </c>
      <c r="I337">
        <v>1313.7519531</v>
      </c>
      <c r="J337">
        <v>1305.8311768000001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46.649403999999997</v>
      </c>
      <c r="B338" s="1">
        <f>DATE(2010,6,16) + TIME(15,35,8)</f>
        <v>40345.649398148147</v>
      </c>
      <c r="C338">
        <v>80</v>
      </c>
      <c r="D338">
        <v>79.930259704999997</v>
      </c>
      <c r="E338">
        <v>50</v>
      </c>
      <c r="F338">
        <v>14.998434067</v>
      </c>
      <c r="G338">
        <v>1346.2200928</v>
      </c>
      <c r="H338">
        <v>1342.4501952999999</v>
      </c>
      <c r="I338">
        <v>1313.7529297000001</v>
      </c>
      <c r="J338">
        <v>1305.8321533000001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46.882106</v>
      </c>
      <c r="B339" s="1">
        <f>DATE(2010,6,16) + TIME(21,10,13)</f>
        <v>40345.882094907407</v>
      </c>
      <c r="C339">
        <v>80</v>
      </c>
      <c r="D339">
        <v>79.930252074999999</v>
      </c>
      <c r="E339">
        <v>50</v>
      </c>
      <c r="F339">
        <v>14.998439789000001</v>
      </c>
      <c r="G339">
        <v>1346.2124022999999</v>
      </c>
      <c r="H339">
        <v>1342.4440918</v>
      </c>
      <c r="I339">
        <v>1313.7540283000001</v>
      </c>
      <c r="J339">
        <v>1305.8328856999999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47.114538000000003</v>
      </c>
      <c r="B340" s="1">
        <f>DATE(2010,6,17) + TIME(2,44,56)</f>
        <v>40346.114537037036</v>
      </c>
      <c r="C340">
        <v>80</v>
      </c>
      <c r="D340">
        <v>79.930252074999999</v>
      </c>
      <c r="E340">
        <v>50</v>
      </c>
      <c r="F340">
        <v>14.998444556999999</v>
      </c>
      <c r="G340">
        <v>1346.2048339999999</v>
      </c>
      <c r="H340">
        <v>1342.4382324000001</v>
      </c>
      <c r="I340">
        <v>1313.7550048999999</v>
      </c>
      <c r="J340">
        <v>1305.8337402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47.346837000000001</v>
      </c>
      <c r="B341" s="1">
        <f>DATE(2010,6,17) + TIME(8,19,26)</f>
        <v>40346.346828703703</v>
      </c>
      <c r="C341">
        <v>80</v>
      </c>
      <c r="D341">
        <v>79.930252074999999</v>
      </c>
      <c r="E341">
        <v>50</v>
      </c>
      <c r="F341">
        <v>14.998449325999999</v>
      </c>
      <c r="G341">
        <v>1346.1972656</v>
      </c>
      <c r="H341">
        <v>1342.4323730000001</v>
      </c>
      <c r="I341">
        <v>1313.7558594</v>
      </c>
      <c r="J341">
        <v>1305.8344727000001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47.579126000000002</v>
      </c>
      <c r="B342" s="1">
        <f>DATE(2010,6,17) + TIME(13,53,56)</f>
        <v>40346.57912037037</v>
      </c>
      <c r="C342">
        <v>80</v>
      </c>
      <c r="D342">
        <v>79.930252074999999</v>
      </c>
      <c r="E342">
        <v>50</v>
      </c>
      <c r="F342">
        <v>14.998454094</v>
      </c>
      <c r="G342">
        <v>1346.1898193</v>
      </c>
      <c r="H342">
        <v>1342.4265137</v>
      </c>
      <c r="I342">
        <v>1313.7568358999999</v>
      </c>
      <c r="J342">
        <v>1305.8352050999999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47.811416000000001</v>
      </c>
      <c r="B343" s="1">
        <f>DATE(2010,6,17) + TIME(19,28,26)</f>
        <v>40346.811412037037</v>
      </c>
      <c r="C343">
        <v>80</v>
      </c>
      <c r="D343">
        <v>79.930252074999999</v>
      </c>
      <c r="E343">
        <v>50</v>
      </c>
      <c r="F343">
        <v>14.998458862</v>
      </c>
      <c r="G343">
        <v>1346.1823730000001</v>
      </c>
      <c r="H343">
        <v>1342.4207764</v>
      </c>
      <c r="I343">
        <v>1313.7578125</v>
      </c>
      <c r="J343">
        <v>1305.8359375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48.043705000000003</v>
      </c>
      <c r="B344" s="1">
        <f>DATE(2010,6,18) + TIME(1,2,56)</f>
        <v>40347.043703703705</v>
      </c>
      <c r="C344">
        <v>80</v>
      </c>
      <c r="D344">
        <v>79.930252074999999</v>
      </c>
      <c r="E344">
        <v>50</v>
      </c>
      <c r="F344">
        <v>14.998463631</v>
      </c>
      <c r="G344">
        <v>1346.1749268000001</v>
      </c>
      <c r="H344">
        <v>1342.4150391000001</v>
      </c>
      <c r="I344">
        <v>1313.7587891000001</v>
      </c>
      <c r="J344">
        <v>1305.8367920000001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48.275993999999997</v>
      </c>
      <c r="B345" s="1">
        <f>DATE(2010,6,18) + TIME(6,37,25)</f>
        <v>40347.275983796295</v>
      </c>
      <c r="C345">
        <v>80</v>
      </c>
      <c r="D345">
        <v>79.930244446000003</v>
      </c>
      <c r="E345">
        <v>50</v>
      </c>
      <c r="F345">
        <v>14.998468399</v>
      </c>
      <c r="G345">
        <v>1346.1676024999999</v>
      </c>
      <c r="H345">
        <v>1342.4093018000001</v>
      </c>
      <c r="I345">
        <v>1313.7597656</v>
      </c>
      <c r="J345">
        <v>1305.8375243999999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48.508284000000003</v>
      </c>
      <c r="B346" s="1">
        <f>DATE(2010,6,18) + TIME(12,11,55)</f>
        <v>40347.508275462962</v>
      </c>
      <c r="C346">
        <v>80</v>
      </c>
      <c r="D346">
        <v>79.930244446000003</v>
      </c>
      <c r="E346">
        <v>50</v>
      </c>
      <c r="F346">
        <v>14.998473167</v>
      </c>
      <c r="G346">
        <v>1346.1602783000001</v>
      </c>
      <c r="H346">
        <v>1342.4035644999999</v>
      </c>
      <c r="I346">
        <v>1313.7607422000001</v>
      </c>
      <c r="J346">
        <v>1305.8382568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48.740572999999998</v>
      </c>
      <c r="B347" s="1">
        <f>DATE(2010,6,18) + TIME(17,46,25)</f>
        <v>40347.740567129629</v>
      </c>
      <c r="C347">
        <v>80</v>
      </c>
      <c r="D347">
        <v>79.930244446000003</v>
      </c>
      <c r="E347">
        <v>50</v>
      </c>
      <c r="F347">
        <v>14.998476982</v>
      </c>
      <c r="G347">
        <v>1346.1530762</v>
      </c>
      <c r="H347">
        <v>1342.3979492000001</v>
      </c>
      <c r="I347">
        <v>1313.7617187999999</v>
      </c>
      <c r="J347">
        <v>1305.8389893000001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48.972862999999997</v>
      </c>
      <c r="B348" s="1">
        <f>DATE(2010,6,18) + TIME(23,20,55)</f>
        <v>40347.972858796296</v>
      </c>
      <c r="C348">
        <v>80</v>
      </c>
      <c r="D348">
        <v>79.930244446000003</v>
      </c>
      <c r="E348">
        <v>50</v>
      </c>
      <c r="F348">
        <v>14.99848175</v>
      </c>
      <c r="G348">
        <v>1346.1457519999999</v>
      </c>
      <c r="H348">
        <v>1342.3923339999999</v>
      </c>
      <c r="I348">
        <v>1313.7626952999999</v>
      </c>
      <c r="J348">
        <v>1305.8398437999999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49.437441999999997</v>
      </c>
      <c r="B349" s="1">
        <f>DATE(2010,6,19) + TIME(10,29,54)</f>
        <v>40348.437430555554</v>
      </c>
      <c r="C349">
        <v>80</v>
      </c>
      <c r="D349">
        <v>79.930267334000007</v>
      </c>
      <c r="E349">
        <v>50</v>
      </c>
      <c r="F349">
        <v>14.998489380000001</v>
      </c>
      <c r="G349">
        <v>1346.1374512</v>
      </c>
      <c r="H349">
        <v>1342.3857422000001</v>
      </c>
      <c r="I349">
        <v>1313.7639160000001</v>
      </c>
      <c r="J349">
        <v>1305.8408202999999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49.903475</v>
      </c>
      <c r="B350" s="1">
        <f>DATE(2010,6,19) + TIME(21,41,0)</f>
        <v>40348.90347222222</v>
      </c>
      <c r="C350">
        <v>80</v>
      </c>
      <c r="D350">
        <v>79.930274963000002</v>
      </c>
      <c r="E350">
        <v>50</v>
      </c>
      <c r="F350">
        <v>14.998497008999999</v>
      </c>
      <c r="G350">
        <v>1346.1239014</v>
      </c>
      <c r="H350">
        <v>1342.3753661999999</v>
      </c>
      <c r="I350">
        <v>1313.765625</v>
      </c>
      <c r="J350">
        <v>1305.8421631000001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50.375050999999999</v>
      </c>
      <c r="B351" s="1">
        <f>DATE(2010,6,20) + TIME(9,0,4)</f>
        <v>40349.3750462963</v>
      </c>
      <c r="C351">
        <v>80</v>
      </c>
      <c r="D351">
        <v>79.930274963000002</v>
      </c>
      <c r="E351">
        <v>50</v>
      </c>
      <c r="F351">
        <v>14.998504639</v>
      </c>
      <c r="G351">
        <v>1346.1098632999999</v>
      </c>
      <c r="H351">
        <v>1342.3645019999999</v>
      </c>
      <c r="I351">
        <v>1313.7675781</v>
      </c>
      <c r="J351">
        <v>1305.84375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50.853261000000003</v>
      </c>
      <c r="B352" s="1">
        <f>DATE(2010,6,20) + TIME(20,28,41)</f>
        <v>40349.853252314817</v>
      </c>
      <c r="C352">
        <v>80</v>
      </c>
      <c r="D352">
        <v>79.930282593000001</v>
      </c>
      <c r="E352">
        <v>50</v>
      </c>
      <c r="F352">
        <v>14.998513222</v>
      </c>
      <c r="G352">
        <v>1346.0955810999999</v>
      </c>
      <c r="H352">
        <v>1342.3535156</v>
      </c>
      <c r="I352">
        <v>1313.7695312000001</v>
      </c>
      <c r="J352">
        <v>1305.8453368999999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51.339230999999998</v>
      </c>
      <c r="B353" s="1">
        <f>DATE(2010,6,21) + TIME(8,8,29)</f>
        <v>40350.339224537034</v>
      </c>
      <c r="C353">
        <v>80</v>
      </c>
      <c r="D353">
        <v>79.930282593000001</v>
      </c>
      <c r="E353">
        <v>50</v>
      </c>
      <c r="F353">
        <v>14.998522758</v>
      </c>
      <c r="G353">
        <v>1346.0812988</v>
      </c>
      <c r="H353">
        <v>1342.3422852000001</v>
      </c>
      <c r="I353">
        <v>1313.7716064000001</v>
      </c>
      <c r="J353">
        <v>1305.8470459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51.834158000000002</v>
      </c>
      <c r="B354" s="1">
        <f>DATE(2010,6,21) + TIME(20,1,11)</f>
        <v>40350.834155092591</v>
      </c>
      <c r="C354">
        <v>80</v>
      </c>
      <c r="D354">
        <v>79.930282593000001</v>
      </c>
      <c r="E354">
        <v>50</v>
      </c>
      <c r="F354">
        <v>14.998531342</v>
      </c>
      <c r="G354">
        <v>1346.0667725000001</v>
      </c>
      <c r="H354">
        <v>1342.3311768000001</v>
      </c>
      <c r="I354">
        <v>1313.7738036999999</v>
      </c>
      <c r="J354">
        <v>1305.8486327999999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52.085551000000002</v>
      </c>
      <c r="B355" s="1">
        <f>DATE(2010,6,22) + TIME(2,3,11)</f>
        <v>40351.085543981484</v>
      </c>
      <c r="C355">
        <v>80</v>
      </c>
      <c r="D355">
        <v>79.930267334000007</v>
      </c>
      <c r="E355">
        <v>50</v>
      </c>
      <c r="F355">
        <v>14.998537064000001</v>
      </c>
      <c r="G355">
        <v>1346.0539550999999</v>
      </c>
      <c r="H355">
        <v>1342.3214111</v>
      </c>
      <c r="I355">
        <v>1313.7753906</v>
      </c>
      <c r="J355">
        <v>1305.8499756000001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52.336944000000003</v>
      </c>
      <c r="B356" s="1">
        <f>DATE(2010,6,22) + TIME(8,5,11)</f>
        <v>40351.33693287037</v>
      </c>
      <c r="C356">
        <v>80</v>
      </c>
      <c r="D356">
        <v>79.930267334000007</v>
      </c>
      <c r="E356">
        <v>50</v>
      </c>
      <c r="F356">
        <v>14.998542786</v>
      </c>
      <c r="G356">
        <v>1346.0454102000001</v>
      </c>
      <c r="H356">
        <v>1342.3146973</v>
      </c>
      <c r="I356">
        <v>1313.7768555</v>
      </c>
      <c r="J356">
        <v>1305.8511963000001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52.588337000000003</v>
      </c>
      <c r="B357" s="1">
        <f>DATE(2010,6,22) + TIME(14,7,12)</f>
        <v>40351.588333333333</v>
      </c>
      <c r="C357">
        <v>80</v>
      </c>
      <c r="D357">
        <v>79.930259704999997</v>
      </c>
      <c r="E357">
        <v>50</v>
      </c>
      <c r="F357">
        <v>14.998547554</v>
      </c>
      <c r="G357">
        <v>1346.0377197</v>
      </c>
      <c r="H357">
        <v>1342.3085937999999</v>
      </c>
      <c r="I357">
        <v>1313.7780762</v>
      </c>
      <c r="J357">
        <v>1305.8521728999999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52.839728999999998</v>
      </c>
      <c r="B358" s="1">
        <f>DATE(2010,6,22) + TIME(20,9,12)</f>
        <v>40351.839722222219</v>
      </c>
      <c r="C358">
        <v>80</v>
      </c>
      <c r="D358">
        <v>79.930259704999997</v>
      </c>
      <c r="E358">
        <v>50</v>
      </c>
      <c r="F358">
        <v>14.998552322</v>
      </c>
      <c r="G358">
        <v>1346.0301514</v>
      </c>
      <c r="H358">
        <v>1342.3027344</v>
      </c>
      <c r="I358">
        <v>1313.7792969</v>
      </c>
      <c r="J358">
        <v>1305.8530272999999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53.090864000000003</v>
      </c>
      <c r="B359" s="1">
        <f>DATE(2010,6,23) + TIME(2,10,50)</f>
        <v>40352.090856481482</v>
      </c>
      <c r="C359">
        <v>80</v>
      </c>
      <c r="D359">
        <v>79.930267334000007</v>
      </c>
      <c r="E359">
        <v>50</v>
      </c>
      <c r="F359">
        <v>14.998557091</v>
      </c>
      <c r="G359">
        <v>1346.0227050999999</v>
      </c>
      <c r="H359">
        <v>1342.2969971</v>
      </c>
      <c r="I359">
        <v>1313.7803954999999</v>
      </c>
      <c r="J359">
        <v>1305.8538818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53.341718</v>
      </c>
      <c r="B360" s="1">
        <f>DATE(2010,6,23) + TIME(8,12,4)</f>
        <v>40352.34171296296</v>
      </c>
      <c r="C360">
        <v>80</v>
      </c>
      <c r="D360">
        <v>79.930267334000007</v>
      </c>
      <c r="E360">
        <v>50</v>
      </c>
      <c r="F360">
        <v>14.998562812999999</v>
      </c>
      <c r="G360">
        <v>1346.0153809000001</v>
      </c>
      <c r="H360">
        <v>1342.2912598</v>
      </c>
      <c r="I360">
        <v>1313.7814940999999</v>
      </c>
      <c r="J360">
        <v>1305.8548584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53.592443000000003</v>
      </c>
      <c r="B361" s="1">
        <f>DATE(2010,6,23) + TIME(14,13,7)</f>
        <v>40352.592442129629</v>
      </c>
      <c r="C361">
        <v>80</v>
      </c>
      <c r="D361">
        <v>79.930267334000007</v>
      </c>
      <c r="E361">
        <v>50</v>
      </c>
      <c r="F361">
        <v>14.998566628000001</v>
      </c>
      <c r="G361">
        <v>1346.0081786999999</v>
      </c>
      <c r="H361">
        <v>1342.2856445</v>
      </c>
      <c r="I361">
        <v>1313.7825928</v>
      </c>
      <c r="J361">
        <v>1305.8557129000001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53.843145999999997</v>
      </c>
      <c r="B362" s="1">
        <f>DATE(2010,6,23) + TIME(20,14,7)</f>
        <v>40352.843136574076</v>
      </c>
      <c r="C362">
        <v>80</v>
      </c>
      <c r="D362">
        <v>79.930267334000007</v>
      </c>
      <c r="E362">
        <v>50</v>
      </c>
      <c r="F362">
        <v>14.998571395999999</v>
      </c>
      <c r="G362">
        <v>1346.0008545000001</v>
      </c>
      <c r="H362">
        <v>1342.2800293</v>
      </c>
      <c r="I362">
        <v>1313.7836914</v>
      </c>
      <c r="J362">
        <v>1305.8565673999999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54.093848999999999</v>
      </c>
      <c r="B363" s="1">
        <f>DATE(2010,6,24) + TIME(2,15,8)</f>
        <v>40353.093842592592</v>
      </c>
      <c r="C363">
        <v>80</v>
      </c>
      <c r="D363">
        <v>79.930267334000007</v>
      </c>
      <c r="E363">
        <v>50</v>
      </c>
      <c r="F363">
        <v>14.998576163999999</v>
      </c>
      <c r="G363">
        <v>1345.9936522999999</v>
      </c>
      <c r="H363">
        <v>1342.2744141000001</v>
      </c>
      <c r="I363">
        <v>1313.7847899999999</v>
      </c>
      <c r="J363">
        <v>1305.8574219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54.344552</v>
      </c>
      <c r="B364" s="1">
        <f>DATE(2010,6,24) + TIME(8,16,9)</f>
        <v>40353.344548611109</v>
      </c>
      <c r="C364">
        <v>80</v>
      </c>
      <c r="D364">
        <v>79.930274963000002</v>
      </c>
      <c r="E364">
        <v>50</v>
      </c>
      <c r="F364">
        <v>14.998580933</v>
      </c>
      <c r="G364">
        <v>1345.9865723</v>
      </c>
      <c r="H364">
        <v>1342.2687988</v>
      </c>
      <c r="I364">
        <v>1313.7858887</v>
      </c>
      <c r="J364">
        <v>1305.8582764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54.595255000000002</v>
      </c>
      <c r="B365" s="1">
        <f>DATE(2010,6,24) + TIME(14,17,10)</f>
        <v>40353.595254629632</v>
      </c>
      <c r="C365">
        <v>80</v>
      </c>
      <c r="D365">
        <v>79.930274963000002</v>
      </c>
      <c r="E365">
        <v>50</v>
      </c>
      <c r="F365">
        <v>14.998585701</v>
      </c>
      <c r="G365">
        <v>1345.9793701000001</v>
      </c>
      <c r="H365">
        <v>1342.2633057</v>
      </c>
      <c r="I365">
        <v>1313.7869873</v>
      </c>
      <c r="J365">
        <v>1305.8592529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54.845958000000003</v>
      </c>
      <c r="B366" s="1">
        <f>DATE(2010,6,24) + TIME(20,18,10)</f>
        <v>40353.845949074072</v>
      </c>
      <c r="C366">
        <v>80</v>
      </c>
      <c r="D366">
        <v>79.930274963000002</v>
      </c>
      <c r="E366">
        <v>50</v>
      </c>
      <c r="F366">
        <v>14.998590469</v>
      </c>
      <c r="G366">
        <v>1345.9722899999999</v>
      </c>
      <c r="H366">
        <v>1342.2578125</v>
      </c>
      <c r="I366">
        <v>1313.7882079999999</v>
      </c>
      <c r="J366">
        <v>1305.8601074000001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55.096660999999997</v>
      </c>
      <c r="B367" s="1">
        <f>DATE(2010,6,25) + TIME(2,19,11)</f>
        <v>40354.096655092595</v>
      </c>
      <c r="C367">
        <v>80</v>
      </c>
      <c r="D367">
        <v>79.930282593000001</v>
      </c>
      <c r="E367">
        <v>50</v>
      </c>
      <c r="F367">
        <v>14.998594283999999</v>
      </c>
      <c r="G367">
        <v>1345.9652100000001</v>
      </c>
      <c r="H367">
        <v>1342.2523193</v>
      </c>
      <c r="I367">
        <v>1313.7893065999999</v>
      </c>
      <c r="J367">
        <v>1305.8609618999999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55.347363999999999</v>
      </c>
      <c r="B368" s="1">
        <f>DATE(2010,6,25) + TIME(8,20,12)</f>
        <v>40354.347361111111</v>
      </c>
      <c r="C368">
        <v>80</v>
      </c>
      <c r="D368">
        <v>79.930282593000001</v>
      </c>
      <c r="E368">
        <v>50</v>
      </c>
      <c r="F368">
        <v>14.998599051999999</v>
      </c>
      <c r="G368">
        <v>1345.9581298999999</v>
      </c>
      <c r="H368">
        <v>1342.2468262</v>
      </c>
      <c r="I368">
        <v>1313.7904053</v>
      </c>
      <c r="J368">
        <v>1305.8619385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55.848768999999997</v>
      </c>
      <c r="B369" s="1">
        <f>DATE(2010,6,25) + TIME(20,22,13)</f>
        <v>40354.848761574074</v>
      </c>
      <c r="C369">
        <v>80</v>
      </c>
      <c r="D369">
        <v>79.930305481000005</v>
      </c>
      <c r="E369">
        <v>50</v>
      </c>
      <c r="F369">
        <v>14.998605727999999</v>
      </c>
      <c r="G369">
        <v>1345.9499512</v>
      </c>
      <c r="H369">
        <v>1342.2403564000001</v>
      </c>
      <c r="I369">
        <v>1313.7918701000001</v>
      </c>
      <c r="J369">
        <v>1305.8630370999999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56.350914000000003</v>
      </c>
      <c r="B370" s="1">
        <f>DATE(2010,6,26) + TIME(8,25,18)</f>
        <v>40355.350902777776</v>
      </c>
      <c r="C370">
        <v>80</v>
      </c>
      <c r="D370">
        <v>79.930320739999999</v>
      </c>
      <c r="E370">
        <v>50</v>
      </c>
      <c r="F370">
        <v>14.998613358</v>
      </c>
      <c r="G370">
        <v>1345.9368896000001</v>
      </c>
      <c r="H370">
        <v>1342.2302245999999</v>
      </c>
      <c r="I370">
        <v>1313.7939452999999</v>
      </c>
      <c r="J370">
        <v>1305.864624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56.859271999999997</v>
      </c>
      <c r="B371" s="1">
        <f>DATE(2010,6,26) + TIME(20,37,21)</f>
        <v>40355.859270833331</v>
      </c>
      <c r="C371">
        <v>80</v>
      </c>
      <c r="D371">
        <v>79.930328368999994</v>
      </c>
      <c r="E371">
        <v>50</v>
      </c>
      <c r="F371">
        <v>14.998621941</v>
      </c>
      <c r="G371">
        <v>1345.9232178</v>
      </c>
      <c r="H371">
        <v>1342.2197266000001</v>
      </c>
      <c r="I371">
        <v>1313.7961425999999</v>
      </c>
      <c r="J371">
        <v>1305.8664550999999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57.375048</v>
      </c>
      <c r="B372" s="1">
        <f>DATE(2010,6,27) + TIME(9,0,4)</f>
        <v>40356.3750462963</v>
      </c>
      <c r="C372">
        <v>80</v>
      </c>
      <c r="D372">
        <v>79.930335998999993</v>
      </c>
      <c r="E372">
        <v>50</v>
      </c>
      <c r="F372">
        <v>14.998630523999999</v>
      </c>
      <c r="G372">
        <v>1345.9094238</v>
      </c>
      <c r="H372">
        <v>1342.2089844</v>
      </c>
      <c r="I372">
        <v>1313.7985839999999</v>
      </c>
      <c r="J372">
        <v>1305.8682861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57.899503000000003</v>
      </c>
      <c r="B373" s="1">
        <f>DATE(2010,6,27) + TIME(21,35,17)</f>
        <v>40356.899502314816</v>
      </c>
      <c r="C373">
        <v>80</v>
      </c>
      <c r="D373">
        <v>79.930343628000003</v>
      </c>
      <c r="E373">
        <v>50</v>
      </c>
      <c r="F373">
        <v>14.998639107000001</v>
      </c>
      <c r="G373">
        <v>1345.8953856999999</v>
      </c>
      <c r="H373">
        <v>1342.1981201000001</v>
      </c>
      <c r="I373">
        <v>1313.8010254000001</v>
      </c>
      <c r="J373">
        <v>1305.8702393000001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58.433979999999998</v>
      </c>
      <c r="B374" s="1">
        <f>DATE(2010,6,28) + TIME(10,24,55)</f>
        <v>40357.433969907404</v>
      </c>
      <c r="C374">
        <v>80</v>
      </c>
      <c r="D374">
        <v>79.930351256999998</v>
      </c>
      <c r="E374">
        <v>50</v>
      </c>
      <c r="F374">
        <v>14.99864769</v>
      </c>
      <c r="G374">
        <v>1345.8813477000001</v>
      </c>
      <c r="H374">
        <v>1342.1871338000001</v>
      </c>
      <c r="I374">
        <v>1313.8034668</v>
      </c>
      <c r="J374">
        <v>1305.8720702999999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58.704337000000002</v>
      </c>
      <c r="B375" s="1">
        <f>DATE(2010,6,28) + TIME(16,54,14)</f>
        <v>40357.704328703701</v>
      </c>
      <c r="C375">
        <v>80</v>
      </c>
      <c r="D375">
        <v>79.930343628000003</v>
      </c>
      <c r="E375">
        <v>50</v>
      </c>
      <c r="F375">
        <v>14.998653411999999</v>
      </c>
      <c r="G375">
        <v>1345.8688964999999</v>
      </c>
      <c r="H375">
        <v>1342.1777344</v>
      </c>
      <c r="I375">
        <v>1313.8054199000001</v>
      </c>
      <c r="J375">
        <v>1305.8736572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58.974235999999998</v>
      </c>
      <c r="B376" s="1">
        <f>DATE(2010,6,28) + TIME(23,22,53)</f>
        <v>40357.974224537036</v>
      </c>
      <c r="C376">
        <v>80</v>
      </c>
      <c r="D376">
        <v>79.930335998999993</v>
      </c>
      <c r="E376">
        <v>50</v>
      </c>
      <c r="F376">
        <v>14.998659134</v>
      </c>
      <c r="G376">
        <v>1345.8605957</v>
      </c>
      <c r="H376">
        <v>1342.1711425999999</v>
      </c>
      <c r="I376">
        <v>1313.8071289</v>
      </c>
      <c r="J376">
        <v>1305.875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59.243515000000002</v>
      </c>
      <c r="B377" s="1">
        <f>DATE(2010,6,29) + TIME(5,50,39)</f>
        <v>40358.243506944447</v>
      </c>
      <c r="C377">
        <v>80</v>
      </c>
      <c r="D377">
        <v>79.930343628000003</v>
      </c>
      <c r="E377">
        <v>50</v>
      </c>
      <c r="F377">
        <v>14.998664856</v>
      </c>
      <c r="G377">
        <v>1345.8530272999999</v>
      </c>
      <c r="H377">
        <v>1342.1652832</v>
      </c>
      <c r="I377">
        <v>1313.8085937999999</v>
      </c>
      <c r="J377">
        <v>1305.8760986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59.512303000000003</v>
      </c>
      <c r="B378" s="1">
        <f>DATE(2010,6,29) + TIME(12,17,42)</f>
        <v>40358.512291666666</v>
      </c>
      <c r="C378">
        <v>80</v>
      </c>
      <c r="D378">
        <v>79.930343628000003</v>
      </c>
      <c r="E378">
        <v>50</v>
      </c>
      <c r="F378">
        <v>14.998669624</v>
      </c>
      <c r="G378">
        <v>1345.8457031</v>
      </c>
      <c r="H378">
        <v>1342.1595459</v>
      </c>
      <c r="I378">
        <v>1313.8099365</v>
      </c>
      <c r="J378">
        <v>1305.8771973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59.780765000000002</v>
      </c>
      <c r="B379" s="1">
        <f>DATE(2010,6,29) + TIME(18,44,18)</f>
        <v>40358.780763888892</v>
      </c>
      <c r="C379">
        <v>80</v>
      </c>
      <c r="D379">
        <v>79.930351256999998</v>
      </c>
      <c r="E379">
        <v>50</v>
      </c>
      <c r="F379">
        <v>14.998674393</v>
      </c>
      <c r="G379">
        <v>1345.8386230000001</v>
      </c>
      <c r="H379">
        <v>1342.1539307</v>
      </c>
      <c r="I379">
        <v>1313.8111572</v>
      </c>
      <c r="J379">
        <v>1305.8781738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60.049072000000002</v>
      </c>
      <c r="B380" s="1">
        <f>DATE(2010,6,30) + TIME(1,10,39)</f>
        <v>40359.049062500002</v>
      </c>
      <c r="C380">
        <v>80</v>
      </c>
      <c r="D380">
        <v>79.930351256999998</v>
      </c>
      <c r="E380">
        <v>50</v>
      </c>
      <c r="F380">
        <v>14.998679161</v>
      </c>
      <c r="G380">
        <v>1345.831543</v>
      </c>
      <c r="H380">
        <v>1342.1484375</v>
      </c>
      <c r="I380">
        <v>1313.8125</v>
      </c>
      <c r="J380">
        <v>1305.8791504000001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60.317357999999999</v>
      </c>
      <c r="B381" s="1">
        <f>DATE(2010,6,30) + TIME(7,36,59)</f>
        <v>40359.317349537036</v>
      </c>
      <c r="C381">
        <v>80</v>
      </c>
      <c r="D381">
        <v>79.930358886999997</v>
      </c>
      <c r="E381">
        <v>50</v>
      </c>
      <c r="F381">
        <v>14.998683929</v>
      </c>
      <c r="G381">
        <v>1345.8244629000001</v>
      </c>
      <c r="H381">
        <v>1342.1429443</v>
      </c>
      <c r="I381">
        <v>1313.8137207</v>
      </c>
      <c r="J381">
        <v>1305.880249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60.585644000000002</v>
      </c>
      <c r="B382" s="1">
        <f>DATE(2010,6,30) + TIME(14,3,19)</f>
        <v>40359.585636574076</v>
      </c>
      <c r="C382">
        <v>80</v>
      </c>
      <c r="D382">
        <v>79.930358886999997</v>
      </c>
      <c r="E382">
        <v>50</v>
      </c>
      <c r="F382">
        <v>14.998688698</v>
      </c>
      <c r="G382">
        <v>1345.8173827999999</v>
      </c>
      <c r="H382">
        <v>1342.1374512</v>
      </c>
      <c r="I382">
        <v>1313.8150635</v>
      </c>
      <c r="J382">
        <v>1305.8812256000001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61</v>
      </c>
      <c r="B383" s="1">
        <f>DATE(2010,7,1) + TIME(0,0,0)</f>
        <v>40360</v>
      </c>
      <c r="C383">
        <v>80</v>
      </c>
      <c r="D383">
        <v>79.930381775000001</v>
      </c>
      <c r="E383">
        <v>50</v>
      </c>
      <c r="F383">
        <v>14.99869442</v>
      </c>
      <c r="G383">
        <v>1345.8096923999999</v>
      </c>
      <c r="H383">
        <v>1342.1313477000001</v>
      </c>
      <c r="I383">
        <v>1313.8165283000001</v>
      </c>
      <c r="J383">
        <v>1305.8824463000001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61.268286000000003</v>
      </c>
      <c r="B384" s="1">
        <f>DATE(2010,7,1) + TIME(6,26,19)</f>
        <v>40360.268275462964</v>
      </c>
      <c r="C384">
        <v>80</v>
      </c>
      <c r="D384">
        <v>79.930374146000005</v>
      </c>
      <c r="E384">
        <v>50</v>
      </c>
      <c r="F384">
        <v>14.998699188</v>
      </c>
      <c r="G384">
        <v>1345.8004149999999</v>
      </c>
      <c r="H384">
        <v>1342.1242675999999</v>
      </c>
      <c r="I384">
        <v>1313.8181152</v>
      </c>
      <c r="J384">
        <v>1305.8836670000001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61.536572</v>
      </c>
      <c r="B385" s="1">
        <f>DATE(2010,7,1) + TIME(12,52,39)</f>
        <v>40360.536562499998</v>
      </c>
      <c r="C385">
        <v>80</v>
      </c>
      <c r="D385">
        <v>79.930381775000001</v>
      </c>
      <c r="E385">
        <v>50</v>
      </c>
      <c r="F385">
        <v>14.998703957</v>
      </c>
      <c r="G385">
        <v>1345.7930908000001</v>
      </c>
      <c r="H385">
        <v>1342.1185303</v>
      </c>
      <c r="I385">
        <v>1313.8195800999999</v>
      </c>
      <c r="J385">
        <v>1305.8847656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62.073143000000002</v>
      </c>
      <c r="B386" s="1">
        <f>DATE(2010,7,2) + TIME(1,45,19)</f>
        <v>40361.073136574072</v>
      </c>
      <c r="C386">
        <v>80</v>
      </c>
      <c r="D386">
        <v>79.930412292</v>
      </c>
      <c r="E386">
        <v>50</v>
      </c>
      <c r="F386">
        <v>14.998711586000001</v>
      </c>
      <c r="G386">
        <v>1345.7849120999999</v>
      </c>
      <c r="H386">
        <v>1342.1120605000001</v>
      </c>
      <c r="I386">
        <v>1313.8212891000001</v>
      </c>
      <c r="J386">
        <v>1305.8861084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62.610536000000003</v>
      </c>
      <c r="B387" s="1">
        <f>DATE(2010,7,2) + TIME(14,39,10)</f>
        <v>40361.610532407409</v>
      </c>
      <c r="C387">
        <v>80</v>
      </c>
      <c r="D387">
        <v>79.930427550999994</v>
      </c>
      <c r="E387">
        <v>50</v>
      </c>
      <c r="F387">
        <v>14.998719214999999</v>
      </c>
      <c r="G387">
        <v>1345.7720947</v>
      </c>
      <c r="H387">
        <v>1342.1021728999999</v>
      </c>
      <c r="I387">
        <v>1313.8237305</v>
      </c>
      <c r="J387">
        <v>1305.8879394999999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63.153547000000003</v>
      </c>
      <c r="B388" s="1">
        <f>DATE(2010,7,3) + TIME(3,41,6)</f>
        <v>40362.153541666667</v>
      </c>
      <c r="C388">
        <v>80</v>
      </c>
      <c r="D388">
        <v>79.930442810000002</v>
      </c>
      <c r="E388">
        <v>50</v>
      </c>
      <c r="F388">
        <v>14.998727798000001</v>
      </c>
      <c r="G388">
        <v>1345.7587891000001</v>
      </c>
      <c r="H388">
        <v>1342.0917969</v>
      </c>
      <c r="I388">
        <v>1313.8264160000001</v>
      </c>
      <c r="J388">
        <v>1305.8900146000001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63.703474999999997</v>
      </c>
      <c r="B389" s="1">
        <f>DATE(2010,7,3) + TIME(16,53,0)</f>
        <v>40362.703472222223</v>
      </c>
      <c r="C389">
        <v>80</v>
      </c>
      <c r="D389">
        <v>79.930450438999998</v>
      </c>
      <c r="E389">
        <v>50</v>
      </c>
      <c r="F389">
        <v>14.998736382000001</v>
      </c>
      <c r="G389">
        <v>1345.7452393000001</v>
      </c>
      <c r="H389">
        <v>1342.0812988</v>
      </c>
      <c r="I389">
        <v>1313.8291016000001</v>
      </c>
      <c r="J389">
        <v>1305.8922118999999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64.261660000000006</v>
      </c>
      <c r="B390" s="1">
        <f>DATE(2010,7,4) + TIME(6,16,47)</f>
        <v>40363.261655092596</v>
      </c>
      <c r="C390">
        <v>80</v>
      </c>
      <c r="D390">
        <v>79.930465698000006</v>
      </c>
      <c r="E390">
        <v>50</v>
      </c>
      <c r="F390">
        <v>14.998745917999999</v>
      </c>
      <c r="G390">
        <v>1345.7315673999999</v>
      </c>
      <c r="H390">
        <v>1342.0706786999999</v>
      </c>
      <c r="I390">
        <v>1313.8319091999999</v>
      </c>
      <c r="J390">
        <v>1305.8942870999999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64.829418000000004</v>
      </c>
      <c r="B391" s="1">
        <f>DATE(2010,7,4) + TIME(19,54,21)</f>
        <v>40363.829409722224</v>
      </c>
      <c r="C391">
        <v>80</v>
      </c>
      <c r="D391">
        <v>79.930480957</v>
      </c>
      <c r="E391">
        <v>50</v>
      </c>
      <c r="F391">
        <v>14.998754501000001</v>
      </c>
      <c r="G391">
        <v>1345.7177733999999</v>
      </c>
      <c r="H391">
        <v>1342.0599365</v>
      </c>
      <c r="I391">
        <v>1313.8348389</v>
      </c>
      <c r="J391">
        <v>1305.8966064000001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65.402214999999998</v>
      </c>
      <c r="B392" s="1">
        <f>DATE(2010,7,5) + TIME(9,39,11)</f>
        <v>40364.40221064815</v>
      </c>
      <c r="C392">
        <v>80</v>
      </c>
      <c r="D392">
        <v>79.930496215999995</v>
      </c>
      <c r="E392">
        <v>50</v>
      </c>
      <c r="F392">
        <v>14.998764037999999</v>
      </c>
      <c r="G392">
        <v>1345.7038574000001</v>
      </c>
      <c r="H392">
        <v>1342.0490723</v>
      </c>
      <c r="I392">
        <v>1313.8377685999999</v>
      </c>
      <c r="J392">
        <v>1305.8988036999999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65.689809999999994</v>
      </c>
      <c r="B393" s="1">
        <f>DATE(2010,7,5) + TIME(16,33,19)</f>
        <v>40364.689803240741</v>
      </c>
      <c r="C393">
        <v>80</v>
      </c>
      <c r="D393">
        <v>79.930488585999996</v>
      </c>
      <c r="E393">
        <v>50</v>
      </c>
      <c r="F393">
        <v>14.998770714000001</v>
      </c>
      <c r="G393">
        <v>1345.6918945</v>
      </c>
      <c r="H393">
        <v>1342.0399170000001</v>
      </c>
      <c r="I393">
        <v>1313.8402100000001</v>
      </c>
      <c r="J393">
        <v>1305.9007568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65.975876</v>
      </c>
      <c r="B394" s="1">
        <f>DATE(2010,7,5) + TIME(23,25,15)</f>
        <v>40364.975868055553</v>
      </c>
      <c r="C394">
        <v>80</v>
      </c>
      <c r="D394">
        <v>79.930488585999996</v>
      </c>
      <c r="E394">
        <v>50</v>
      </c>
      <c r="F394">
        <v>14.998776436</v>
      </c>
      <c r="G394">
        <v>1345.6838379000001</v>
      </c>
      <c r="H394">
        <v>1342.0335693</v>
      </c>
      <c r="I394">
        <v>1313.8421631000001</v>
      </c>
      <c r="J394">
        <v>1305.9022216999999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66.261619999999994</v>
      </c>
      <c r="B395" s="1">
        <f>DATE(2010,7,6) + TIME(6,16,43)</f>
        <v>40365.261608796296</v>
      </c>
      <c r="C395">
        <v>80</v>
      </c>
      <c r="D395">
        <v>79.930488585999996</v>
      </c>
      <c r="E395">
        <v>50</v>
      </c>
      <c r="F395">
        <v>14.998782157999999</v>
      </c>
      <c r="G395">
        <v>1345.6765137</v>
      </c>
      <c r="H395">
        <v>1342.027832</v>
      </c>
      <c r="I395">
        <v>1313.84375</v>
      </c>
      <c r="J395">
        <v>1305.9034423999999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66.547171000000006</v>
      </c>
      <c r="B396" s="1">
        <f>DATE(2010,7,6) + TIME(13,7,55)</f>
        <v>40365.547164351854</v>
      </c>
      <c r="C396">
        <v>80</v>
      </c>
      <c r="D396">
        <v>79.930496215999995</v>
      </c>
      <c r="E396">
        <v>50</v>
      </c>
      <c r="F396">
        <v>14.998786925999999</v>
      </c>
      <c r="G396">
        <v>1345.6694336</v>
      </c>
      <c r="H396">
        <v>1342.0223389</v>
      </c>
      <c r="I396">
        <v>1313.8453368999999</v>
      </c>
      <c r="J396">
        <v>1305.9046631000001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66.832704000000007</v>
      </c>
      <c r="B397" s="1">
        <f>DATE(2010,7,6) + TIME(19,59,5)</f>
        <v>40365.832696759258</v>
      </c>
      <c r="C397">
        <v>80</v>
      </c>
      <c r="D397">
        <v>79.930503845000004</v>
      </c>
      <c r="E397">
        <v>50</v>
      </c>
      <c r="F397">
        <v>14.998792648</v>
      </c>
      <c r="G397">
        <v>1345.6625977000001</v>
      </c>
      <c r="H397">
        <v>1342.0168457</v>
      </c>
      <c r="I397">
        <v>1313.8468018000001</v>
      </c>
      <c r="J397">
        <v>1305.9058838000001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67.118235999999996</v>
      </c>
      <c r="B398" s="1">
        <f>DATE(2010,7,7) + TIME(2,50,15)</f>
        <v>40366.11822916667</v>
      </c>
      <c r="C398">
        <v>80</v>
      </c>
      <c r="D398">
        <v>79.930511475000003</v>
      </c>
      <c r="E398">
        <v>50</v>
      </c>
      <c r="F398">
        <v>14.998797417</v>
      </c>
      <c r="G398">
        <v>1345.6556396000001</v>
      </c>
      <c r="H398">
        <v>1342.0114745999999</v>
      </c>
      <c r="I398">
        <v>1313.8483887</v>
      </c>
      <c r="J398">
        <v>1305.9069824000001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67.403768999999997</v>
      </c>
      <c r="B399" s="1">
        <f>DATE(2010,7,7) + TIME(9,41,25)</f>
        <v>40366.403761574074</v>
      </c>
      <c r="C399">
        <v>80</v>
      </c>
      <c r="D399">
        <v>79.930519103999998</v>
      </c>
      <c r="E399">
        <v>50</v>
      </c>
      <c r="F399">
        <v>14.998803139</v>
      </c>
      <c r="G399">
        <v>1345.6488036999999</v>
      </c>
      <c r="H399">
        <v>1342.0061035000001</v>
      </c>
      <c r="I399">
        <v>1313.8498535000001</v>
      </c>
      <c r="J399">
        <v>1305.9082031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67.689301</v>
      </c>
      <c r="B400" s="1">
        <f>DATE(2010,7,7) + TIME(16,32,35)</f>
        <v>40366.689293981479</v>
      </c>
      <c r="C400">
        <v>80</v>
      </c>
      <c r="D400">
        <v>79.930526732999994</v>
      </c>
      <c r="E400">
        <v>50</v>
      </c>
      <c r="F400">
        <v>14.998807907</v>
      </c>
      <c r="G400">
        <v>1345.6420897999999</v>
      </c>
      <c r="H400">
        <v>1342.0007324000001</v>
      </c>
      <c r="I400">
        <v>1313.8514404</v>
      </c>
      <c r="J400">
        <v>1305.9093018000001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67.974833000000004</v>
      </c>
      <c r="B401" s="1">
        <f>DATE(2010,7,7) + TIME(23,23,45)</f>
        <v>40366.974826388891</v>
      </c>
      <c r="C401">
        <v>80</v>
      </c>
      <c r="D401">
        <v>79.930534363000007</v>
      </c>
      <c r="E401">
        <v>50</v>
      </c>
      <c r="F401">
        <v>14.998812675</v>
      </c>
      <c r="G401">
        <v>1345.635376</v>
      </c>
      <c r="H401">
        <v>1341.9954834</v>
      </c>
      <c r="I401">
        <v>1313.8529053</v>
      </c>
      <c r="J401">
        <v>1305.9105225000001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68.260366000000005</v>
      </c>
      <c r="B402" s="1">
        <f>DATE(2010,7,8) + TIME(6,14,55)</f>
        <v>40367.260358796295</v>
      </c>
      <c r="C402">
        <v>80</v>
      </c>
      <c r="D402">
        <v>79.930541992000002</v>
      </c>
      <c r="E402">
        <v>50</v>
      </c>
      <c r="F402">
        <v>14.998818397999999</v>
      </c>
      <c r="G402">
        <v>1345.6285399999999</v>
      </c>
      <c r="H402">
        <v>1341.9902344</v>
      </c>
      <c r="I402">
        <v>1313.8544922000001</v>
      </c>
      <c r="J402">
        <v>1305.9117432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68.545897999999994</v>
      </c>
      <c r="B403" s="1">
        <f>DATE(2010,7,8) + TIME(13,6,5)</f>
        <v>40367.545891203707</v>
      </c>
      <c r="C403">
        <v>80</v>
      </c>
      <c r="D403">
        <v>79.930549622000001</v>
      </c>
      <c r="E403">
        <v>50</v>
      </c>
      <c r="F403">
        <v>14.998823165999999</v>
      </c>
      <c r="G403">
        <v>1345.6219481999999</v>
      </c>
      <c r="H403">
        <v>1341.9849853999999</v>
      </c>
      <c r="I403">
        <v>1313.8560791</v>
      </c>
      <c r="J403">
        <v>1305.9128418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69.116962999999998</v>
      </c>
      <c r="B404" s="1">
        <f>DATE(2010,7,9) + TIME(2,48,25)</f>
        <v>40368.116956018515</v>
      </c>
      <c r="C404">
        <v>80</v>
      </c>
      <c r="D404">
        <v>79.930587768999999</v>
      </c>
      <c r="E404">
        <v>50</v>
      </c>
      <c r="F404">
        <v>14.998830795</v>
      </c>
      <c r="G404">
        <v>1345.6141356999999</v>
      </c>
      <c r="H404">
        <v>1341.9787598</v>
      </c>
      <c r="I404">
        <v>1313.8579102000001</v>
      </c>
      <c r="J404">
        <v>1305.9143065999999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69.689572999999996</v>
      </c>
      <c r="B405" s="1">
        <f>DATE(2010,7,9) + TIME(16,32,59)</f>
        <v>40368.689571759256</v>
      </c>
      <c r="C405">
        <v>80</v>
      </c>
      <c r="D405">
        <v>79.930610657000003</v>
      </c>
      <c r="E405">
        <v>50</v>
      </c>
      <c r="F405">
        <v>14.998840332</v>
      </c>
      <c r="G405">
        <v>1345.6016846</v>
      </c>
      <c r="H405">
        <v>1341.9691161999999</v>
      </c>
      <c r="I405">
        <v>1313.8607178</v>
      </c>
      <c r="J405">
        <v>1305.9165039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70.268495000000001</v>
      </c>
      <c r="B406" s="1">
        <f>DATE(2010,7,10) + TIME(6,26,37)</f>
        <v>40369.268483796295</v>
      </c>
      <c r="C406">
        <v>80</v>
      </c>
      <c r="D406">
        <v>79.930625915999997</v>
      </c>
      <c r="E406">
        <v>50</v>
      </c>
      <c r="F406">
        <v>14.998849869000001</v>
      </c>
      <c r="G406">
        <v>1345.5887451000001</v>
      </c>
      <c r="H406">
        <v>1341.9589844</v>
      </c>
      <c r="I406">
        <v>1313.8638916</v>
      </c>
      <c r="J406">
        <v>1305.9189452999999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70.855107000000004</v>
      </c>
      <c r="B407" s="1">
        <f>DATE(2010,7,10) + TIME(20,31,21)</f>
        <v>40369.855104166665</v>
      </c>
      <c r="C407">
        <v>80</v>
      </c>
      <c r="D407">
        <v>79.930648804</v>
      </c>
      <c r="E407">
        <v>50</v>
      </c>
      <c r="F407">
        <v>14.998861313000001</v>
      </c>
      <c r="G407">
        <v>1345.5755615</v>
      </c>
      <c r="H407">
        <v>1341.9487305</v>
      </c>
      <c r="I407">
        <v>1313.8671875</v>
      </c>
      <c r="J407">
        <v>1305.9213867000001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71.450851999999998</v>
      </c>
      <c r="B408" s="1">
        <f>DATE(2010,7,11) + TIME(10,49,13)</f>
        <v>40370.450844907406</v>
      </c>
      <c r="C408">
        <v>80</v>
      </c>
      <c r="D408">
        <v>79.930664062000005</v>
      </c>
      <c r="E408">
        <v>50</v>
      </c>
      <c r="F408">
        <v>14.998871803</v>
      </c>
      <c r="G408">
        <v>1345.5622559000001</v>
      </c>
      <c r="H408">
        <v>1341.9383545000001</v>
      </c>
      <c r="I408">
        <v>1313.8704834</v>
      </c>
      <c r="J408">
        <v>1305.9239502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72.056982000000005</v>
      </c>
      <c r="B409" s="1">
        <f>DATE(2010,7,12) + TIME(1,22,3)</f>
        <v>40371.056979166664</v>
      </c>
      <c r="C409">
        <v>80</v>
      </c>
      <c r="D409">
        <v>79.930686950999998</v>
      </c>
      <c r="E409">
        <v>50</v>
      </c>
      <c r="F409">
        <v>14.998884200999999</v>
      </c>
      <c r="G409">
        <v>1345.5488281</v>
      </c>
      <c r="H409">
        <v>1341.9278564000001</v>
      </c>
      <c r="I409">
        <v>1313.8739014</v>
      </c>
      <c r="J409">
        <v>1305.9265137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72.362452000000005</v>
      </c>
      <c r="B410" s="1">
        <f>DATE(2010,7,12) + TIME(8,41,55)</f>
        <v>40371.362442129626</v>
      </c>
      <c r="C410">
        <v>80</v>
      </c>
      <c r="D410">
        <v>79.930679321</v>
      </c>
      <c r="E410">
        <v>50</v>
      </c>
      <c r="F410">
        <v>14.998892784000001</v>
      </c>
      <c r="G410">
        <v>1345.5371094</v>
      </c>
      <c r="H410">
        <v>1341.9189452999999</v>
      </c>
      <c r="I410">
        <v>1313.8768310999999</v>
      </c>
      <c r="J410">
        <v>1305.9287108999999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72.667922000000004</v>
      </c>
      <c r="B411" s="1">
        <f>DATE(2010,7,12) + TIME(16,1,48)</f>
        <v>40371.667916666665</v>
      </c>
      <c r="C411">
        <v>80</v>
      </c>
      <c r="D411">
        <v>79.930679321</v>
      </c>
      <c r="E411">
        <v>50</v>
      </c>
      <c r="F411">
        <v>14.998900414</v>
      </c>
      <c r="G411">
        <v>1345.5292969</v>
      </c>
      <c r="H411">
        <v>1341.9125977000001</v>
      </c>
      <c r="I411">
        <v>1313.8791504000001</v>
      </c>
      <c r="J411">
        <v>1305.9304199000001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72.973392000000004</v>
      </c>
      <c r="B412" s="1">
        <f>DATE(2010,7,12) + TIME(23,21,41)</f>
        <v>40371.973391203705</v>
      </c>
      <c r="C412">
        <v>80</v>
      </c>
      <c r="D412">
        <v>79.930686950999998</v>
      </c>
      <c r="E412">
        <v>50</v>
      </c>
      <c r="F412">
        <v>14.998908996999999</v>
      </c>
      <c r="G412">
        <v>1345.5220947</v>
      </c>
      <c r="H412">
        <v>1341.9069824000001</v>
      </c>
      <c r="I412">
        <v>1313.8809814000001</v>
      </c>
      <c r="J412">
        <v>1305.9318848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73.278863000000001</v>
      </c>
      <c r="B413" s="1">
        <f>DATE(2010,7,13) + TIME(6,41,33)</f>
        <v>40372.278854166667</v>
      </c>
      <c r="C413">
        <v>80</v>
      </c>
      <c r="D413">
        <v>79.930694579999994</v>
      </c>
      <c r="E413">
        <v>50</v>
      </c>
      <c r="F413">
        <v>14.998916626</v>
      </c>
      <c r="G413">
        <v>1345.5151367000001</v>
      </c>
      <c r="H413">
        <v>1341.9014893000001</v>
      </c>
      <c r="I413">
        <v>1313.8828125</v>
      </c>
      <c r="J413">
        <v>1305.9332274999999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73.584333000000001</v>
      </c>
      <c r="B414" s="1">
        <f>DATE(2010,7,13) + TIME(14,1,26)</f>
        <v>40372.584328703706</v>
      </c>
      <c r="C414">
        <v>80</v>
      </c>
      <c r="D414">
        <v>79.930709839000002</v>
      </c>
      <c r="E414">
        <v>50</v>
      </c>
      <c r="F414">
        <v>14.998924255</v>
      </c>
      <c r="G414">
        <v>1345.5083007999999</v>
      </c>
      <c r="H414">
        <v>1341.8959961</v>
      </c>
      <c r="I414">
        <v>1313.8846435999999</v>
      </c>
      <c r="J414">
        <v>1305.9345702999999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73.889779000000004</v>
      </c>
      <c r="B415" s="1">
        <f>DATE(2010,7,13) + TIME(21,21,16)</f>
        <v>40372.889768518522</v>
      </c>
      <c r="C415">
        <v>80</v>
      </c>
      <c r="D415">
        <v>79.930717467999997</v>
      </c>
      <c r="E415">
        <v>50</v>
      </c>
      <c r="F415">
        <v>14.998932838</v>
      </c>
      <c r="G415">
        <v>1345.5015868999999</v>
      </c>
      <c r="H415">
        <v>1341.8907471</v>
      </c>
      <c r="I415">
        <v>1313.8864745999999</v>
      </c>
      <c r="J415">
        <v>1305.9360352000001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74.195226000000005</v>
      </c>
      <c r="B416" s="1">
        <f>DATE(2010,7,14) + TIME(4,41,7)</f>
        <v>40373.195219907408</v>
      </c>
      <c r="C416">
        <v>80</v>
      </c>
      <c r="D416">
        <v>79.930725097999996</v>
      </c>
      <c r="E416">
        <v>50</v>
      </c>
      <c r="F416">
        <v>14.998940468000001</v>
      </c>
      <c r="G416">
        <v>1345.4948730000001</v>
      </c>
      <c r="H416">
        <v>1341.885376</v>
      </c>
      <c r="I416">
        <v>1313.8883057</v>
      </c>
      <c r="J416">
        <v>1305.9373779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74.500671999999994</v>
      </c>
      <c r="B417" s="1">
        <f>DATE(2010,7,14) + TIME(12,0,58)</f>
        <v>40373.500671296293</v>
      </c>
      <c r="C417">
        <v>80</v>
      </c>
      <c r="D417">
        <v>79.930740356000001</v>
      </c>
      <c r="E417">
        <v>50</v>
      </c>
      <c r="F417">
        <v>14.998949051</v>
      </c>
      <c r="G417">
        <v>1345.4881591999999</v>
      </c>
      <c r="H417">
        <v>1341.8801269999999</v>
      </c>
      <c r="I417">
        <v>1313.8901367000001</v>
      </c>
      <c r="J417">
        <v>1305.9387207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74.806118999999995</v>
      </c>
      <c r="B418" s="1">
        <f>DATE(2010,7,14) + TIME(19,20,48)</f>
        <v>40373.806111111109</v>
      </c>
      <c r="C418">
        <v>80</v>
      </c>
      <c r="D418">
        <v>79.930747986</v>
      </c>
      <c r="E418">
        <v>50</v>
      </c>
      <c r="F418">
        <v>14.998958588000001</v>
      </c>
      <c r="G418">
        <v>1345.4815673999999</v>
      </c>
      <c r="H418">
        <v>1341.8748779</v>
      </c>
      <c r="I418">
        <v>1313.8919678</v>
      </c>
      <c r="J418">
        <v>1305.9400635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75.111565999999996</v>
      </c>
      <c r="B419" s="1">
        <f>DATE(2010,7,15) + TIME(2,40,39)</f>
        <v>40374.111562500002</v>
      </c>
      <c r="C419">
        <v>80</v>
      </c>
      <c r="D419">
        <v>79.930763244999994</v>
      </c>
      <c r="E419">
        <v>50</v>
      </c>
      <c r="F419">
        <v>14.998967171</v>
      </c>
      <c r="G419">
        <v>1345.4748535000001</v>
      </c>
      <c r="H419">
        <v>1341.869751</v>
      </c>
      <c r="I419">
        <v>1313.8937988</v>
      </c>
      <c r="J419">
        <v>1305.9414062000001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75.417012</v>
      </c>
      <c r="B420" s="1">
        <f>DATE(2010,7,15) + TIME(10,0,29)</f>
        <v>40374.417002314818</v>
      </c>
      <c r="C420">
        <v>80</v>
      </c>
      <c r="D420">
        <v>79.930770874000004</v>
      </c>
      <c r="E420">
        <v>50</v>
      </c>
      <c r="F420">
        <v>14.998976707000001</v>
      </c>
      <c r="G420">
        <v>1345.4682617000001</v>
      </c>
      <c r="H420">
        <v>1341.8645019999999</v>
      </c>
      <c r="I420">
        <v>1313.8956298999999</v>
      </c>
      <c r="J420">
        <v>1305.9428711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75.722459000000001</v>
      </c>
      <c r="B421" s="1">
        <f>DATE(2010,7,15) + TIME(17,20,20)</f>
        <v>40374.722453703704</v>
      </c>
      <c r="C421">
        <v>80</v>
      </c>
      <c r="D421">
        <v>79.930778502999999</v>
      </c>
      <c r="E421">
        <v>50</v>
      </c>
      <c r="F421">
        <v>14.998986243999999</v>
      </c>
      <c r="G421">
        <v>1345.4617920000001</v>
      </c>
      <c r="H421">
        <v>1341.859375</v>
      </c>
      <c r="I421">
        <v>1313.8974608999999</v>
      </c>
      <c r="J421">
        <v>1305.9442139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76.027906000000002</v>
      </c>
      <c r="B422" s="1">
        <f>DATE(2010,7,16) + TIME(0,40,11)</f>
        <v>40375.027905092589</v>
      </c>
      <c r="C422">
        <v>80</v>
      </c>
      <c r="D422">
        <v>79.930793761999993</v>
      </c>
      <c r="E422">
        <v>50</v>
      </c>
      <c r="F422">
        <v>14.998996735</v>
      </c>
      <c r="G422">
        <v>1345.4552002</v>
      </c>
      <c r="H422">
        <v>1341.854126</v>
      </c>
      <c r="I422">
        <v>1313.8994141000001</v>
      </c>
      <c r="J422">
        <v>1305.9456786999999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76.638799000000006</v>
      </c>
      <c r="B423" s="1">
        <f>DATE(2010,7,16) + TIME(15,19,52)</f>
        <v>40375.638796296298</v>
      </c>
      <c r="C423">
        <v>80</v>
      </c>
      <c r="D423">
        <v>79.930831909000005</v>
      </c>
      <c r="E423">
        <v>50</v>
      </c>
      <c r="F423">
        <v>14.999013901</v>
      </c>
      <c r="G423">
        <v>1345.4475098</v>
      </c>
      <c r="H423">
        <v>1341.8479004000001</v>
      </c>
      <c r="I423">
        <v>1313.9016113</v>
      </c>
      <c r="J423">
        <v>1305.9472656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77.251373999999998</v>
      </c>
      <c r="B424" s="1">
        <f>DATE(2010,7,17) + TIME(6,1,58)</f>
        <v>40376.25136574074</v>
      </c>
      <c r="C424">
        <v>80</v>
      </c>
      <c r="D424">
        <v>79.930862426999994</v>
      </c>
      <c r="E424">
        <v>50</v>
      </c>
      <c r="F424">
        <v>14.999033927999999</v>
      </c>
      <c r="G424">
        <v>1345.4354248</v>
      </c>
      <c r="H424">
        <v>1341.838501</v>
      </c>
      <c r="I424">
        <v>1313.9050293</v>
      </c>
      <c r="J424">
        <v>1305.9499512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77.872299999999996</v>
      </c>
      <c r="B425" s="1">
        <f>DATE(2010,7,17) + TIME(20,56,6)</f>
        <v>40376.872291666667</v>
      </c>
      <c r="C425">
        <v>80</v>
      </c>
      <c r="D425">
        <v>79.930885314999998</v>
      </c>
      <c r="E425">
        <v>50</v>
      </c>
      <c r="F425">
        <v>14.99905777</v>
      </c>
      <c r="G425">
        <v>1345.4227295000001</v>
      </c>
      <c r="H425">
        <v>1341.8286132999999</v>
      </c>
      <c r="I425">
        <v>1313.9089355000001</v>
      </c>
      <c r="J425">
        <v>1305.9527588000001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78.503118000000001</v>
      </c>
      <c r="B426" s="1">
        <f>DATE(2010,7,18) + TIME(12,4,29)</f>
        <v>40377.503113425926</v>
      </c>
      <c r="C426">
        <v>80</v>
      </c>
      <c r="D426">
        <v>79.930915833</v>
      </c>
      <c r="E426">
        <v>50</v>
      </c>
      <c r="F426">
        <v>14.99908638</v>
      </c>
      <c r="G426">
        <v>1345.4097899999999</v>
      </c>
      <c r="H426">
        <v>1341.8183594</v>
      </c>
      <c r="I426">
        <v>1313.9128418</v>
      </c>
      <c r="J426">
        <v>1305.9556885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79.144345000000001</v>
      </c>
      <c r="B427" s="1">
        <f>DATE(2010,7,19) + TIME(3,27,51)</f>
        <v>40378.14434027778</v>
      </c>
      <c r="C427">
        <v>80</v>
      </c>
      <c r="D427">
        <v>79.930938721000004</v>
      </c>
      <c r="E427">
        <v>50</v>
      </c>
      <c r="F427">
        <v>14.999117850999999</v>
      </c>
      <c r="G427">
        <v>1345.3967285000001</v>
      </c>
      <c r="H427">
        <v>1341.8081055</v>
      </c>
      <c r="I427">
        <v>1313.9168701000001</v>
      </c>
      <c r="J427">
        <v>1305.9587402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79.789986999999996</v>
      </c>
      <c r="B428" s="1">
        <f>DATE(2010,7,19) + TIME(18,57,34)</f>
        <v>40378.789976851855</v>
      </c>
      <c r="C428">
        <v>80</v>
      </c>
      <c r="D428">
        <v>79.930961608999993</v>
      </c>
      <c r="E428">
        <v>50</v>
      </c>
      <c r="F428">
        <v>14.999154090999999</v>
      </c>
      <c r="G428">
        <v>1345.3834228999999</v>
      </c>
      <c r="H428">
        <v>1341.7977295000001</v>
      </c>
      <c r="I428">
        <v>1313.9211425999999</v>
      </c>
      <c r="J428">
        <v>1305.9617920000001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80.115567999999996</v>
      </c>
      <c r="B429" s="1">
        <f>DATE(2010,7,20) + TIME(2,46,25)</f>
        <v>40379.115567129629</v>
      </c>
      <c r="C429">
        <v>80</v>
      </c>
      <c r="D429">
        <v>79.930961608999993</v>
      </c>
      <c r="E429">
        <v>50</v>
      </c>
      <c r="F429">
        <v>14.999181747</v>
      </c>
      <c r="G429">
        <v>1345.3720702999999</v>
      </c>
      <c r="H429">
        <v>1341.7889404</v>
      </c>
      <c r="I429">
        <v>1313.9248047000001</v>
      </c>
      <c r="J429">
        <v>1305.9644774999999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80.440837000000002</v>
      </c>
      <c r="B430" s="1">
        <f>DATE(2010,7,20) + TIME(10,34,48)</f>
        <v>40379.440833333334</v>
      </c>
      <c r="C430">
        <v>80</v>
      </c>
      <c r="D430">
        <v>79.930969238000003</v>
      </c>
      <c r="E430">
        <v>50</v>
      </c>
      <c r="F430">
        <v>14.999208449999999</v>
      </c>
      <c r="G430">
        <v>1345.3643798999999</v>
      </c>
      <c r="H430">
        <v>1341.7827147999999</v>
      </c>
      <c r="I430">
        <v>1313.9273682</v>
      </c>
      <c r="J430">
        <v>1305.9665527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80.765680000000003</v>
      </c>
      <c r="B431" s="1">
        <f>DATE(2010,7,20) + TIME(18,22,34)</f>
        <v>40379.7656712963</v>
      </c>
      <c r="C431">
        <v>80</v>
      </c>
      <c r="D431">
        <v>79.930976868000002</v>
      </c>
      <c r="E431">
        <v>50</v>
      </c>
      <c r="F431">
        <v>14.999236107</v>
      </c>
      <c r="G431">
        <v>1345.3572998</v>
      </c>
      <c r="H431">
        <v>1341.7770995999999</v>
      </c>
      <c r="I431">
        <v>1313.9296875</v>
      </c>
      <c r="J431">
        <v>1305.9682617000001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81.090239999999994</v>
      </c>
      <c r="B432" s="1">
        <f>DATE(2010,7,21) + TIME(2,9,56)</f>
        <v>40380.090231481481</v>
      </c>
      <c r="C432">
        <v>80</v>
      </c>
      <c r="D432">
        <v>79.930992126000007</v>
      </c>
      <c r="E432">
        <v>50</v>
      </c>
      <c r="F432">
        <v>14.999265671</v>
      </c>
      <c r="G432">
        <v>1345.3505858999999</v>
      </c>
      <c r="H432">
        <v>1341.7717285000001</v>
      </c>
      <c r="I432">
        <v>1313.9318848</v>
      </c>
      <c r="J432">
        <v>1305.9698486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81.414634000000007</v>
      </c>
      <c r="B433" s="1">
        <f>DATE(2010,7,21) + TIME(9,57,4)</f>
        <v>40380.414629629631</v>
      </c>
      <c r="C433">
        <v>80</v>
      </c>
      <c r="D433">
        <v>79.930999756000006</v>
      </c>
      <c r="E433">
        <v>50</v>
      </c>
      <c r="F433">
        <v>14.999296188000001</v>
      </c>
      <c r="G433">
        <v>1345.3438721</v>
      </c>
      <c r="H433">
        <v>1341.7664795000001</v>
      </c>
      <c r="I433">
        <v>1313.934082</v>
      </c>
      <c r="J433">
        <v>1305.9714355000001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81.739028000000005</v>
      </c>
      <c r="B434" s="1">
        <f>DATE(2010,7,21) + TIME(17,44,12)</f>
        <v>40380.739027777781</v>
      </c>
      <c r="C434">
        <v>80</v>
      </c>
      <c r="D434">
        <v>79.931015015</v>
      </c>
      <c r="E434">
        <v>50</v>
      </c>
      <c r="F434">
        <v>14.999327660000001</v>
      </c>
      <c r="G434">
        <v>1345.3372803</v>
      </c>
      <c r="H434">
        <v>1341.7612305</v>
      </c>
      <c r="I434">
        <v>1313.9362793</v>
      </c>
      <c r="J434">
        <v>1305.9730225000001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82.063422000000003</v>
      </c>
      <c r="B435" s="1">
        <f>DATE(2010,7,22) + TIME(1,31,19)</f>
        <v>40381.063414351855</v>
      </c>
      <c r="C435">
        <v>80</v>
      </c>
      <c r="D435">
        <v>79.931030273000005</v>
      </c>
      <c r="E435">
        <v>50</v>
      </c>
      <c r="F435">
        <v>14.999361992000001</v>
      </c>
      <c r="G435">
        <v>1345.3308105000001</v>
      </c>
      <c r="H435">
        <v>1341.7559814000001</v>
      </c>
      <c r="I435">
        <v>1313.9385986</v>
      </c>
      <c r="J435">
        <v>1305.9747314000001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82.387816000000001</v>
      </c>
      <c r="B436" s="1">
        <f>DATE(2010,7,22) + TIME(9,18,27)</f>
        <v>40381.387812499997</v>
      </c>
      <c r="C436">
        <v>80</v>
      </c>
      <c r="D436">
        <v>79.931045531999999</v>
      </c>
      <c r="E436">
        <v>50</v>
      </c>
      <c r="F436">
        <v>14.999398232000001</v>
      </c>
      <c r="G436">
        <v>1345.3242187999999</v>
      </c>
      <c r="H436">
        <v>1341.7508545000001</v>
      </c>
      <c r="I436">
        <v>1313.9407959</v>
      </c>
      <c r="J436">
        <v>1305.9763184000001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82.712209999999999</v>
      </c>
      <c r="B437" s="1">
        <f>DATE(2010,7,22) + TIME(17,5,34)</f>
        <v>40381.712199074071</v>
      </c>
      <c r="C437">
        <v>80</v>
      </c>
      <c r="D437">
        <v>79.931053161999998</v>
      </c>
      <c r="E437">
        <v>50</v>
      </c>
      <c r="F437">
        <v>14.999437331999999</v>
      </c>
      <c r="G437">
        <v>1345.317749</v>
      </c>
      <c r="H437">
        <v>1341.7457274999999</v>
      </c>
      <c r="I437">
        <v>1313.9429932</v>
      </c>
      <c r="J437">
        <v>1305.9779053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83.036603999999997</v>
      </c>
      <c r="B438" s="1">
        <f>DATE(2010,7,23) + TIME(0,52,42)</f>
        <v>40382.036597222221</v>
      </c>
      <c r="C438">
        <v>80</v>
      </c>
      <c r="D438">
        <v>79.931068420000003</v>
      </c>
      <c r="E438">
        <v>50</v>
      </c>
      <c r="F438">
        <v>14.99947834</v>
      </c>
      <c r="G438">
        <v>1345.3112793</v>
      </c>
      <c r="H438">
        <v>1341.7406006000001</v>
      </c>
      <c r="I438">
        <v>1313.9453125</v>
      </c>
      <c r="J438">
        <v>1305.9796143000001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83.685391999999993</v>
      </c>
      <c r="B439" s="1">
        <f>DATE(2010,7,23) + TIME(16,26,57)</f>
        <v>40382.685381944444</v>
      </c>
      <c r="C439">
        <v>80</v>
      </c>
      <c r="D439">
        <v>79.931114196999999</v>
      </c>
      <c r="E439">
        <v>50</v>
      </c>
      <c r="F439">
        <v>14.999547958000001</v>
      </c>
      <c r="G439">
        <v>1345.3037108999999</v>
      </c>
      <c r="H439">
        <v>1341.734375</v>
      </c>
      <c r="I439">
        <v>1313.947876</v>
      </c>
      <c r="J439">
        <v>1305.9815673999999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84.335555999999997</v>
      </c>
      <c r="B440" s="1">
        <f>DATE(2010,7,24) + TIME(8,3,12)</f>
        <v>40383.335555555554</v>
      </c>
      <c r="C440">
        <v>80</v>
      </c>
      <c r="D440">
        <v>79.931152343999997</v>
      </c>
      <c r="E440">
        <v>50</v>
      </c>
      <c r="F440">
        <v>14.999636649999999</v>
      </c>
      <c r="G440">
        <v>1345.2917480000001</v>
      </c>
      <c r="H440">
        <v>1341.7250977000001</v>
      </c>
      <c r="I440">
        <v>1313.9521483999999</v>
      </c>
      <c r="J440">
        <v>1305.9846190999999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84.992952000000002</v>
      </c>
      <c r="B441" s="1">
        <f>DATE(2010,7,24) + TIME(23,49,51)</f>
        <v>40383.992951388886</v>
      </c>
      <c r="C441">
        <v>80</v>
      </c>
      <c r="D441">
        <v>79.931182860999996</v>
      </c>
      <c r="E441">
        <v>50</v>
      </c>
      <c r="F441">
        <v>14.999743462</v>
      </c>
      <c r="G441">
        <v>1345.2792969</v>
      </c>
      <c r="H441">
        <v>1341.7152100000001</v>
      </c>
      <c r="I441">
        <v>1313.9567870999999</v>
      </c>
      <c r="J441">
        <v>1305.9880370999999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85.659249000000003</v>
      </c>
      <c r="B442" s="1">
        <f>DATE(2010,7,25) + TIME(15,49,19)</f>
        <v>40384.659247685187</v>
      </c>
      <c r="C442">
        <v>80</v>
      </c>
      <c r="D442">
        <v>79.931205750000004</v>
      </c>
      <c r="E442">
        <v>50</v>
      </c>
      <c r="F442">
        <v>14.9998703</v>
      </c>
      <c r="G442">
        <v>1345.2666016000001</v>
      </c>
      <c r="H442">
        <v>1341.7050781</v>
      </c>
      <c r="I442">
        <v>1313.9616699000001</v>
      </c>
      <c r="J442">
        <v>1305.9914550999999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86.333361999999994</v>
      </c>
      <c r="B443" s="1">
        <f>DATE(2010,7,26) + TIME(8,0,2)</f>
        <v>40385.333356481482</v>
      </c>
      <c r="C443">
        <v>80</v>
      </c>
      <c r="D443">
        <v>79.931236267000003</v>
      </c>
      <c r="E443">
        <v>50</v>
      </c>
      <c r="F443">
        <v>15.000020981</v>
      </c>
      <c r="G443">
        <v>1345.2537841999999</v>
      </c>
      <c r="H443">
        <v>1341.6949463000001</v>
      </c>
      <c r="I443">
        <v>1313.9665527</v>
      </c>
      <c r="J443">
        <v>1305.9949951000001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87.012403000000006</v>
      </c>
      <c r="B444" s="1">
        <f>DATE(2010,7,27) + TIME(0,17,51)</f>
        <v>40386.012395833335</v>
      </c>
      <c r="C444">
        <v>80</v>
      </c>
      <c r="D444">
        <v>79.931266785000005</v>
      </c>
      <c r="E444">
        <v>50</v>
      </c>
      <c r="F444">
        <v>15.000196456999999</v>
      </c>
      <c r="G444">
        <v>1345.2408447</v>
      </c>
      <c r="H444">
        <v>1341.6846923999999</v>
      </c>
      <c r="I444">
        <v>1313.9715576000001</v>
      </c>
      <c r="J444">
        <v>1305.9986572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87.695950999999994</v>
      </c>
      <c r="B445" s="1">
        <f>DATE(2010,7,27) + TIME(16,42,10)</f>
        <v>40386.695949074077</v>
      </c>
      <c r="C445">
        <v>80</v>
      </c>
      <c r="D445">
        <v>79.931304932000003</v>
      </c>
      <c r="E445">
        <v>50</v>
      </c>
      <c r="F445">
        <v>15.000402450999999</v>
      </c>
      <c r="G445">
        <v>1345.2279053</v>
      </c>
      <c r="H445">
        <v>1341.6744385</v>
      </c>
      <c r="I445">
        <v>1313.9768065999999</v>
      </c>
      <c r="J445">
        <v>1306.0024414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88.039319000000006</v>
      </c>
      <c r="B446" s="1">
        <f>DATE(2010,7,28) + TIME(0,56,37)</f>
        <v>40387.039317129631</v>
      </c>
      <c r="C446">
        <v>80</v>
      </c>
      <c r="D446">
        <v>79.931304932000003</v>
      </c>
      <c r="E446">
        <v>50</v>
      </c>
      <c r="F446">
        <v>15.000557899</v>
      </c>
      <c r="G446">
        <v>1345.2169189000001</v>
      </c>
      <c r="H446">
        <v>1341.6658935999999</v>
      </c>
      <c r="I446">
        <v>1313.9814452999999</v>
      </c>
      <c r="J446">
        <v>1306.0056152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88.382686000000007</v>
      </c>
      <c r="B447" s="1">
        <f>DATE(2010,7,28) + TIME(9,11,4)</f>
        <v>40387.382685185185</v>
      </c>
      <c r="C447">
        <v>80</v>
      </c>
      <c r="D447">
        <v>79.931312560999999</v>
      </c>
      <c r="E447">
        <v>50</v>
      </c>
      <c r="F447">
        <v>15.000715255999999</v>
      </c>
      <c r="G447">
        <v>1345.2093506000001</v>
      </c>
      <c r="H447">
        <v>1341.6597899999999</v>
      </c>
      <c r="I447">
        <v>1313.9846190999999</v>
      </c>
      <c r="J447">
        <v>1306.0080565999999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88.726054000000005</v>
      </c>
      <c r="B448" s="1">
        <f>DATE(2010,7,28) + TIME(17,25,31)</f>
        <v>40387.726053240738</v>
      </c>
      <c r="C448">
        <v>80</v>
      </c>
      <c r="D448">
        <v>79.931327820000007</v>
      </c>
      <c r="E448">
        <v>50</v>
      </c>
      <c r="F448">
        <v>15.000878333999999</v>
      </c>
      <c r="G448">
        <v>1345.2025146000001</v>
      </c>
      <c r="H448">
        <v>1341.6541748</v>
      </c>
      <c r="I448">
        <v>1313.9875488</v>
      </c>
      <c r="J448">
        <v>1306.0100098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89.069421000000006</v>
      </c>
      <c r="B449" s="1">
        <f>DATE(2010,7,29) + TIME(1,39,57)</f>
        <v>40388.069409722222</v>
      </c>
      <c r="C449">
        <v>80</v>
      </c>
      <c r="D449">
        <v>79.931343079000001</v>
      </c>
      <c r="E449">
        <v>50</v>
      </c>
      <c r="F449">
        <v>15.001049042</v>
      </c>
      <c r="G449">
        <v>1345.1959228999999</v>
      </c>
      <c r="H449">
        <v>1341.6489257999999</v>
      </c>
      <c r="I449">
        <v>1313.9902344</v>
      </c>
      <c r="J449">
        <v>1306.0120850000001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89.412789000000004</v>
      </c>
      <c r="B450" s="1">
        <f>DATE(2010,7,29) + TIME(9,54,24)</f>
        <v>40388.412777777776</v>
      </c>
      <c r="C450">
        <v>80</v>
      </c>
      <c r="D450">
        <v>79.931358337000006</v>
      </c>
      <c r="E450">
        <v>50</v>
      </c>
      <c r="F450">
        <v>15.00123024</v>
      </c>
      <c r="G450">
        <v>1345.1893310999999</v>
      </c>
      <c r="H450">
        <v>1341.6436768000001</v>
      </c>
      <c r="I450">
        <v>1313.9930420000001</v>
      </c>
      <c r="J450">
        <v>1306.0139160000001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89.756156000000004</v>
      </c>
      <c r="B451" s="1">
        <f>DATE(2010,7,29) + TIME(18,8,51)</f>
        <v>40388.756145833337</v>
      </c>
      <c r="C451">
        <v>80</v>
      </c>
      <c r="D451">
        <v>79.931373596</v>
      </c>
      <c r="E451">
        <v>50</v>
      </c>
      <c r="F451">
        <v>15.001421927999999</v>
      </c>
      <c r="G451">
        <v>1345.1828613</v>
      </c>
      <c r="H451">
        <v>1341.6385498</v>
      </c>
      <c r="I451">
        <v>1313.9957274999999</v>
      </c>
      <c r="J451">
        <v>1306.0158690999999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90.099524000000002</v>
      </c>
      <c r="B452" s="1">
        <f>DATE(2010,7,30) + TIME(2,23,18)</f>
        <v>40389.09951388889</v>
      </c>
      <c r="C452">
        <v>80</v>
      </c>
      <c r="D452">
        <v>79.931388854999994</v>
      </c>
      <c r="E452">
        <v>50</v>
      </c>
      <c r="F452">
        <v>15.001627922000001</v>
      </c>
      <c r="G452">
        <v>1345.1765137</v>
      </c>
      <c r="H452">
        <v>1341.6334228999999</v>
      </c>
      <c r="I452">
        <v>1313.9985352000001</v>
      </c>
      <c r="J452">
        <v>1306.0178223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90.442891000000003</v>
      </c>
      <c r="B453" s="1">
        <f>DATE(2010,7,30) + TIME(10,37,45)</f>
        <v>40389.442881944444</v>
      </c>
      <c r="C453">
        <v>80</v>
      </c>
      <c r="D453">
        <v>79.931404114000003</v>
      </c>
      <c r="E453">
        <v>50</v>
      </c>
      <c r="F453">
        <v>15.001848220999999</v>
      </c>
      <c r="G453">
        <v>1345.1701660000001</v>
      </c>
      <c r="H453">
        <v>1341.6282959</v>
      </c>
      <c r="I453">
        <v>1314.0013428</v>
      </c>
      <c r="J453">
        <v>1306.0198975000001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90.786259000000001</v>
      </c>
      <c r="B454" s="1">
        <f>DATE(2010,7,30) + TIME(18,52,12)</f>
        <v>40389.786249999997</v>
      </c>
      <c r="C454">
        <v>80</v>
      </c>
      <c r="D454">
        <v>79.931419372999997</v>
      </c>
      <c r="E454">
        <v>50</v>
      </c>
      <c r="F454">
        <v>15.002084732</v>
      </c>
      <c r="G454">
        <v>1345.1638184000001</v>
      </c>
      <c r="H454">
        <v>1341.6232910000001</v>
      </c>
      <c r="I454">
        <v>1314.0041504000001</v>
      </c>
      <c r="J454">
        <v>1306.0218506000001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91.472994</v>
      </c>
      <c r="B455" s="1">
        <f>DATE(2010,7,31) + TIME(11,21,6)</f>
        <v>40390.472986111112</v>
      </c>
      <c r="C455">
        <v>80</v>
      </c>
      <c r="D455">
        <v>79.931472778</v>
      </c>
      <c r="E455">
        <v>50</v>
      </c>
      <c r="F455">
        <v>15.002477645999999</v>
      </c>
      <c r="G455">
        <v>1345.15625</v>
      </c>
      <c r="H455">
        <v>1341.6170654</v>
      </c>
      <c r="I455">
        <v>1314.0073242000001</v>
      </c>
      <c r="J455">
        <v>1306.0241699000001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92</v>
      </c>
      <c r="B456" s="1">
        <f>DATE(2010,8,1) + TIME(0,0,0)</f>
        <v>40391</v>
      </c>
      <c r="C456">
        <v>80</v>
      </c>
      <c r="D456">
        <v>79.931495666999993</v>
      </c>
      <c r="E456">
        <v>50</v>
      </c>
      <c r="F456">
        <v>15.002910613999999</v>
      </c>
      <c r="G456">
        <v>1345.1452637</v>
      </c>
      <c r="H456">
        <v>1341.6083983999999</v>
      </c>
      <c r="I456">
        <v>1314.0125731999999</v>
      </c>
      <c r="J456">
        <v>1306.0277100000001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92.687785000000005</v>
      </c>
      <c r="B457" s="1">
        <f>DATE(2010,8,1) + TIME(16,30,24)</f>
        <v>40391.687777777777</v>
      </c>
      <c r="C457">
        <v>80</v>
      </c>
      <c r="D457">
        <v>79.931533813000001</v>
      </c>
      <c r="E457">
        <v>50</v>
      </c>
      <c r="F457">
        <v>15.003476143</v>
      </c>
      <c r="G457">
        <v>1345.1348877</v>
      </c>
      <c r="H457">
        <v>1341.6000977000001</v>
      </c>
      <c r="I457">
        <v>1314.0174560999999</v>
      </c>
      <c r="J457">
        <v>1306.03125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93.391262999999995</v>
      </c>
      <c r="B458" s="1">
        <f>DATE(2010,8,2) + TIME(9,23,25)</f>
        <v>40392.391261574077</v>
      </c>
      <c r="C458">
        <v>80</v>
      </c>
      <c r="D458">
        <v>79.931571959999999</v>
      </c>
      <c r="E458">
        <v>50</v>
      </c>
      <c r="F458">
        <v>15.004167557000001</v>
      </c>
      <c r="G458">
        <v>1345.1228027</v>
      </c>
      <c r="H458">
        <v>1341.5904541</v>
      </c>
      <c r="I458">
        <v>1314.0233154</v>
      </c>
      <c r="J458">
        <v>1306.0352783000001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94.102326000000005</v>
      </c>
      <c r="B459" s="1">
        <f>DATE(2010,8,3) + TIME(2,27,20)</f>
        <v>40393.102314814816</v>
      </c>
      <c r="C459">
        <v>80</v>
      </c>
      <c r="D459">
        <v>79.931610106999997</v>
      </c>
      <c r="E459">
        <v>50</v>
      </c>
      <c r="F459">
        <v>15.004991531</v>
      </c>
      <c r="G459">
        <v>1345.1103516000001</v>
      </c>
      <c r="H459">
        <v>1341.5805664</v>
      </c>
      <c r="I459">
        <v>1314.0295410000001</v>
      </c>
      <c r="J459">
        <v>1306.0396728999999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94.816536999999997</v>
      </c>
      <c r="B460" s="1">
        <f>DATE(2010,8,3) + TIME(19,35,48)</f>
        <v>40393.816527777781</v>
      </c>
      <c r="C460">
        <v>80</v>
      </c>
      <c r="D460">
        <v>79.931640625</v>
      </c>
      <c r="E460">
        <v>50</v>
      </c>
      <c r="F460">
        <v>15.005959511</v>
      </c>
      <c r="G460">
        <v>1345.0976562000001</v>
      </c>
      <c r="H460">
        <v>1341.5704346</v>
      </c>
      <c r="I460">
        <v>1314.0358887</v>
      </c>
      <c r="J460">
        <v>1306.0440673999999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95.535239000000004</v>
      </c>
      <c r="B461" s="1">
        <f>DATE(2010,8,4) + TIME(12,50,44)</f>
        <v>40394.535231481481</v>
      </c>
      <c r="C461">
        <v>80</v>
      </c>
      <c r="D461">
        <v>79.931678771999998</v>
      </c>
      <c r="E461">
        <v>50</v>
      </c>
      <c r="F461">
        <v>15.007089615</v>
      </c>
      <c r="G461">
        <v>1345.0850829999999</v>
      </c>
      <c r="H461">
        <v>1341.5603027</v>
      </c>
      <c r="I461">
        <v>1314.0424805</v>
      </c>
      <c r="J461">
        <v>1306.0485839999999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96.256964999999994</v>
      </c>
      <c r="B462" s="1">
        <f>DATE(2010,8,5) + TIME(6,10,1)</f>
        <v>40395.256956018522</v>
      </c>
      <c r="C462">
        <v>80</v>
      </c>
      <c r="D462">
        <v>79.931716918999996</v>
      </c>
      <c r="E462">
        <v>50</v>
      </c>
      <c r="F462">
        <v>15.008403778</v>
      </c>
      <c r="G462">
        <v>1345.0723877</v>
      </c>
      <c r="H462">
        <v>1341.5501709</v>
      </c>
      <c r="I462">
        <v>1314.0491943</v>
      </c>
      <c r="J462">
        <v>1306.0533447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96.980934000000005</v>
      </c>
      <c r="B463" s="1">
        <f>DATE(2010,8,5) + TIME(23,32,32)</f>
        <v>40395.980925925927</v>
      </c>
      <c r="C463">
        <v>80</v>
      </c>
      <c r="D463">
        <v>79.931755065999994</v>
      </c>
      <c r="E463">
        <v>50</v>
      </c>
      <c r="F463">
        <v>15.009927749999999</v>
      </c>
      <c r="G463">
        <v>1345.0598144999999</v>
      </c>
      <c r="H463">
        <v>1341.5400391000001</v>
      </c>
      <c r="I463">
        <v>1314.0561522999999</v>
      </c>
      <c r="J463">
        <v>1306.0581055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97.708937000000006</v>
      </c>
      <c r="B464" s="1">
        <f>DATE(2010,8,6) + TIME(17,0,52)</f>
        <v>40396.708935185183</v>
      </c>
      <c r="C464">
        <v>80</v>
      </c>
      <c r="D464">
        <v>79.931793213000006</v>
      </c>
      <c r="E464">
        <v>50</v>
      </c>
      <c r="F464">
        <v>15.011693954</v>
      </c>
      <c r="G464">
        <v>1345.0472411999999</v>
      </c>
      <c r="H464">
        <v>1341.5300293</v>
      </c>
      <c r="I464">
        <v>1314.0632324000001</v>
      </c>
      <c r="J464">
        <v>1306.0628661999999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98.437556000000001</v>
      </c>
      <c r="B465" s="1">
        <f>DATE(2010,8,7) + TIME(10,30,4)</f>
        <v>40397.4375462963</v>
      </c>
      <c r="C465">
        <v>80</v>
      </c>
      <c r="D465">
        <v>79.931823730000005</v>
      </c>
      <c r="E465">
        <v>50</v>
      </c>
      <c r="F465">
        <v>15.013736724999999</v>
      </c>
      <c r="G465">
        <v>1345.034668</v>
      </c>
      <c r="H465">
        <v>1341.5198975000001</v>
      </c>
      <c r="I465">
        <v>1314.0704346</v>
      </c>
      <c r="J465">
        <v>1306.0678711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99.167153999999996</v>
      </c>
      <c r="B466" s="1">
        <f>DATE(2010,8,8) + TIME(4,0,42)</f>
        <v>40398.16715277778</v>
      </c>
      <c r="C466">
        <v>80</v>
      </c>
      <c r="D466">
        <v>79.931861877000003</v>
      </c>
      <c r="E466">
        <v>50</v>
      </c>
      <c r="F466">
        <v>15.016093253999999</v>
      </c>
      <c r="G466">
        <v>1345.0220947</v>
      </c>
      <c r="H466">
        <v>1341.5098877</v>
      </c>
      <c r="I466">
        <v>1314.0778809000001</v>
      </c>
      <c r="J466">
        <v>1306.072876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99.899556000000004</v>
      </c>
      <c r="B467" s="1">
        <f>DATE(2010,8,8) + TIME(21,35,21)</f>
        <v>40398.899548611109</v>
      </c>
      <c r="C467">
        <v>80</v>
      </c>
      <c r="D467">
        <v>79.931900024000001</v>
      </c>
      <c r="E467">
        <v>50</v>
      </c>
      <c r="F467">
        <v>15.018812179999999</v>
      </c>
      <c r="G467">
        <v>1345.0096435999999</v>
      </c>
      <c r="H467">
        <v>1341.4998779</v>
      </c>
      <c r="I467">
        <v>1314.0854492000001</v>
      </c>
      <c r="J467">
        <v>1306.078125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100.267088</v>
      </c>
      <c r="B468" s="1">
        <f>DATE(2010,8,9) + TIME(6,24,36)</f>
        <v>40399.267083333332</v>
      </c>
      <c r="C468">
        <v>80</v>
      </c>
      <c r="D468">
        <v>79.931907654</v>
      </c>
      <c r="E468">
        <v>50</v>
      </c>
      <c r="F468">
        <v>15.020864487000001</v>
      </c>
      <c r="G468">
        <v>1344.9991454999999</v>
      </c>
      <c r="H468">
        <v>1341.4915771000001</v>
      </c>
      <c r="I468">
        <v>1314.0926514</v>
      </c>
      <c r="J468">
        <v>1306.0827637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100.634621</v>
      </c>
      <c r="B469" s="1">
        <f>DATE(2010,8,9) + TIME(15,13,51)</f>
        <v>40399.634618055556</v>
      </c>
      <c r="C469">
        <v>80</v>
      </c>
      <c r="D469">
        <v>79.931922912999994</v>
      </c>
      <c r="E469">
        <v>50</v>
      </c>
      <c r="F469">
        <v>15.022922516</v>
      </c>
      <c r="G469">
        <v>1344.9918213000001</v>
      </c>
      <c r="H469">
        <v>1341.4855957</v>
      </c>
      <c r="I469">
        <v>1314.0972899999999</v>
      </c>
      <c r="J469">
        <v>1306.0860596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101.00215300000001</v>
      </c>
      <c r="B470" s="1">
        <f>DATE(2010,8,10) + TIME(0,3,5)</f>
        <v>40400.002141203702</v>
      </c>
      <c r="C470">
        <v>80</v>
      </c>
      <c r="D470">
        <v>79.931938170999999</v>
      </c>
      <c r="E470">
        <v>50</v>
      </c>
      <c r="F470">
        <v>15.025031090000001</v>
      </c>
      <c r="G470">
        <v>1344.9852295000001</v>
      </c>
      <c r="H470">
        <v>1341.4801024999999</v>
      </c>
      <c r="I470">
        <v>1314.1014404</v>
      </c>
      <c r="J470">
        <v>1306.0889893000001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101.369685</v>
      </c>
      <c r="B471" s="1">
        <f>DATE(2010,8,10) + TIME(8,52,20)</f>
        <v>40400.369675925926</v>
      </c>
      <c r="C471">
        <v>80</v>
      </c>
      <c r="D471">
        <v>79.931961060000006</v>
      </c>
      <c r="E471">
        <v>50</v>
      </c>
      <c r="F471">
        <v>15.027224541000001</v>
      </c>
      <c r="G471">
        <v>1344.9787598</v>
      </c>
      <c r="H471">
        <v>1341.4749756000001</v>
      </c>
      <c r="I471">
        <v>1314.1055908000001</v>
      </c>
      <c r="J471">
        <v>1306.0916748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101.737217</v>
      </c>
      <c r="B472" s="1">
        <f>DATE(2010,8,10) + TIME(17,41,35)</f>
        <v>40400.737210648149</v>
      </c>
      <c r="C472">
        <v>80</v>
      </c>
      <c r="D472">
        <v>79.931976317999997</v>
      </c>
      <c r="E472">
        <v>50</v>
      </c>
      <c r="F472">
        <v>15.029530525</v>
      </c>
      <c r="G472">
        <v>1344.9725341999999</v>
      </c>
      <c r="H472">
        <v>1341.4698486</v>
      </c>
      <c r="I472">
        <v>1314.1097411999999</v>
      </c>
      <c r="J472">
        <v>1306.0944824000001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102.104749</v>
      </c>
      <c r="B473" s="1">
        <f>DATE(2010,8,11) + TIME(2,30,50)</f>
        <v>40401.104745370372</v>
      </c>
      <c r="C473">
        <v>80</v>
      </c>
      <c r="D473">
        <v>79.931999207000004</v>
      </c>
      <c r="E473">
        <v>50</v>
      </c>
      <c r="F473">
        <v>15.031970978</v>
      </c>
      <c r="G473">
        <v>1344.9663086</v>
      </c>
      <c r="H473">
        <v>1341.4648437999999</v>
      </c>
      <c r="I473">
        <v>1314.1138916</v>
      </c>
      <c r="J473">
        <v>1306.0972899999999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102.47228200000001</v>
      </c>
      <c r="B474" s="1">
        <f>DATE(2010,8,11) + TIME(11,20,5)</f>
        <v>40401.472280092596</v>
      </c>
      <c r="C474">
        <v>80</v>
      </c>
      <c r="D474">
        <v>79.932014464999995</v>
      </c>
      <c r="E474">
        <v>50</v>
      </c>
      <c r="F474">
        <v>15.034564972</v>
      </c>
      <c r="G474">
        <v>1344.9602050999999</v>
      </c>
      <c r="H474">
        <v>1341.4598389</v>
      </c>
      <c r="I474">
        <v>1314.1181641000001</v>
      </c>
      <c r="J474">
        <v>1306.1002197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102.839814</v>
      </c>
      <c r="B475" s="1">
        <f>DATE(2010,8,11) + TIME(20,9,19)</f>
        <v>40401.839803240742</v>
      </c>
      <c r="C475">
        <v>80</v>
      </c>
      <c r="D475">
        <v>79.932037354000002</v>
      </c>
      <c r="E475">
        <v>50</v>
      </c>
      <c r="F475">
        <v>15.037329674</v>
      </c>
      <c r="G475">
        <v>1344.9541016000001</v>
      </c>
      <c r="H475">
        <v>1341.4549560999999</v>
      </c>
      <c r="I475">
        <v>1314.1224365</v>
      </c>
      <c r="J475">
        <v>1306.1031493999999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103.207346</v>
      </c>
      <c r="B476" s="1">
        <f>DATE(2010,8,12) + TIME(4,58,34)</f>
        <v>40402.207337962966</v>
      </c>
      <c r="C476">
        <v>80</v>
      </c>
      <c r="D476">
        <v>79.932060242000006</v>
      </c>
      <c r="E476">
        <v>50</v>
      </c>
      <c r="F476">
        <v>15.040282249000001</v>
      </c>
      <c r="G476">
        <v>1344.9479980000001</v>
      </c>
      <c r="H476">
        <v>1341.4499512</v>
      </c>
      <c r="I476">
        <v>1314.1268310999999</v>
      </c>
      <c r="J476">
        <v>1306.1060791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103.94241</v>
      </c>
      <c r="B477" s="1">
        <f>DATE(2010,8,12) + TIME(22,37,4)</f>
        <v>40402.942407407405</v>
      </c>
      <c r="C477">
        <v>80</v>
      </c>
      <c r="D477">
        <v>79.932113646999994</v>
      </c>
      <c r="E477">
        <v>50</v>
      </c>
      <c r="F477">
        <v>15.045104027000001</v>
      </c>
      <c r="G477">
        <v>1344.9406738</v>
      </c>
      <c r="H477">
        <v>1341.4439697</v>
      </c>
      <c r="I477">
        <v>1314.1313477000001</v>
      </c>
      <c r="J477">
        <v>1306.109375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104.679215</v>
      </c>
      <c r="B478" s="1">
        <f>DATE(2010,8,13) + TIME(16,18,4)</f>
        <v>40403.679212962961</v>
      </c>
      <c r="C478">
        <v>80</v>
      </c>
      <c r="D478">
        <v>79.932159424000005</v>
      </c>
      <c r="E478">
        <v>50</v>
      </c>
      <c r="F478">
        <v>15.051301003000001</v>
      </c>
      <c r="G478">
        <v>1344.9294434000001</v>
      </c>
      <c r="H478">
        <v>1341.4349365</v>
      </c>
      <c r="I478">
        <v>1314.1398925999999</v>
      </c>
      <c r="J478">
        <v>1306.1149902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105.42695500000001</v>
      </c>
      <c r="B479" s="1">
        <f>DATE(2010,8,14) + TIME(10,14,48)</f>
        <v>40404.426944444444</v>
      </c>
      <c r="C479">
        <v>80</v>
      </c>
      <c r="D479">
        <v>79.932205199999999</v>
      </c>
      <c r="E479">
        <v>50</v>
      </c>
      <c r="F479">
        <v>15.058797836</v>
      </c>
      <c r="G479">
        <v>1344.9177245999999</v>
      </c>
      <c r="H479">
        <v>1341.4254149999999</v>
      </c>
      <c r="I479">
        <v>1314.1491699000001</v>
      </c>
      <c r="J479">
        <v>1306.1212158000001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106.17571599999999</v>
      </c>
      <c r="B480" s="1">
        <f>DATE(2010,8,15) + TIME(4,13,1)</f>
        <v>40405.175706018519</v>
      </c>
      <c r="C480">
        <v>80</v>
      </c>
      <c r="D480">
        <v>79.932243346999996</v>
      </c>
      <c r="E480">
        <v>50</v>
      </c>
      <c r="F480">
        <v>15.067586899</v>
      </c>
      <c r="G480">
        <v>1344.9056396000001</v>
      </c>
      <c r="H480">
        <v>1341.4156493999999</v>
      </c>
      <c r="I480">
        <v>1314.1588135</v>
      </c>
      <c r="J480">
        <v>1306.1276855000001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106.927047</v>
      </c>
      <c r="B481" s="1">
        <f>DATE(2010,8,15) + TIME(22,14,56)</f>
        <v>40405.927037037036</v>
      </c>
      <c r="C481">
        <v>80</v>
      </c>
      <c r="D481">
        <v>79.932289123999993</v>
      </c>
      <c r="E481">
        <v>50</v>
      </c>
      <c r="F481">
        <v>15.077753067</v>
      </c>
      <c r="G481">
        <v>1344.8935547000001</v>
      </c>
      <c r="H481">
        <v>1341.4058838000001</v>
      </c>
      <c r="I481">
        <v>1314.1687012</v>
      </c>
      <c r="J481">
        <v>1306.1343993999999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107.682914</v>
      </c>
      <c r="B482" s="1">
        <f>DATE(2010,8,16) + TIME(16,23,23)</f>
        <v>40406.682905092595</v>
      </c>
      <c r="C482">
        <v>80</v>
      </c>
      <c r="D482">
        <v>79.932327271000005</v>
      </c>
      <c r="E482">
        <v>50</v>
      </c>
      <c r="F482">
        <v>15.089452744000001</v>
      </c>
      <c r="G482">
        <v>1344.8815918</v>
      </c>
      <c r="H482">
        <v>1341.3961182</v>
      </c>
      <c r="I482">
        <v>1314.1788329999999</v>
      </c>
      <c r="J482">
        <v>1306.1413574000001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108.061893</v>
      </c>
      <c r="B483" s="1">
        <f>DATE(2010,8,17) + TIME(1,29,7)</f>
        <v>40407.061886574076</v>
      </c>
      <c r="C483">
        <v>80</v>
      </c>
      <c r="D483">
        <v>79.932334900000001</v>
      </c>
      <c r="E483">
        <v>50</v>
      </c>
      <c r="F483">
        <v>15.098279953</v>
      </c>
      <c r="G483">
        <v>1344.8713379000001</v>
      </c>
      <c r="H483">
        <v>1341.3880615</v>
      </c>
      <c r="I483">
        <v>1314.1892089999999</v>
      </c>
      <c r="J483">
        <v>1306.1478271000001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108.440872</v>
      </c>
      <c r="B484" s="1">
        <f>DATE(2010,8,17) + TIME(10,34,51)</f>
        <v>40407.440868055557</v>
      </c>
      <c r="C484">
        <v>80</v>
      </c>
      <c r="D484">
        <v>79.932357788000004</v>
      </c>
      <c r="E484">
        <v>50</v>
      </c>
      <c r="F484">
        <v>15.107060432000001</v>
      </c>
      <c r="G484">
        <v>1344.8642577999999</v>
      </c>
      <c r="H484">
        <v>1341.3822021000001</v>
      </c>
      <c r="I484">
        <v>1314.1951904</v>
      </c>
      <c r="J484">
        <v>1306.1522216999999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108.819851</v>
      </c>
      <c r="B485" s="1">
        <f>DATE(2010,8,17) + TIME(19,40,35)</f>
        <v>40407.819849537038</v>
      </c>
      <c r="C485">
        <v>80</v>
      </c>
      <c r="D485">
        <v>79.932373046999999</v>
      </c>
      <c r="E485">
        <v>50</v>
      </c>
      <c r="F485">
        <v>15.115998268</v>
      </c>
      <c r="G485">
        <v>1344.8577881000001</v>
      </c>
      <c r="H485">
        <v>1341.3768310999999</v>
      </c>
      <c r="I485">
        <v>1314.2008057</v>
      </c>
      <c r="J485">
        <v>1306.1561279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109.19883</v>
      </c>
      <c r="B486" s="1">
        <f>DATE(2010,8,18) + TIME(4,46,18)</f>
        <v>40408.198819444442</v>
      </c>
      <c r="C486">
        <v>80</v>
      </c>
      <c r="D486">
        <v>79.932395935000002</v>
      </c>
      <c r="E486">
        <v>50</v>
      </c>
      <c r="F486">
        <v>15.125240326</v>
      </c>
      <c r="G486">
        <v>1344.8516846</v>
      </c>
      <c r="H486">
        <v>1341.3718262</v>
      </c>
      <c r="I486">
        <v>1314.2064209</v>
      </c>
      <c r="J486">
        <v>1306.1600341999999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109.577809</v>
      </c>
      <c r="B487" s="1">
        <f>DATE(2010,8,18) + TIME(13,52,2)</f>
        <v>40408.577800925923</v>
      </c>
      <c r="C487">
        <v>80</v>
      </c>
      <c r="D487">
        <v>79.932418823000006</v>
      </c>
      <c r="E487">
        <v>50</v>
      </c>
      <c r="F487">
        <v>15.134902</v>
      </c>
      <c r="G487">
        <v>1344.8455810999999</v>
      </c>
      <c r="H487">
        <v>1341.3668213000001</v>
      </c>
      <c r="I487">
        <v>1314.2120361</v>
      </c>
      <c r="J487">
        <v>1306.1639404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109.956788</v>
      </c>
      <c r="B488" s="1">
        <f>DATE(2010,8,18) + TIME(22,57,46)</f>
        <v>40408.956782407404</v>
      </c>
      <c r="C488">
        <v>80</v>
      </c>
      <c r="D488">
        <v>79.932441710999996</v>
      </c>
      <c r="E488">
        <v>50</v>
      </c>
      <c r="F488">
        <v>15.145073890999999</v>
      </c>
      <c r="G488">
        <v>1344.8394774999999</v>
      </c>
      <c r="H488">
        <v>1341.3618164</v>
      </c>
      <c r="I488">
        <v>1314.2177733999999</v>
      </c>
      <c r="J488">
        <v>1306.1679687999999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110.335767</v>
      </c>
      <c r="B489" s="1">
        <f>DATE(2010,8,19) + TIME(8,3,30)</f>
        <v>40409.335763888892</v>
      </c>
      <c r="C489">
        <v>80</v>
      </c>
      <c r="D489">
        <v>79.932456970000004</v>
      </c>
      <c r="E489">
        <v>50</v>
      </c>
      <c r="F489">
        <v>15.155830383</v>
      </c>
      <c r="G489">
        <v>1344.8334961</v>
      </c>
      <c r="H489">
        <v>1341.3569336</v>
      </c>
      <c r="I489">
        <v>1314.2236327999999</v>
      </c>
      <c r="J489">
        <v>1306.1719971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110.714747</v>
      </c>
      <c r="B490" s="1">
        <f>DATE(2010,8,19) + TIME(17,9,14)</f>
        <v>40409.714745370373</v>
      </c>
      <c r="C490">
        <v>80</v>
      </c>
      <c r="D490">
        <v>79.932479857999994</v>
      </c>
      <c r="E490">
        <v>50</v>
      </c>
      <c r="F490">
        <v>15.167238234999999</v>
      </c>
      <c r="G490">
        <v>1344.8276367000001</v>
      </c>
      <c r="H490">
        <v>1341.3520507999999</v>
      </c>
      <c r="I490">
        <v>1314.2294922000001</v>
      </c>
      <c r="J490">
        <v>1306.1761475000001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111.472705</v>
      </c>
      <c r="B491" s="1">
        <f>DATE(2010,8,20) + TIME(11,20,41)</f>
        <v>40410.472696759258</v>
      </c>
      <c r="C491">
        <v>80</v>
      </c>
      <c r="D491">
        <v>79.932540893999999</v>
      </c>
      <c r="E491">
        <v>50</v>
      </c>
      <c r="F491">
        <v>15.185638428000001</v>
      </c>
      <c r="G491">
        <v>1344.8204346</v>
      </c>
      <c r="H491">
        <v>1341.3460693</v>
      </c>
      <c r="I491">
        <v>1314.2352295000001</v>
      </c>
      <c r="J491">
        <v>1306.1807861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112.233001</v>
      </c>
      <c r="B492" s="1">
        <f>DATE(2010,8,21) + TIME(5,35,31)</f>
        <v>40411.232997685183</v>
      </c>
      <c r="C492">
        <v>80</v>
      </c>
      <c r="D492">
        <v>79.932594299000002</v>
      </c>
      <c r="E492">
        <v>50</v>
      </c>
      <c r="F492">
        <v>15.209213257</v>
      </c>
      <c r="G492">
        <v>1344.8094481999999</v>
      </c>
      <c r="H492">
        <v>1341.3372803</v>
      </c>
      <c r="I492">
        <v>1314.2471923999999</v>
      </c>
      <c r="J492">
        <v>1306.1889647999999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113.001287</v>
      </c>
      <c r="B493" s="1">
        <f>DATE(2010,8,22) + TIME(0,1,51)</f>
        <v>40412.001284722224</v>
      </c>
      <c r="C493">
        <v>80</v>
      </c>
      <c r="D493">
        <v>79.932640075999998</v>
      </c>
      <c r="E493">
        <v>50</v>
      </c>
      <c r="F493">
        <v>15.237458229</v>
      </c>
      <c r="G493">
        <v>1344.7979736</v>
      </c>
      <c r="H493">
        <v>1341.3278809000001</v>
      </c>
      <c r="I493">
        <v>1314.2598877</v>
      </c>
      <c r="J493">
        <v>1306.1979980000001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113.77168899999999</v>
      </c>
      <c r="B494" s="1">
        <f>DATE(2010,8,22) + TIME(18,31,13)</f>
        <v>40412.771678240744</v>
      </c>
      <c r="C494">
        <v>80</v>
      </c>
      <c r="D494">
        <v>79.932678222999996</v>
      </c>
      <c r="E494">
        <v>50</v>
      </c>
      <c r="F494">
        <v>15.270274162</v>
      </c>
      <c r="G494">
        <v>1344.7862548999999</v>
      </c>
      <c r="H494">
        <v>1341.3183594</v>
      </c>
      <c r="I494">
        <v>1314.2730713000001</v>
      </c>
      <c r="J494">
        <v>1306.2075195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114.15903900000001</v>
      </c>
      <c r="B495" s="1">
        <f>DATE(2010,8,23) + TIME(3,49,1)</f>
        <v>40413.159039351849</v>
      </c>
      <c r="C495">
        <v>80</v>
      </c>
      <c r="D495">
        <v>79.932693481000001</v>
      </c>
      <c r="E495">
        <v>50</v>
      </c>
      <c r="F495">
        <v>15.295178413</v>
      </c>
      <c r="G495">
        <v>1344.7763672000001</v>
      </c>
      <c r="H495">
        <v>1341.3104248</v>
      </c>
      <c r="I495">
        <v>1314.2872314000001</v>
      </c>
      <c r="J495">
        <v>1306.2164307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114.546389</v>
      </c>
      <c r="B496" s="1">
        <f>DATE(2010,8,23) + TIME(13,6,48)</f>
        <v>40413.546388888892</v>
      </c>
      <c r="C496">
        <v>80</v>
      </c>
      <c r="D496">
        <v>79.932708739999995</v>
      </c>
      <c r="E496">
        <v>50</v>
      </c>
      <c r="F496">
        <v>15.319817542999999</v>
      </c>
      <c r="G496">
        <v>1344.7694091999999</v>
      </c>
      <c r="H496">
        <v>1341.3045654</v>
      </c>
      <c r="I496">
        <v>1314.2946777</v>
      </c>
      <c r="J496">
        <v>1306.2224120999999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114.933739</v>
      </c>
      <c r="B497" s="1">
        <f>DATE(2010,8,23) + TIME(22,24,35)</f>
        <v>40413.933738425927</v>
      </c>
      <c r="C497">
        <v>80</v>
      </c>
      <c r="D497">
        <v>79.932731627999999</v>
      </c>
      <c r="E497">
        <v>50</v>
      </c>
      <c r="F497">
        <v>15.344764709</v>
      </c>
      <c r="G497">
        <v>1344.7630615</v>
      </c>
      <c r="H497">
        <v>1341.2993164</v>
      </c>
      <c r="I497">
        <v>1314.3017577999999</v>
      </c>
      <c r="J497">
        <v>1306.2280272999999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115.32109</v>
      </c>
      <c r="B498" s="1">
        <f>DATE(2010,8,24) + TIME(7,42,22)</f>
        <v>40414.321087962962</v>
      </c>
      <c r="C498">
        <v>80</v>
      </c>
      <c r="D498">
        <v>79.932754517000006</v>
      </c>
      <c r="E498">
        <v>50</v>
      </c>
      <c r="F498">
        <v>15.370433807</v>
      </c>
      <c r="G498">
        <v>1344.7569579999999</v>
      </c>
      <c r="H498">
        <v>1341.2943115</v>
      </c>
      <c r="I498">
        <v>1314.3088379000001</v>
      </c>
      <c r="J498">
        <v>1306.2335204999999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115.70799100000001</v>
      </c>
      <c r="B499" s="1">
        <f>DATE(2010,8,24) + TIME(16,59,30)</f>
        <v>40414.707986111112</v>
      </c>
      <c r="C499">
        <v>80</v>
      </c>
      <c r="D499">
        <v>79.932777404999996</v>
      </c>
      <c r="E499">
        <v>50</v>
      </c>
      <c r="F499">
        <v>15.397112846000001</v>
      </c>
      <c r="G499">
        <v>1344.7509766000001</v>
      </c>
      <c r="H499">
        <v>1341.2894286999999</v>
      </c>
      <c r="I499">
        <v>1314.3161620999999</v>
      </c>
      <c r="J499">
        <v>1306.2391356999999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116.09426999999999</v>
      </c>
      <c r="B500" s="1">
        <f>DATE(2010,8,25) + TIME(2,15,44)</f>
        <v>40415.094259259262</v>
      </c>
      <c r="C500">
        <v>80</v>
      </c>
      <c r="D500">
        <v>79.932800293</v>
      </c>
      <c r="E500">
        <v>50</v>
      </c>
      <c r="F500">
        <v>15.425020218</v>
      </c>
      <c r="G500">
        <v>1344.7451172000001</v>
      </c>
      <c r="H500">
        <v>1341.2845459</v>
      </c>
      <c r="I500">
        <v>1314.3234863</v>
      </c>
      <c r="J500">
        <v>1306.2448730000001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116.479983</v>
      </c>
      <c r="B501" s="1">
        <f>DATE(2010,8,25) + TIME(11,31,10)</f>
        <v>40415.47997685185</v>
      </c>
      <c r="C501">
        <v>80</v>
      </c>
      <c r="D501">
        <v>79.932823181000003</v>
      </c>
      <c r="E501">
        <v>50</v>
      </c>
      <c r="F501">
        <v>15.454339981</v>
      </c>
      <c r="G501">
        <v>1344.7392577999999</v>
      </c>
      <c r="H501">
        <v>1341.2796631000001</v>
      </c>
      <c r="I501">
        <v>1314.3309326000001</v>
      </c>
      <c r="J501">
        <v>1306.2507324000001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116.865202</v>
      </c>
      <c r="B502" s="1">
        <f>DATE(2010,8,25) + TIME(20,45,53)</f>
        <v>40415.86519675926</v>
      </c>
      <c r="C502">
        <v>80</v>
      </c>
      <c r="D502">
        <v>79.932846068999993</v>
      </c>
      <c r="E502">
        <v>50</v>
      </c>
      <c r="F502">
        <v>15.485221863</v>
      </c>
      <c r="G502">
        <v>1344.7333983999999</v>
      </c>
      <c r="H502">
        <v>1341.2749022999999</v>
      </c>
      <c r="I502">
        <v>1314.338501</v>
      </c>
      <c r="J502">
        <v>1306.2568358999999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117.25001399999999</v>
      </c>
      <c r="B503" s="1">
        <f>DATE(2010,8,26) + TIME(6,0,1)</f>
        <v>40416.250011574077</v>
      </c>
      <c r="C503">
        <v>80</v>
      </c>
      <c r="D503">
        <v>79.932868958</v>
      </c>
      <c r="E503">
        <v>50</v>
      </c>
      <c r="F503">
        <v>15.517801285000001</v>
      </c>
      <c r="G503">
        <v>1344.7275391000001</v>
      </c>
      <c r="H503">
        <v>1341.2701416</v>
      </c>
      <c r="I503">
        <v>1314.3460693</v>
      </c>
      <c r="J503">
        <v>1306.2629394999999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117.63452100000001</v>
      </c>
      <c r="B504" s="1">
        <f>DATE(2010,8,26) + TIME(15,13,42)</f>
        <v>40416.634513888886</v>
      </c>
      <c r="C504">
        <v>80</v>
      </c>
      <c r="D504">
        <v>79.932891846000004</v>
      </c>
      <c r="E504">
        <v>50</v>
      </c>
      <c r="F504">
        <v>15.552202225</v>
      </c>
      <c r="G504">
        <v>1344.7218018000001</v>
      </c>
      <c r="H504">
        <v>1341.2653809000001</v>
      </c>
      <c r="I504">
        <v>1314.3538818</v>
      </c>
      <c r="J504">
        <v>1306.2692870999999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118.40316199999999</v>
      </c>
      <c r="B505" s="1">
        <f>DATE(2010,8,27) + TIME(9,40,33)</f>
        <v>40417.40315972222</v>
      </c>
      <c r="C505">
        <v>80</v>
      </c>
      <c r="D505">
        <v>79.932952881000006</v>
      </c>
      <c r="E505">
        <v>50</v>
      </c>
      <c r="F505">
        <v>15.607108115999999</v>
      </c>
      <c r="G505">
        <v>1344.7148437999999</v>
      </c>
      <c r="H505">
        <v>1341.2593993999999</v>
      </c>
      <c r="I505">
        <v>1314.3602295000001</v>
      </c>
      <c r="J505">
        <v>1306.2764893000001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119.173233</v>
      </c>
      <c r="B506" s="1">
        <f>DATE(2010,8,28) + TIME(4,9,27)</f>
        <v>40418.173229166663</v>
      </c>
      <c r="C506">
        <v>80</v>
      </c>
      <c r="D506">
        <v>79.933006286999998</v>
      </c>
      <c r="E506">
        <v>50</v>
      </c>
      <c r="F506">
        <v>15.677034378</v>
      </c>
      <c r="G506">
        <v>1344.7042236</v>
      </c>
      <c r="H506">
        <v>1341.2507324000001</v>
      </c>
      <c r="I506">
        <v>1314.3762207</v>
      </c>
      <c r="J506">
        <v>1306.2890625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119.95849699999999</v>
      </c>
      <c r="B507" s="1">
        <f>DATE(2010,8,28) + TIME(23,0,14)</f>
        <v>40418.958495370367</v>
      </c>
      <c r="C507">
        <v>80</v>
      </c>
      <c r="D507">
        <v>79.933052063000005</v>
      </c>
      <c r="E507">
        <v>50</v>
      </c>
      <c r="F507">
        <v>15.760248184</v>
      </c>
      <c r="G507">
        <v>1344.6929932</v>
      </c>
      <c r="H507">
        <v>1341.2415771000001</v>
      </c>
      <c r="I507">
        <v>1314.3927002</v>
      </c>
      <c r="J507">
        <v>1306.3028564000001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120.354377</v>
      </c>
      <c r="B508" s="1">
        <f>DATE(2010,8,29) + TIME(8,30,18)</f>
        <v>40419.354375000003</v>
      </c>
      <c r="C508">
        <v>80</v>
      </c>
      <c r="D508">
        <v>79.933067321999999</v>
      </c>
      <c r="E508">
        <v>50</v>
      </c>
      <c r="F508">
        <v>15.824155807</v>
      </c>
      <c r="G508">
        <v>1344.6833495999999</v>
      </c>
      <c r="H508">
        <v>1341.2338867000001</v>
      </c>
      <c r="I508">
        <v>1314.4121094</v>
      </c>
      <c r="J508">
        <v>1306.3162841999999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121.121318</v>
      </c>
      <c r="B509" s="1">
        <f>DATE(2010,8,30) + TIME(2,54,41)</f>
        <v>40420.121307870373</v>
      </c>
      <c r="C509">
        <v>80</v>
      </c>
      <c r="D509">
        <v>79.933120728000006</v>
      </c>
      <c r="E509">
        <v>50</v>
      </c>
      <c r="F509">
        <v>15.916857718999999</v>
      </c>
      <c r="G509">
        <v>1344.6750488</v>
      </c>
      <c r="H509">
        <v>1341.2266846</v>
      </c>
      <c r="I509">
        <v>1314.4183350000001</v>
      </c>
      <c r="J509">
        <v>1306.3264160000001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121.512974</v>
      </c>
      <c r="B510" s="1">
        <f>DATE(2010,8,30) + TIME(12,18,40)</f>
        <v>40420.512962962966</v>
      </c>
      <c r="C510">
        <v>80</v>
      </c>
      <c r="D510">
        <v>79.933135985999996</v>
      </c>
      <c r="E510">
        <v>50</v>
      </c>
      <c r="F510">
        <v>15.989396095</v>
      </c>
      <c r="G510">
        <v>1344.6660156</v>
      </c>
      <c r="H510">
        <v>1341.2194824000001</v>
      </c>
      <c r="I510">
        <v>1314.4379882999999</v>
      </c>
      <c r="J510">
        <v>1306.3400879000001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122.268304</v>
      </c>
      <c r="B511" s="1">
        <f>DATE(2010,8,31) + TIME(6,26,21)</f>
        <v>40421.26829861111</v>
      </c>
      <c r="C511">
        <v>80</v>
      </c>
      <c r="D511">
        <v>79.933189392000003</v>
      </c>
      <c r="E511">
        <v>50</v>
      </c>
      <c r="F511">
        <v>16.094896317</v>
      </c>
      <c r="G511">
        <v>1344.6579589999999</v>
      </c>
      <c r="H511">
        <v>1341.2125243999999</v>
      </c>
      <c r="I511">
        <v>1314.4439697</v>
      </c>
      <c r="J511">
        <v>1306.3508300999999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123</v>
      </c>
      <c r="B512" s="1">
        <f>DATE(2010,9,1) + TIME(0,0,0)</f>
        <v>40422</v>
      </c>
      <c r="C512">
        <v>80</v>
      </c>
      <c r="D512">
        <v>79.933235167999996</v>
      </c>
      <c r="E512">
        <v>50</v>
      </c>
      <c r="F512">
        <v>16.215719223000001</v>
      </c>
      <c r="G512">
        <v>1344.6475829999999</v>
      </c>
      <c r="H512">
        <v>1341.2038574000001</v>
      </c>
      <c r="I512">
        <v>1314.4611815999999</v>
      </c>
      <c r="J512">
        <v>1306.3670654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123.779122</v>
      </c>
      <c r="B513" s="1">
        <f>DATE(2010,9,1) + TIME(18,41,56)</f>
        <v>40422.779120370367</v>
      </c>
      <c r="C513">
        <v>80</v>
      </c>
      <c r="D513">
        <v>79.933288574000002</v>
      </c>
      <c r="E513">
        <v>50</v>
      </c>
      <c r="F513">
        <v>16.354824065999999</v>
      </c>
      <c r="G513">
        <v>1344.6368408000001</v>
      </c>
      <c r="H513">
        <v>1341.1950684000001</v>
      </c>
      <c r="I513">
        <v>1314.4777832</v>
      </c>
      <c r="J513">
        <v>1306.3842772999999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124.174623</v>
      </c>
      <c r="B514" s="1">
        <f>DATE(2010,9,2) + TIME(4,11,27)</f>
        <v>40423.174618055556</v>
      </c>
      <c r="C514">
        <v>80</v>
      </c>
      <c r="D514">
        <v>79.933303832999997</v>
      </c>
      <c r="E514">
        <v>50</v>
      </c>
      <c r="F514">
        <v>16.460113525000001</v>
      </c>
      <c r="G514">
        <v>1344.6275635</v>
      </c>
      <c r="H514">
        <v>1341.1875</v>
      </c>
      <c r="I514">
        <v>1314.5001221</v>
      </c>
      <c r="J514">
        <v>1306.4013672000001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124.57012400000001</v>
      </c>
      <c r="B515" s="1">
        <f>DATE(2010,9,2) + TIME(13,40,58)</f>
        <v>40423.570115740738</v>
      </c>
      <c r="C515">
        <v>80</v>
      </c>
      <c r="D515">
        <v>79.933319092000005</v>
      </c>
      <c r="E515">
        <v>50</v>
      </c>
      <c r="F515">
        <v>16.562374115000001</v>
      </c>
      <c r="G515">
        <v>1344.6208495999999</v>
      </c>
      <c r="H515">
        <v>1341.1817627</v>
      </c>
      <c r="I515">
        <v>1314.5089111</v>
      </c>
      <c r="J515">
        <v>1306.4128418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124.965625</v>
      </c>
      <c r="B516" s="1">
        <f>DATE(2010,9,2) + TIME(23,10,30)</f>
        <v>40423.965624999997</v>
      </c>
      <c r="C516">
        <v>80</v>
      </c>
      <c r="D516">
        <v>79.933341979999994</v>
      </c>
      <c r="E516">
        <v>50</v>
      </c>
      <c r="F516">
        <v>16.664047240999999</v>
      </c>
      <c r="G516">
        <v>1344.6147461</v>
      </c>
      <c r="H516">
        <v>1341.1766356999999</v>
      </c>
      <c r="I516">
        <v>1314.5175781</v>
      </c>
      <c r="J516">
        <v>1306.4239502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125.361127</v>
      </c>
      <c r="B517" s="1">
        <f>DATE(2010,9,3) + TIME(8,40,1)</f>
        <v>40424.361122685186</v>
      </c>
      <c r="C517">
        <v>80</v>
      </c>
      <c r="D517">
        <v>79.933364867999998</v>
      </c>
      <c r="E517">
        <v>50</v>
      </c>
      <c r="F517">
        <v>16.766847609999999</v>
      </c>
      <c r="G517">
        <v>1344.6087646000001</v>
      </c>
      <c r="H517">
        <v>1341.1717529</v>
      </c>
      <c r="I517">
        <v>1314.5263672000001</v>
      </c>
      <c r="J517">
        <v>1306.4349365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125.75662800000001</v>
      </c>
      <c r="B518" s="1">
        <f>DATE(2010,9,3) + TIME(18,9,32)</f>
        <v>40424.756620370368</v>
      </c>
      <c r="C518">
        <v>80</v>
      </c>
      <c r="D518">
        <v>79.933395386000001</v>
      </c>
      <c r="E518">
        <v>50</v>
      </c>
      <c r="F518">
        <v>16.87195015</v>
      </c>
      <c r="G518">
        <v>1344.6030272999999</v>
      </c>
      <c r="H518">
        <v>1341.1668701000001</v>
      </c>
      <c r="I518">
        <v>1314.5352783000001</v>
      </c>
      <c r="J518">
        <v>1306.4462891000001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126.152129</v>
      </c>
      <c r="B519" s="1">
        <f>DATE(2010,9,4) + TIME(3,39,3)</f>
        <v>40425.152118055557</v>
      </c>
      <c r="C519">
        <v>80</v>
      </c>
      <c r="D519">
        <v>79.933418274000005</v>
      </c>
      <c r="E519">
        <v>50</v>
      </c>
      <c r="F519">
        <v>16.980195998999999</v>
      </c>
      <c r="G519">
        <v>1344.5972899999999</v>
      </c>
      <c r="H519">
        <v>1341.1621094</v>
      </c>
      <c r="I519">
        <v>1314.5443115</v>
      </c>
      <c r="J519">
        <v>1306.4577637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126.54763</v>
      </c>
      <c r="B520" s="1">
        <f>DATE(2010,9,4) + TIME(13,8,35)</f>
        <v>40425.547627314816</v>
      </c>
      <c r="C520">
        <v>80</v>
      </c>
      <c r="D520">
        <v>79.933441161999994</v>
      </c>
      <c r="E520">
        <v>50</v>
      </c>
      <c r="F520">
        <v>17.092164993000001</v>
      </c>
      <c r="G520">
        <v>1344.5915527</v>
      </c>
      <c r="H520">
        <v>1341.1573486</v>
      </c>
      <c r="I520">
        <v>1314.5533447</v>
      </c>
      <c r="J520">
        <v>1306.4694824000001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126.94313200000001</v>
      </c>
      <c r="B521" s="1">
        <f>DATE(2010,9,4) + TIME(22,38,6)</f>
        <v>40425.943124999998</v>
      </c>
      <c r="C521">
        <v>80</v>
      </c>
      <c r="D521">
        <v>79.933464049999998</v>
      </c>
      <c r="E521">
        <v>50</v>
      </c>
      <c r="F521">
        <v>17.208240508999999</v>
      </c>
      <c r="G521">
        <v>1344.5859375</v>
      </c>
      <c r="H521">
        <v>1341.1525879000001</v>
      </c>
      <c r="I521">
        <v>1314.5625</v>
      </c>
      <c r="J521">
        <v>1306.4815673999999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127.338633</v>
      </c>
      <c r="B522" s="1">
        <f>DATE(2010,9,5) + TIME(8,7,37)</f>
        <v>40426.338622685187</v>
      </c>
      <c r="C522">
        <v>80</v>
      </c>
      <c r="D522">
        <v>79.933494568</v>
      </c>
      <c r="E522">
        <v>50</v>
      </c>
      <c r="F522">
        <v>17.328668594</v>
      </c>
      <c r="G522">
        <v>1344.5802002</v>
      </c>
      <c r="H522">
        <v>1341.1478271000001</v>
      </c>
      <c r="I522">
        <v>1314.5716553</v>
      </c>
      <c r="J522">
        <v>1306.4938964999999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127.734134</v>
      </c>
      <c r="B523" s="1">
        <f>DATE(2010,9,5) + TIME(17,37,9)</f>
        <v>40426.734131944446</v>
      </c>
      <c r="C523">
        <v>80</v>
      </c>
      <c r="D523">
        <v>79.933517456000004</v>
      </c>
      <c r="E523">
        <v>50</v>
      </c>
      <c r="F523">
        <v>17.453594207999998</v>
      </c>
      <c r="G523">
        <v>1344.5745850000001</v>
      </c>
      <c r="H523">
        <v>1341.1430664</v>
      </c>
      <c r="I523">
        <v>1314.5808105000001</v>
      </c>
      <c r="J523">
        <v>1306.5064697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128.12963500000001</v>
      </c>
      <c r="B524" s="1">
        <f>DATE(2010,9,6) + TIME(3,6,40)</f>
        <v>40427.129629629628</v>
      </c>
      <c r="C524">
        <v>80</v>
      </c>
      <c r="D524">
        <v>79.933540343999994</v>
      </c>
      <c r="E524">
        <v>50</v>
      </c>
      <c r="F524">
        <v>17.583093643000002</v>
      </c>
      <c r="G524">
        <v>1344.5689697</v>
      </c>
      <c r="H524">
        <v>1341.1384277</v>
      </c>
      <c r="I524">
        <v>1314.5898437999999</v>
      </c>
      <c r="J524">
        <v>1306.5192870999999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128.525137</v>
      </c>
      <c r="B525" s="1">
        <f>DATE(2010,9,6) + TIME(12,36,11)</f>
        <v>40427.525127314817</v>
      </c>
      <c r="C525">
        <v>80</v>
      </c>
      <c r="D525">
        <v>79.933570861999996</v>
      </c>
      <c r="E525">
        <v>50</v>
      </c>
      <c r="F525">
        <v>17.717195511</v>
      </c>
      <c r="G525">
        <v>1344.5633545000001</v>
      </c>
      <c r="H525">
        <v>1341.1336670000001</v>
      </c>
      <c r="I525">
        <v>1314.5988769999999</v>
      </c>
      <c r="J525">
        <v>1306.5324707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128.920638</v>
      </c>
      <c r="B526" s="1">
        <f>DATE(2010,9,6) + TIME(22,5,43)</f>
        <v>40427.920636574076</v>
      </c>
      <c r="C526">
        <v>80</v>
      </c>
      <c r="D526">
        <v>79.93359375</v>
      </c>
      <c r="E526">
        <v>50</v>
      </c>
      <c r="F526">
        <v>17.855895996000001</v>
      </c>
      <c r="G526">
        <v>1344.5577393000001</v>
      </c>
      <c r="H526">
        <v>1341.1290283000001</v>
      </c>
      <c r="I526">
        <v>1314.6079102000001</v>
      </c>
      <c r="J526">
        <v>1306.5460204999999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129.31613899999999</v>
      </c>
      <c r="B527" s="1">
        <f>DATE(2010,9,7) + TIME(7,35,14)</f>
        <v>40428.316134259258</v>
      </c>
      <c r="C527">
        <v>80</v>
      </c>
      <c r="D527">
        <v>79.933616638000004</v>
      </c>
      <c r="E527">
        <v>50</v>
      </c>
      <c r="F527">
        <v>17.999160766999999</v>
      </c>
      <c r="G527">
        <v>1344.5522461</v>
      </c>
      <c r="H527">
        <v>1341.1243896000001</v>
      </c>
      <c r="I527">
        <v>1314.6168213000001</v>
      </c>
      <c r="J527">
        <v>1306.5598144999999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129.71163999999999</v>
      </c>
      <c r="B528" s="1">
        <f>DATE(2010,9,7) + TIME(17,4,45)</f>
        <v>40428.711631944447</v>
      </c>
      <c r="C528">
        <v>80</v>
      </c>
      <c r="D528">
        <v>79.933647156000006</v>
      </c>
      <c r="E528">
        <v>50</v>
      </c>
      <c r="F528">
        <v>18.146942139</v>
      </c>
      <c r="G528">
        <v>1344.5466309000001</v>
      </c>
      <c r="H528">
        <v>1341.1196289</v>
      </c>
      <c r="I528">
        <v>1314.6256103999999</v>
      </c>
      <c r="J528">
        <v>1306.5738524999999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130.10714200000001</v>
      </c>
      <c r="B529" s="1">
        <f>DATE(2010,9,8) + TIME(2,34,17)</f>
        <v>40429.107141203705</v>
      </c>
      <c r="C529">
        <v>80</v>
      </c>
      <c r="D529">
        <v>79.933670043999996</v>
      </c>
      <c r="E529">
        <v>50</v>
      </c>
      <c r="F529">
        <v>18.299173355000001</v>
      </c>
      <c r="G529">
        <v>1344.5411377</v>
      </c>
      <c r="H529">
        <v>1341.1149902</v>
      </c>
      <c r="I529">
        <v>1314.6343993999999</v>
      </c>
      <c r="J529">
        <v>1306.5881348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130.50264300000001</v>
      </c>
      <c r="B530" s="1">
        <f>DATE(2010,9,8) + TIME(12,3,48)</f>
        <v>40429.502638888887</v>
      </c>
      <c r="C530">
        <v>80</v>
      </c>
      <c r="D530">
        <v>79.933692932</v>
      </c>
      <c r="E530">
        <v>50</v>
      </c>
      <c r="F530">
        <v>18.455785751000001</v>
      </c>
      <c r="G530">
        <v>1344.5355225000001</v>
      </c>
      <c r="H530">
        <v>1341.1103516000001</v>
      </c>
      <c r="I530">
        <v>1314.6431885</v>
      </c>
      <c r="J530">
        <v>1306.6027832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130.898144</v>
      </c>
      <c r="B531" s="1">
        <f>DATE(2010,9,8) + TIME(21,33,19)</f>
        <v>40429.898136574076</v>
      </c>
      <c r="C531">
        <v>80</v>
      </c>
      <c r="D531">
        <v>79.933723450000002</v>
      </c>
      <c r="E531">
        <v>50</v>
      </c>
      <c r="F531">
        <v>18.616697310999999</v>
      </c>
      <c r="G531">
        <v>1344.5300293</v>
      </c>
      <c r="H531">
        <v>1341.1057129000001</v>
      </c>
      <c r="I531">
        <v>1314.6518555</v>
      </c>
      <c r="J531">
        <v>1306.6176757999999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131.293645</v>
      </c>
      <c r="B532" s="1">
        <f>DATE(2010,9,9) + TIME(7,2,50)</f>
        <v>40430.293634259258</v>
      </c>
      <c r="C532">
        <v>80</v>
      </c>
      <c r="D532">
        <v>79.933746338000006</v>
      </c>
      <c r="E532">
        <v>50</v>
      </c>
      <c r="F532">
        <v>18.781822205000001</v>
      </c>
      <c r="G532">
        <v>1344.5245361</v>
      </c>
      <c r="H532">
        <v>1341.1010742000001</v>
      </c>
      <c r="I532">
        <v>1314.6605225000001</v>
      </c>
      <c r="J532">
        <v>1306.6328125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131.68914699999999</v>
      </c>
      <c r="B533" s="1">
        <f>DATE(2010,9,9) + TIME(16,32,22)</f>
        <v>40430.689143518517</v>
      </c>
      <c r="C533">
        <v>80</v>
      </c>
      <c r="D533">
        <v>79.933769225999995</v>
      </c>
      <c r="E533">
        <v>50</v>
      </c>
      <c r="F533">
        <v>18.951070785999999</v>
      </c>
      <c r="G533">
        <v>1344.519043</v>
      </c>
      <c r="H533">
        <v>1341.0964355000001</v>
      </c>
      <c r="I533">
        <v>1314.6690673999999</v>
      </c>
      <c r="J533">
        <v>1306.6481934000001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132.48014900000001</v>
      </c>
      <c r="B534" s="1">
        <f>DATE(2010,9,10) + TIME(11,31,24)</f>
        <v>40431.480138888888</v>
      </c>
      <c r="C534">
        <v>80</v>
      </c>
      <c r="D534">
        <v>79.933837890999996</v>
      </c>
      <c r="E534">
        <v>50</v>
      </c>
      <c r="F534">
        <v>19.207559585999999</v>
      </c>
      <c r="G534">
        <v>1344.512207</v>
      </c>
      <c r="H534">
        <v>1341.0905762</v>
      </c>
      <c r="I534">
        <v>1314.6704102000001</v>
      </c>
      <c r="J534">
        <v>1306.666626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133.27643399999999</v>
      </c>
      <c r="B535" s="1">
        <f>DATE(2010,9,11) + TIME(6,38,3)</f>
        <v>40432.276423611111</v>
      </c>
      <c r="C535">
        <v>80</v>
      </c>
      <c r="D535">
        <v>79.933891295999999</v>
      </c>
      <c r="E535">
        <v>50</v>
      </c>
      <c r="F535">
        <v>19.523311615000001</v>
      </c>
      <c r="G535">
        <v>1344.5021973</v>
      </c>
      <c r="H535">
        <v>1341.0822754000001</v>
      </c>
      <c r="I535">
        <v>1314.6896973</v>
      </c>
      <c r="J535">
        <v>1306.6962891000001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134.107597</v>
      </c>
      <c r="B536" s="1">
        <f>DATE(2010,9,12) + TIME(2,34,56)</f>
        <v>40433.107592592591</v>
      </c>
      <c r="C536">
        <v>80</v>
      </c>
      <c r="D536">
        <v>79.933944702000005</v>
      </c>
      <c r="E536">
        <v>50</v>
      </c>
      <c r="F536">
        <v>19.882682800000001</v>
      </c>
      <c r="G536">
        <v>1344.4913329999999</v>
      </c>
      <c r="H536">
        <v>1341.0732422000001</v>
      </c>
      <c r="I536">
        <v>1314.7072754000001</v>
      </c>
      <c r="J536">
        <v>1306.7287598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134.53687500000001</v>
      </c>
      <c r="B537" s="1">
        <f>DATE(2010,9,12) + TIME(12,53,5)</f>
        <v>40433.536863425928</v>
      </c>
      <c r="C537">
        <v>80</v>
      </c>
      <c r="D537">
        <v>79.933959960999999</v>
      </c>
      <c r="E537">
        <v>50</v>
      </c>
      <c r="F537">
        <v>20.153856276999999</v>
      </c>
      <c r="G537">
        <v>1344.4820557</v>
      </c>
      <c r="H537">
        <v>1341.0655518000001</v>
      </c>
      <c r="I537">
        <v>1314.7353516000001</v>
      </c>
      <c r="J537">
        <v>1306.7596435999999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135.315066</v>
      </c>
      <c r="B538" s="1">
        <f>DATE(2010,9,13) + TIME(7,33,41)</f>
        <v>40434.315057870372</v>
      </c>
      <c r="C538">
        <v>80</v>
      </c>
      <c r="D538">
        <v>79.934020996000001</v>
      </c>
      <c r="E538">
        <v>50</v>
      </c>
      <c r="F538">
        <v>20.503564834999999</v>
      </c>
      <c r="G538">
        <v>1344.4737548999999</v>
      </c>
      <c r="H538">
        <v>1341.0583495999999</v>
      </c>
      <c r="I538">
        <v>1314.7335204999999</v>
      </c>
      <c r="J538">
        <v>1306.7838135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136.156768</v>
      </c>
      <c r="B539" s="1">
        <f>DATE(2010,9,14) + TIME(3,45,44)</f>
        <v>40435.156759259262</v>
      </c>
      <c r="C539">
        <v>80</v>
      </c>
      <c r="D539">
        <v>79.934082031000003</v>
      </c>
      <c r="E539">
        <v>50</v>
      </c>
      <c r="F539">
        <v>20.89979744</v>
      </c>
      <c r="G539">
        <v>1344.463501</v>
      </c>
      <c r="H539">
        <v>1341.0496826000001</v>
      </c>
      <c r="I539">
        <v>1314.7490233999999</v>
      </c>
      <c r="J539">
        <v>1306.8179932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137.01096000000001</v>
      </c>
      <c r="B540" s="1">
        <f>DATE(2010,9,15) + TIME(0,15,46)</f>
        <v>40436.010949074072</v>
      </c>
      <c r="C540">
        <v>80</v>
      </c>
      <c r="D540">
        <v>79.934135436999995</v>
      </c>
      <c r="E540">
        <v>50</v>
      </c>
      <c r="F540">
        <v>21.325769424000001</v>
      </c>
      <c r="G540">
        <v>1344.4522704999999</v>
      </c>
      <c r="H540">
        <v>1341.0402832</v>
      </c>
      <c r="I540">
        <v>1314.7668457</v>
      </c>
      <c r="J540">
        <v>1306.8555908000001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137.884895</v>
      </c>
      <c r="B541" s="1">
        <f>DATE(2010,9,15) + TIME(21,14,14)</f>
        <v>40436.884884259256</v>
      </c>
      <c r="C541">
        <v>80</v>
      </c>
      <c r="D541">
        <v>79.934196471999996</v>
      </c>
      <c r="E541">
        <v>50</v>
      </c>
      <c r="F541">
        <v>21.775484084999999</v>
      </c>
      <c r="G541">
        <v>1344.440918</v>
      </c>
      <c r="H541">
        <v>1341.0306396000001</v>
      </c>
      <c r="I541">
        <v>1314.7845459</v>
      </c>
      <c r="J541">
        <v>1306.8950195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138.771816</v>
      </c>
      <c r="B542" s="1">
        <f>DATE(2010,9,16) + TIME(18,31,24)</f>
        <v>40437.771805555552</v>
      </c>
      <c r="C542">
        <v>80</v>
      </c>
      <c r="D542">
        <v>79.934249878000003</v>
      </c>
      <c r="E542">
        <v>50</v>
      </c>
      <c r="F542">
        <v>22.246917724999999</v>
      </c>
      <c r="G542">
        <v>1344.4293213000001</v>
      </c>
      <c r="H542">
        <v>1341.0207519999999</v>
      </c>
      <c r="I542">
        <v>1314.8026123</v>
      </c>
      <c r="J542">
        <v>1306.9364014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139.66600500000001</v>
      </c>
      <c r="B543" s="1">
        <f>DATE(2010,9,17) + TIME(15,59,2)</f>
        <v>40438.665995370371</v>
      </c>
      <c r="C543">
        <v>80</v>
      </c>
      <c r="D543">
        <v>79.934310913000004</v>
      </c>
      <c r="E543">
        <v>50</v>
      </c>
      <c r="F543">
        <v>22.737642288</v>
      </c>
      <c r="G543">
        <v>1344.4176024999999</v>
      </c>
      <c r="H543">
        <v>1341.0108643000001</v>
      </c>
      <c r="I543">
        <v>1314.8208007999999</v>
      </c>
      <c r="J543">
        <v>1306.9793701000001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140.575064</v>
      </c>
      <c r="B544" s="1">
        <f>DATE(2010,9,18) + TIME(13,48,5)</f>
        <v>40439.575057870374</v>
      </c>
      <c r="C544">
        <v>80</v>
      </c>
      <c r="D544">
        <v>79.934371948000006</v>
      </c>
      <c r="E544">
        <v>50</v>
      </c>
      <c r="F544">
        <v>23.246646881</v>
      </c>
      <c r="G544">
        <v>1344.4057617000001</v>
      </c>
      <c r="H544">
        <v>1341.0009766000001</v>
      </c>
      <c r="I544">
        <v>1314.8388672000001</v>
      </c>
      <c r="J544">
        <v>1307.0236815999999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141.506472</v>
      </c>
      <c r="B545" s="1">
        <f>DATE(2010,9,19) + TIME(12,9,19)</f>
        <v>40440.506469907406</v>
      </c>
      <c r="C545">
        <v>80</v>
      </c>
      <c r="D545">
        <v>79.934432982999994</v>
      </c>
      <c r="E545">
        <v>50</v>
      </c>
      <c r="F545">
        <v>23.773918152</v>
      </c>
      <c r="G545">
        <v>1344.3937988</v>
      </c>
      <c r="H545">
        <v>1340.9908447</v>
      </c>
      <c r="I545">
        <v>1314.8569336</v>
      </c>
      <c r="J545">
        <v>1307.0697021000001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142.47131400000001</v>
      </c>
      <c r="B546" s="1">
        <f>DATE(2010,9,20) + TIME(11,18,41)</f>
        <v>40441.471307870372</v>
      </c>
      <c r="C546">
        <v>80</v>
      </c>
      <c r="D546">
        <v>79.934494018999999</v>
      </c>
      <c r="E546">
        <v>50</v>
      </c>
      <c r="F546">
        <v>24.319396973</v>
      </c>
      <c r="G546">
        <v>1344.3817139</v>
      </c>
      <c r="H546">
        <v>1340.9805908000001</v>
      </c>
      <c r="I546">
        <v>1314.8753661999999</v>
      </c>
      <c r="J546">
        <v>1307.1175536999999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143.44134600000001</v>
      </c>
      <c r="B547" s="1">
        <f>DATE(2010,9,21) + TIME(10,35,32)</f>
        <v>40442.441342592596</v>
      </c>
      <c r="C547">
        <v>80</v>
      </c>
      <c r="D547">
        <v>79.934562682999996</v>
      </c>
      <c r="E547">
        <v>50</v>
      </c>
      <c r="F547">
        <v>24.875604630000002</v>
      </c>
      <c r="G547">
        <v>1344.3693848</v>
      </c>
      <c r="H547">
        <v>1340.9700928</v>
      </c>
      <c r="I547">
        <v>1314.8951416</v>
      </c>
      <c r="J547">
        <v>1307.1673584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144.413341</v>
      </c>
      <c r="B548" s="1">
        <f>DATE(2010,9,22) + TIME(9,55,12)</f>
        <v>40443.41333333333</v>
      </c>
      <c r="C548">
        <v>80</v>
      </c>
      <c r="D548">
        <v>79.934623717999997</v>
      </c>
      <c r="E548">
        <v>50</v>
      </c>
      <c r="F548">
        <v>25.433118820000001</v>
      </c>
      <c r="G548">
        <v>1344.3570557</v>
      </c>
      <c r="H548">
        <v>1340.9597168</v>
      </c>
      <c r="I548">
        <v>1314.9152832</v>
      </c>
      <c r="J548">
        <v>1307.2182617000001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144.90012400000001</v>
      </c>
      <c r="B549" s="1">
        <f>DATE(2010,9,22) + TIME(21,36,10)</f>
        <v>40443.90011574074</v>
      </c>
      <c r="C549">
        <v>80</v>
      </c>
      <c r="D549">
        <v>79.934646606000001</v>
      </c>
      <c r="E549">
        <v>50</v>
      </c>
      <c r="F549">
        <v>25.828489304000001</v>
      </c>
      <c r="G549">
        <v>1344.3468018000001</v>
      </c>
      <c r="H549">
        <v>1340.9512939000001</v>
      </c>
      <c r="I549">
        <v>1314.9468993999999</v>
      </c>
      <c r="J549">
        <v>1307.2636719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145.83363900000001</v>
      </c>
      <c r="B550" s="1">
        <f>DATE(2010,9,23) + TIME(20,0,26)</f>
        <v>40444.833634259259</v>
      </c>
      <c r="C550">
        <v>80</v>
      </c>
      <c r="D550">
        <v>79.934715271000002</v>
      </c>
      <c r="E550">
        <v>50</v>
      </c>
      <c r="F550">
        <v>26.297256470000001</v>
      </c>
      <c r="G550">
        <v>1344.3380127</v>
      </c>
      <c r="H550">
        <v>1340.9434814000001</v>
      </c>
      <c r="I550">
        <v>1314.9444579999999</v>
      </c>
      <c r="J550">
        <v>1307.2984618999999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146.79764800000001</v>
      </c>
      <c r="B551" s="1">
        <f>DATE(2010,9,24) + TIME(19,8,36)</f>
        <v>40445.797638888886</v>
      </c>
      <c r="C551">
        <v>80</v>
      </c>
      <c r="D551">
        <v>79.934783936000002</v>
      </c>
      <c r="E551">
        <v>50</v>
      </c>
      <c r="F551">
        <v>26.797594069999999</v>
      </c>
      <c r="G551">
        <v>1344.3267822</v>
      </c>
      <c r="H551">
        <v>1340.9339600000001</v>
      </c>
      <c r="I551">
        <v>1314.9656981999999</v>
      </c>
      <c r="J551">
        <v>1307.3470459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147.769969</v>
      </c>
      <c r="B552" s="1">
        <f>DATE(2010,9,25) + TIME(18,28,45)</f>
        <v>40446.769965277781</v>
      </c>
      <c r="C552">
        <v>80</v>
      </c>
      <c r="D552">
        <v>79.934844971000004</v>
      </c>
      <c r="E552">
        <v>50</v>
      </c>
      <c r="F552">
        <v>27.310344696000001</v>
      </c>
      <c r="G552">
        <v>1344.3149414</v>
      </c>
      <c r="H552">
        <v>1340.9240723</v>
      </c>
      <c r="I552">
        <v>1314.9881591999999</v>
      </c>
      <c r="J552">
        <v>1307.3984375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148.754604</v>
      </c>
      <c r="B553" s="1">
        <f>DATE(2010,9,26) + TIME(18,6,37)</f>
        <v>40447.754594907405</v>
      </c>
      <c r="C553">
        <v>80</v>
      </c>
      <c r="D553">
        <v>79.934913635000001</v>
      </c>
      <c r="E553">
        <v>50</v>
      </c>
      <c r="F553">
        <v>27.825756073000001</v>
      </c>
      <c r="G553">
        <v>1344.3031006000001</v>
      </c>
      <c r="H553">
        <v>1340.9139404</v>
      </c>
      <c r="I553">
        <v>1315.0111084</v>
      </c>
      <c r="J553">
        <v>1307.4509277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149.75577200000001</v>
      </c>
      <c r="B554" s="1">
        <f>DATE(2010,9,27) + TIME(18,8,18)</f>
        <v>40448.75576388889</v>
      </c>
      <c r="C554">
        <v>80</v>
      </c>
      <c r="D554">
        <v>79.934982300000001</v>
      </c>
      <c r="E554">
        <v>50</v>
      </c>
      <c r="F554">
        <v>28.341161727999999</v>
      </c>
      <c r="G554">
        <v>1344.2911377</v>
      </c>
      <c r="H554">
        <v>1340.9038086</v>
      </c>
      <c r="I554">
        <v>1315.0347899999999</v>
      </c>
      <c r="J554">
        <v>1307.5047606999999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150.76962599999999</v>
      </c>
      <c r="B555" s="1">
        <f>DATE(2010,9,28) + TIME(18,28,15)</f>
        <v>40449.769618055558</v>
      </c>
      <c r="C555">
        <v>80</v>
      </c>
      <c r="D555">
        <v>79.935050963999998</v>
      </c>
      <c r="E555">
        <v>50</v>
      </c>
      <c r="F555">
        <v>28.855319977000001</v>
      </c>
      <c r="G555">
        <v>1344.2791748</v>
      </c>
      <c r="H555">
        <v>1340.8936768000001</v>
      </c>
      <c r="I555">
        <v>1315.0593262</v>
      </c>
      <c r="J555">
        <v>1307.5596923999999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151.78791799999999</v>
      </c>
      <c r="B556" s="1">
        <f>DATE(2010,9,29) + TIME(18,54,36)</f>
        <v>40450.787916666668</v>
      </c>
      <c r="C556">
        <v>80</v>
      </c>
      <c r="D556">
        <v>79.935119628999999</v>
      </c>
      <c r="E556">
        <v>50</v>
      </c>
      <c r="F556">
        <v>29.365688324000001</v>
      </c>
      <c r="G556">
        <v>1344.2670897999999</v>
      </c>
      <c r="H556">
        <v>1340.8835449000001</v>
      </c>
      <c r="I556">
        <v>1315.0849608999999</v>
      </c>
      <c r="J556">
        <v>1307.6156006000001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152.81659200000001</v>
      </c>
      <c r="B557" s="1">
        <f>DATE(2010,9,30) + TIME(19,35,53)</f>
        <v>40451.81658564815</v>
      </c>
      <c r="C557">
        <v>80</v>
      </c>
      <c r="D557">
        <v>79.935188292999996</v>
      </c>
      <c r="E557">
        <v>50</v>
      </c>
      <c r="F557">
        <v>29.871362686000001</v>
      </c>
      <c r="G557">
        <v>1344.2551269999999</v>
      </c>
      <c r="H557">
        <v>1340.8732910000001</v>
      </c>
      <c r="I557">
        <v>1315.1109618999999</v>
      </c>
      <c r="J557">
        <v>1307.6721190999999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153</v>
      </c>
      <c r="B558" s="1">
        <f>DATE(2010,10,1) + TIME(0,0,0)</f>
        <v>40452</v>
      </c>
      <c r="C558">
        <v>80</v>
      </c>
      <c r="D558">
        <v>79.935188292999996</v>
      </c>
      <c r="E558">
        <v>50</v>
      </c>
      <c r="F558">
        <v>30.056192398</v>
      </c>
      <c r="G558">
        <v>1344.2486572</v>
      </c>
      <c r="H558">
        <v>1340.8682861</v>
      </c>
      <c r="I558">
        <v>1315.1556396000001</v>
      </c>
      <c r="J558">
        <v>1307.7132568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154.04537999999999</v>
      </c>
      <c r="B559" s="1">
        <f>DATE(2010,10,2) + TIME(1,5,20)</f>
        <v>40453.045370370368</v>
      </c>
      <c r="C559">
        <v>80</v>
      </c>
      <c r="D559">
        <v>79.935264587000006</v>
      </c>
      <c r="E559">
        <v>50</v>
      </c>
      <c r="F559">
        <v>30.496662140000002</v>
      </c>
      <c r="G559">
        <v>1344.2402344</v>
      </c>
      <c r="H559">
        <v>1340.8607178</v>
      </c>
      <c r="I559">
        <v>1315.1413574000001</v>
      </c>
      <c r="J559">
        <v>1307.7429199000001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155.09215599999999</v>
      </c>
      <c r="B560" s="1">
        <f>DATE(2010,10,3) + TIME(2,12,42)</f>
        <v>40454.092152777775</v>
      </c>
      <c r="C560">
        <v>80</v>
      </c>
      <c r="D560">
        <v>79.935340881000002</v>
      </c>
      <c r="E560">
        <v>50</v>
      </c>
      <c r="F560">
        <v>30.970594406</v>
      </c>
      <c r="G560">
        <v>1344.2287598</v>
      </c>
      <c r="H560">
        <v>1340.8509521000001</v>
      </c>
      <c r="I560">
        <v>1315.1695557</v>
      </c>
      <c r="J560">
        <v>1307.7989502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156.13959399999999</v>
      </c>
      <c r="B561" s="1">
        <f>DATE(2010,10,4) + TIME(3,21,0)</f>
        <v>40455.13958333333</v>
      </c>
      <c r="C561">
        <v>80</v>
      </c>
      <c r="D561">
        <v>79.935409546000002</v>
      </c>
      <c r="E561">
        <v>50</v>
      </c>
      <c r="F561">
        <v>31.450996399000001</v>
      </c>
      <c r="G561">
        <v>1344.2170410000001</v>
      </c>
      <c r="H561">
        <v>1340.8410644999999</v>
      </c>
      <c r="I561">
        <v>1315.197876</v>
      </c>
      <c r="J561">
        <v>1307.8566894999999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157.18879799999999</v>
      </c>
      <c r="B562" s="1">
        <f>DATE(2010,10,5) + TIME(4,31,52)</f>
        <v>40456.188796296294</v>
      </c>
      <c r="C562">
        <v>80</v>
      </c>
      <c r="D562">
        <v>79.935478209999999</v>
      </c>
      <c r="E562">
        <v>50</v>
      </c>
      <c r="F562">
        <v>31.92788887</v>
      </c>
      <c r="G562">
        <v>1344.2052002</v>
      </c>
      <c r="H562">
        <v>1340.8310547000001</v>
      </c>
      <c r="I562">
        <v>1315.2263184000001</v>
      </c>
      <c r="J562">
        <v>1307.9149170000001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158.245474</v>
      </c>
      <c r="B563" s="1">
        <f>DATE(2010,10,6) + TIME(5,53,28)</f>
        <v>40457.245462962965</v>
      </c>
      <c r="C563">
        <v>80</v>
      </c>
      <c r="D563">
        <v>79.935546875</v>
      </c>
      <c r="E563">
        <v>50</v>
      </c>
      <c r="F563">
        <v>32.398624419999997</v>
      </c>
      <c r="G563">
        <v>1344.1936035000001</v>
      </c>
      <c r="H563">
        <v>1340.8211670000001</v>
      </c>
      <c r="I563">
        <v>1315.2548827999999</v>
      </c>
      <c r="J563">
        <v>1307.9731445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159.31324000000001</v>
      </c>
      <c r="B564" s="1">
        <f>DATE(2010,10,7) + TIME(7,31,3)</f>
        <v>40458.31322916667</v>
      </c>
      <c r="C564">
        <v>80</v>
      </c>
      <c r="D564">
        <v>79.935623168999996</v>
      </c>
      <c r="E564">
        <v>50</v>
      </c>
      <c r="F564">
        <v>32.863304137999997</v>
      </c>
      <c r="G564">
        <v>1344.1818848</v>
      </c>
      <c r="H564">
        <v>1340.8112793</v>
      </c>
      <c r="I564">
        <v>1315.2838135</v>
      </c>
      <c r="J564">
        <v>1308.0316161999999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160.39519300000001</v>
      </c>
      <c r="B565" s="1">
        <f>DATE(2010,10,8) + TIME(9,29,4)</f>
        <v>40459.395185185182</v>
      </c>
      <c r="C565">
        <v>80</v>
      </c>
      <c r="D565">
        <v>79.935691833000007</v>
      </c>
      <c r="E565">
        <v>50</v>
      </c>
      <c r="F565">
        <v>33.322635650999999</v>
      </c>
      <c r="G565">
        <v>1344.1702881000001</v>
      </c>
      <c r="H565">
        <v>1340.8015137</v>
      </c>
      <c r="I565">
        <v>1315.3132324000001</v>
      </c>
      <c r="J565">
        <v>1308.0904541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161.49479299999999</v>
      </c>
      <c r="B566" s="1">
        <f>DATE(2010,10,9) + TIME(11,52,30)</f>
        <v>40460.494791666664</v>
      </c>
      <c r="C566">
        <v>80</v>
      </c>
      <c r="D566">
        <v>79.935768127000003</v>
      </c>
      <c r="E566">
        <v>50</v>
      </c>
      <c r="F566">
        <v>33.777420044000003</v>
      </c>
      <c r="G566">
        <v>1344.1586914</v>
      </c>
      <c r="H566">
        <v>1340.791626</v>
      </c>
      <c r="I566">
        <v>1315.3432617000001</v>
      </c>
      <c r="J566">
        <v>1308.1495361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162.615566</v>
      </c>
      <c r="B567" s="1">
        <f>DATE(2010,10,10) + TIME(14,46,24)</f>
        <v>40461.615555555552</v>
      </c>
      <c r="C567">
        <v>80</v>
      </c>
      <c r="D567">
        <v>79.935844420999999</v>
      </c>
      <c r="E567">
        <v>50</v>
      </c>
      <c r="F567">
        <v>34.228775024000001</v>
      </c>
      <c r="G567">
        <v>1344.1469727000001</v>
      </c>
      <c r="H567">
        <v>1340.7817382999999</v>
      </c>
      <c r="I567">
        <v>1315.3740233999999</v>
      </c>
      <c r="J567">
        <v>1308.2092285000001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163.18375399999999</v>
      </c>
      <c r="B568" s="1">
        <f>DATE(2010,10,11) + TIME(4,24,36)</f>
        <v>40462.183749999997</v>
      </c>
      <c r="C568">
        <v>80</v>
      </c>
      <c r="D568">
        <v>79.935867310000006</v>
      </c>
      <c r="E568">
        <v>50</v>
      </c>
      <c r="F568">
        <v>34.564609527999998</v>
      </c>
      <c r="G568">
        <v>1344.1370850000001</v>
      </c>
      <c r="H568">
        <v>1340.7735596</v>
      </c>
      <c r="I568">
        <v>1315.411499</v>
      </c>
      <c r="J568">
        <v>1308.2634277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163.75194200000001</v>
      </c>
      <c r="B569" s="1">
        <f>DATE(2010,10,11) + TIME(18,2,47)</f>
        <v>40462.751932870371</v>
      </c>
      <c r="C569">
        <v>80</v>
      </c>
      <c r="D569">
        <v>79.935905457000004</v>
      </c>
      <c r="E569">
        <v>50</v>
      </c>
      <c r="F569">
        <v>34.842693328999999</v>
      </c>
      <c r="G569">
        <v>1344.1301269999999</v>
      </c>
      <c r="H569">
        <v>1340.7675781</v>
      </c>
      <c r="I569">
        <v>1315.4261475000001</v>
      </c>
      <c r="J569">
        <v>1308.2990723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164.32013000000001</v>
      </c>
      <c r="B570" s="1">
        <f>DATE(2010,10,12) + TIME(7,40,59)</f>
        <v>40463.320127314815</v>
      </c>
      <c r="C570">
        <v>80</v>
      </c>
      <c r="D570">
        <v>79.935943604000002</v>
      </c>
      <c r="E570">
        <v>50</v>
      </c>
      <c r="F570">
        <v>35.09054184</v>
      </c>
      <c r="G570">
        <v>1344.1237793</v>
      </c>
      <c r="H570">
        <v>1340.762207</v>
      </c>
      <c r="I570">
        <v>1315.4411620999999</v>
      </c>
      <c r="J570">
        <v>1308.3319091999999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164.888317</v>
      </c>
      <c r="B571" s="1">
        <f>DATE(2010,10,12) + TIME(21,19,10)</f>
        <v>40463.888310185182</v>
      </c>
      <c r="C571">
        <v>80</v>
      </c>
      <c r="D571">
        <v>79.935981749999996</v>
      </c>
      <c r="E571">
        <v>50</v>
      </c>
      <c r="F571">
        <v>35.322021483999997</v>
      </c>
      <c r="G571">
        <v>1344.1177978999999</v>
      </c>
      <c r="H571">
        <v>1340.7570800999999</v>
      </c>
      <c r="I571">
        <v>1315.4569091999999</v>
      </c>
      <c r="J571">
        <v>1308.3635254000001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165.45650499999999</v>
      </c>
      <c r="B572" s="1">
        <f>DATE(2010,10,13) + TIME(10,57,22)</f>
        <v>40464.456504629627</v>
      </c>
      <c r="C572">
        <v>80</v>
      </c>
      <c r="D572">
        <v>79.936019896999994</v>
      </c>
      <c r="E572">
        <v>50</v>
      </c>
      <c r="F572">
        <v>35.544067382999998</v>
      </c>
      <c r="G572">
        <v>1344.1119385</v>
      </c>
      <c r="H572">
        <v>1340.7520752</v>
      </c>
      <c r="I572">
        <v>1315.4727783000001</v>
      </c>
      <c r="J572">
        <v>1308.3944091999999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166.02469300000001</v>
      </c>
      <c r="B573" s="1">
        <f>DATE(2010,10,14) + TIME(0,35,33)</f>
        <v>40465.024687500001</v>
      </c>
      <c r="C573">
        <v>80</v>
      </c>
      <c r="D573">
        <v>79.936058044000006</v>
      </c>
      <c r="E573">
        <v>50</v>
      </c>
      <c r="F573">
        <v>35.760196686</v>
      </c>
      <c r="G573">
        <v>1344.1060791</v>
      </c>
      <c r="H573">
        <v>1340.7471923999999</v>
      </c>
      <c r="I573">
        <v>1315.4888916</v>
      </c>
      <c r="J573">
        <v>1308.4249268000001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166.59288100000001</v>
      </c>
      <c r="B574" s="1">
        <f>DATE(2010,10,14) + TIME(14,13,44)</f>
        <v>40465.592870370368</v>
      </c>
      <c r="C574">
        <v>80</v>
      </c>
      <c r="D574">
        <v>79.936096191000004</v>
      </c>
      <c r="E574">
        <v>50</v>
      </c>
      <c r="F574">
        <v>35.972179412999999</v>
      </c>
      <c r="G574">
        <v>1344.1003418</v>
      </c>
      <c r="H574">
        <v>1340.7423096</v>
      </c>
      <c r="I574">
        <v>1315.5051269999999</v>
      </c>
      <c r="J574">
        <v>1308.4550781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167.161069</v>
      </c>
      <c r="B575" s="1">
        <f>DATE(2010,10,15) + TIME(3,51,56)</f>
        <v>40466.161064814813</v>
      </c>
      <c r="C575">
        <v>80</v>
      </c>
      <c r="D575">
        <v>79.936134338000002</v>
      </c>
      <c r="E575">
        <v>50</v>
      </c>
      <c r="F575">
        <v>36.180931090999998</v>
      </c>
      <c r="G575">
        <v>1344.0946045000001</v>
      </c>
      <c r="H575">
        <v>1340.7375488</v>
      </c>
      <c r="I575">
        <v>1315.5213623</v>
      </c>
      <c r="J575">
        <v>1308.4851074000001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167.72925599999999</v>
      </c>
      <c r="B576" s="1">
        <f>DATE(2010,10,15) + TIME(17,30,7)</f>
        <v>40466.729247685187</v>
      </c>
      <c r="C576">
        <v>80</v>
      </c>
      <c r="D576">
        <v>79.936172485</v>
      </c>
      <c r="E576">
        <v>50</v>
      </c>
      <c r="F576">
        <v>36.386917113999999</v>
      </c>
      <c r="G576">
        <v>1344.0889893000001</v>
      </c>
      <c r="H576">
        <v>1340.7326660000001</v>
      </c>
      <c r="I576">
        <v>1315.5377197</v>
      </c>
      <c r="J576">
        <v>1308.5150146000001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168.29744400000001</v>
      </c>
      <c r="B577" s="1">
        <f>DATE(2010,10,16) + TIME(7,8,19)</f>
        <v>40467.297442129631</v>
      </c>
      <c r="C577">
        <v>80</v>
      </c>
      <c r="D577">
        <v>79.936210631999998</v>
      </c>
      <c r="E577">
        <v>50</v>
      </c>
      <c r="F577">
        <v>36.590389252000001</v>
      </c>
      <c r="G577">
        <v>1344.083374</v>
      </c>
      <c r="H577">
        <v>1340.7280272999999</v>
      </c>
      <c r="I577">
        <v>1315.5539550999999</v>
      </c>
      <c r="J577">
        <v>1308.5446777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168.86563200000001</v>
      </c>
      <c r="B578" s="1">
        <f>DATE(2010,10,16) + TIME(20,46,30)</f>
        <v>40467.865624999999</v>
      </c>
      <c r="C578">
        <v>80</v>
      </c>
      <c r="D578">
        <v>79.936248778999996</v>
      </c>
      <c r="E578">
        <v>50</v>
      </c>
      <c r="F578">
        <v>36.791496277</v>
      </c>
      <c r="G578">
        <v>1344.0777588000001</v>
      </c>
      <c r="H578">
        <v>1340.7232666</v>
      </c>
      <c r="I578">
        <v>1315.5703125</v>
      </c>
      <c r="J578">
        <v>1308.5743408000001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169.43382</v>
      </c>
      <c r="B579" s="1">
        <f>DATE(2010,10,17) + TIME(10,24,42)</f>
        <v>40468.433819444443</v>
      </c>
      <c r="C579">
        <v>80</v>
      </c>
      <c r="D579">
        <v>79.936286925999994</v>
      </c>
      <c r="E579">
        <v>50</v>
      </c>
      <c r="F579">
        <v>36.990329742</v>
      </c>
      <c r="G579">
        <v>1344.0722656</v>
      </c>
      <c r="H579">
        <v>1340.7186279</v>
      </c>
      <c r="I579">
        <v>1315.5866699000001</v>
      </c>
      <c r="J579">
        <v>1308.6038818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170.57019500000001</v>
      </c>
      <c r="B580" s="1">
        <f>DATE(2010,10,18) + TIME(13,41,4)</f>
        <v>40469.570185185185</v>
      </c>
      <c r="C580">
        <v>80</v>
      </c>
      <c r="D580">
        <v>79.936378478999998</v>
      </c>
      <c r="E580">
        <v>50</v>
      </c>
      <c r="F580">
        <v>37.251537323000001</v>
      </c>
      <c r="G580">
        <v>1344.0655518000001</v>
      </c>
      <c r="H580">
        <v>1340.7127685999999</v>
      </c>
      <c r="I580">
        <v>1315.5999756000001</v>
      </c>
      <c r="J580">
        <v>1308.6370850000001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171.707874</v>
      </c>
      <c r="B581" s="1">
        <f>DATE(2010,10,19) + TIME(16,59,20)</f>
        <v>40470.707870370374</v>
      </c>
      <c r="C581">
        <v>80</v>
      </c>
      <c r="D581">
        <v>79.936454772999994</v>
      </c>
      <c r="E581">
        <v>50</v>
      </c>
      <c r="F581">
        <v>37.595432281000001</v>
      </c>
      <c r="G581">
        <v>1344.0555420000001</v>
      </c>
      <c r="H581">
        <v>1340.7044678</v>
      </c>
      <c r="I581">
        <v>1315.6331786999999</v>
      </c>
      <c r="J581">
        <v>1308.6900635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172.866073</v>
      </c>
      <c r="B582" s="1">
        <f>DATE(2010,10,20) + TIME(20,47,8)</f>
        <v>40471.866064814814</v>
      </c>
      <c r="C582">
        <v>80</v>
      </c>
      <c r="D582">
        <v>79.936531067000004</v>
      </c>
      <c r="E582">
        <v>50</v>
      </c>
      <c r="F582">
        <v>37.963268280000001</v>
      </c>
      <c r="G582">
        <v>1344.0449219</v>
      </c>
      <c r="H582">
        <v>1340.6954346</v>
      </c>
      <c r="I582">
        <v>1315.6660156</v>
      </c>
      <c r="J582">
        <v>1308.7464600000001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174.047133</v>
      </c>
      <c r="B583" s="1">
        <f>DATE(2010,10,22) + TIME(1,7,52)</f>
        <v>40473.047129629631</v>
      </c>
      <c r="C583">
        <v>80</v>
      </c>
      <c r="D583">
        <v>79.936614989999995</v>
      </c>
      <c r="E583">
        <v>50</v>
      </c>
      <c r="F583">
        <v>38.338191985999998</v>
      </c>
      <c r="G583">
        <v>1344.0340576000001</v>
      </c>
      <c r="H583">
        <v>1340.6864014</v>
      </c>
      <c r="I583">
        <v>1315.6993408000001</v>
      </c>
      <c r="J583">
        <v>1308.8044434000001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175.246407</v>
      </c>
      <c r="B584" s="1">
        <f>DATE(2010,10,23) + TIME(5,54,49)</f>
        <v>40474.246400462966</v>
      </c>
      <c r="C584">
        <v>80</v>
      </c>
      <c r="D584">
        <v>79.936691284000005</v>
      </c>
      <c r="E584">
        <v>50</v>
      </c>
      <c r="F584">
        <v>38.714138030999997</v>
      </c>
      <c r="G584">
        <v>1344.0230713000001</v>
      </c>
      <c r="H584">
        <v>1340.677124</v>
      </c>
      <c r="I584">
        <v>1315.7332764</v>
      </c>
      <c r="J584">
        <v>1308.8635254000001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176.46807200000001</v>
      </c>
      <c r="B585" s="1">
        <f>DATE(2010,10,24) + TIME(11,14,1)</f>
        <v>40475.46806712963</v>
      </c>
      <c r="C585">
        <v>80</v>
      </c>
      <c r="D585">
        <v>79.936775208</v>
      </c>
      <c r="E585">
        <v>50</v>
      </c>
      <c r="F585">
        <v>39.088836669999999</v>
      </c>
      <c r="G585">
        <v>1344.0120850000001</v>
      </c>
      <c r="H585">
        <v>1340.6679687999999</v>
      </c>
      <c r="I585">
        <v>1315.7677002</v>
      </c>
      <c r="J585">
        <v>1308.9232178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177.08687499999999</v>
      </c>
      <c r="B586" s="1">
        <f>DATE(2010,10,25) + TIME(2,5,6)</f>
        <v>40476.086875000001</v>
      </c>
      <c r="C586">
        <v>80</v>
      </c>
      <c r="D586">
        <v>79.936805724999999</v>
      </c>
      <c r="E586">
        <v>50</v>
      </c>
      <c r="F586">
        <v>39.374336243000002</v>
      </c>
      <c r="G586">
        <v>1344.0028076000001</v>
      </c>
      <c r="H586">
        <v>1340.6602783000001</v>
      </c>
      <c r="I586">
        <v>1315.8062743999999</v>
      </c>
      <c r="J586">
        <v>1308.9779053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177.705679</v>
      </c>
      <c r="B587" s="1">
        <f>DATE(2010,10,25) + TIME(16,56,10)</f>
        <v>40476.705671296295</v>
      </c>
      <c r="C587">
        <v>80</v>
      </c>
      <c r="D587">
        <v>79.936843871999997</v>
      </c>
      <c r="E587">
        <v>50</v>
      </c>
      <c r="F587">
        <v>39.605255127</v>
      </c>
      <c r="G587">
        <v>1343.9962158000001</v>
      </c>
      <c r="H587">
        <v>1340.6546631000001</v>
      </c>
      <c r="I587">
        <v>1315.8237305</v>
      </c>
      <c r="J587">
        <v>1309.0136719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178.32448299999999</v>
      </c>
      <c r="B588" s="1">
        <f>DATE(2010,10,26) + TIME(7,47,15)</f>
        <v>40477.324479166666</v>
      </c>
      <c r="C588">
        <v>80</v>
      </c>
      <c r="D588">
        <v>79.936882018999995</v>
      </c>
      <c r="E588">
        <v>50</v>
      </c>
      <c r="F588">
        <v>39.809513092000003</v>
      </c>
      <c r="G588">
        <v>1343.9903564000001</v>
      </c>
      <c r="H588">
        <v>1340.6496582</v>
      </c>
      <c r="I588">
        <v>1315.8410644999999</v>
      </c>
      <c r="J588">
        <v>1309.0465088000001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178.943287</v>
      </c>
      <c r="B589" s="1">
        <f>DATE(2010,10,26) + TIME(22,38,19)</f>
        <v>40477.94327546296</v>
      </c>
      <c r="C589">
        <v>80</v>
      </c>
      <c r="D589">
        <v>79.936927795000003</v>
      </c>
      <c r="E589">
        <v>50</v>
      </c>
      <c r="F589">
        <v>40.000179291000002</v>
      </c>
      <c r="G589">
        <v>1343.9847411999999</v>
      </c>
      <c r="H589">
        <v>1340.6448975000001</v>
      </c>
      <c r="I589">
        <v>1315.8586425999999</v>
      </c>
      <c r="J589">
        <v>1309.0778809000001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179.56209000000001</v>
      </c>
      <c r="B590" s="1">
        <f>DATE(2010,10,27) + TIME(13,29,24)</f>
        <v>40478.562083333331</v>
      </c>
      <c r="C590">
        <v>80</v>
      </c>
      <c r="D590">
        <v>79.936965942</v>
      </c>
      <c r="E590">
        <v>50</v>
      </c>
      <c r="F590">
        <v>40.183437347000002</v>
      </c>
      <c r="G590">
        <v>1343.9792480000001</v>
      </c>
      <c r="H590">
        <v>1340.6402588000001</v>
      </c>
      <c r="I590">
        <v>1315.8763428</v>
      </c>
      <c r="J590">
        <v>1309.1083983999999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180.180894</v>
      </c>
      <c r="B591" s="1">
        <f>DATE(2010,10,28) + TIME(4,20,29)</f>
        <v>40479.180891203701</v>
      </c>
      <c r="C591">
        <v>80</v>
      </c>
      <c r="D591">
        <v>79.937011718999997</v>
      </c>
      <c r="E591">
        <v>50</v>
      </c>
      <c r="F591">
        <v>40.362113952999998</v>
      </c>
      <c r="G591">
        <v>1343.9737548999999</v>
      </c>
      <c r="H591">
        <v>1340.6357422000001</v>
      </c>
      <c r="I591">
        <v>1315.8939209</v>
      </c>
      <c r="J591">
        <v>1309.1386719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180.79969800000001</v>
      </c>
      <c r="B592" s="1">
        <f>DATE(2010,10,28) + TIME(19,11,33)</f>
        <v>40479.799687500003</v>
      </c>
      <c r="C592">
        <v>80</v>
      </c>
      <c r="D592">
        <v>79.937049865999995</v>
      </c>
      <c r="E592">
        <v>50</v>
      </c>
      <c r="F592">
        <v>40.537574767999999</v>
      </c>
      <c r="G592">
        <v>1343.9683838000001</v>
      </c>
      <c r="H592">
        <v>1340.6312256000001</v>
      </c>
      <c r="I592">
        <v>1315.911499</v>
      </c>
      <c r="J592">
        <v>1309.1685791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181.41850199999999</v>
      </c>
      <c r="B593" s="1">
        <f>DATE(2010,10,29) + TIME(10,2,38)</f>
        <v>40480.418495370373</v>
      </c>
      <c r="C593">
        <v>80</v>
      </c>
      <c r="D593">
        <v>79.937095642000003</v>
      </c>
      <c r="E593">
        <v>50</v>
      </c>
      <c r="F593">
        <v>40.710483551000003</v>
      </c>
      <c r="G593">
        <v>1343.9631348</v>
      </c>
      <c r="H593">
        <v>1340.6267089999999</v>
      </c>
      <c r="I593">
        <v>1315.9291992000001</v>
      </c>
      <c r="J593">
        <v>1309.1982422000001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182.037305</v>
      </c>
      <c r="B594" s="1">
        <f>DATE(2010,10,30) + TIME(0,53,43)</f>
        <v>40481.037303240744</v>
      </c>
      <c r="C594">
        <v>80</v>
      </c>
      <c r="D594">
        <v>79.937133789000001</v>
      </c>
      <c r="E594">
        <v>50</v>
      </c>
      <c r="F594">
        <v>40.881164550999998</v>
      </c>
      <c r="G594">
        <v>1343.9577637</v>
      </c>
      <c r="H594">
        <v>1340.6221923999999</v>
      </c>
      <c r="I594">
        <v>1315.9466553</v>
      </c>
      <c r="J594">
        <v>1309.2277832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182.65610899999999</v>
      </c>
      <c r="B595" s="1">
        <f>DATE(2010,10,30) + TIME(15,44,47)</f>
        <v>40481.656099537038</v>
      </c>
      <c r="C595">
        <v>80</v>
      </c>
      <c r="D595">
        <v>79.937171935999999</v>
      </c>
      <c r="E595">
        <v>50</v>
      </c>
      <c r="F595">
        <v>41.049797058000003</v>
      </c>
      <c r="G595">
        <v>1343.9525146000001</v>
      </c>
      <c r="H595">
        <v>1340.6177978999999</v>
      </c>
      <c r="I595">
        <v>1315.9642334</v>
      </c>
      <c r="J595">
        <v>1309.2572021000001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183.274913</v>
      </c>
      <c r="B596" s="1">
        <f>DATE(2010,10,31) + TIME(6,35,52)</f>
        <v>40482.274907407409</v>
      </c>
      <c r="C596">
        <v>80</v>
      </c>
      <c r="D596">
        <v>79.937217712000006</v>
      </c>
      <c r="E596">
        <v>50</v>
      </c>
      <c r="F596">
        <v>41.216476440000001</v>
      </c>
      <c r="G596">
        <v>1343.9472656</v>
      </c>
      <c r="H596">
        <v>1340.6134033000001</v>
      </c>
      <c r="I596">
        <v>1315.9816894999999</v>
      </c>
      <c r="J596">
        <v>1309.2863769999999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184</v>
      </c>
      <c r="B597" s="1">
        <f>DATE(2010,11,1) + TIME(0,0,0)</f>
        <v>40483</v>
      </c>
      <c r="C597">
        <v>80</v>
      </c>
      <c r="D597">
        <v>79.937271117999998</v>
      </c>
      <c r="E597">
        <v>50</v>
      </c>
      <c r="F597">
        <v>41.393264770999998</v>
      </c>
      <c r="G597">
        <v>1343.9418945</v>
      </c>
      <c r="H597">
        <v>1340.6088867000001</v>
      </c>
      <c r="I597">
        <v>1315.9987793</v>
      </c>
      <c r="J597">
        <v>1309.3162841999999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184.000001</v>
      </c>
      <c r="B598" s="1">
        <f>DATE(2010,11,1) + TIME(0,0,0)</f>
        <v>40483</v>
      </c>
      <c r="C598">
        <v>80</v>
      </c>
      <c r="D598">
        <v>79.937232971</v>
      </c>
      <c r="E598">
        <v>50</v>
      </c>
      <c r="F598">
        <v>41.393299102999997</v>
      </c>
      <c r="G598">
        <v>1340.5988769999999</v>
      </c>
      <c r="H598">
        <v>1338.8676757999999</v>
      </c>
      <c r="I598">
        <v>1322.9768065999999</v>
      </c>
      <c r="J598">
        <v>1316.0137939000001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184.00000399999999</v>
      </c>
      <c r="B599" s="1">
        <f>DATE(2010,11,1) + TIME(0,0,0)</f>
        <v>40483</v>
      </c>
      <c r="C599">
        <v>80</v>
      </c>
      <c r="D599">
        <v>79.937141417999996</v>
      </c>
      <c r="E599">
        <v>50</v>
      </c>
      <c r="F599">
        <v>41.393405913999999</v>
      </c>
      <c r="G599">
        <v>1340.5692139</v>
      </c>
      <c r="H599">
        <v>1338.8380127</v>
      </c>
      <c r="I599">
        <v>1323.0074463000001</v>
      </c>
      <c r="J599">
        <v>1316.0587158000001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184.000013</v>
      </c>
      <c r="B600" s="1">
        <f>DATE(2010,11,1) + TIME(0,0,1)</f>
        <v>40483.000011574077</v>
      </c>
      <c r="C600">
        <v>80</v>
      </c>
      <c r="D600">
        <v>79.936859131000006</v>
      </c>
      <c r="E600">
        <v>50</v>
      </c>
      <c r="F600">
        <v>41.393718718999999</v>
      </c>
      <c r="G600">
        <v>1340.4831543</v>
      </c>
      <c r="H600">
        <v>1338.7519531</v>
      </c>
      <c r="I600">
        <v>1323.0979004000001</v>
      </c>
      <c r="J600">
        <v>1316.1905518000001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184.00004000000001</v>
      </c>
      <c r="B601" s="1">
        <f>DATE(2010,11,1) + TIME(0,0,3)</f>
        <v>40483.000034722223</v>
      </c>
      <c r="C601">
        <v>80</v>
      </c>
      <c r="D601">
        <v>79.936103821000003</v>
      </c>
      <c r="E601">
        <v>50</v>
      </c>
      <c r="F601">
        <v>41.394630432</v>
      </c>
      <c r="G601">
        <v>1340.2471923999999</v>
      </c>
      <c r="H601">
        <v>1338.5157471</v>
      </c>
      <c r="I601">
        <v>1323.3592529</v>
      </c>
      <c r="J601">
        <v>1316.5646973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184.00012100000001</v>
      </c>
      <c r="B602" s="1">
        <f>DATE(2010,11,1) + TIME(0,0,10)</f>
        <v>40483.000115740739</v>
      </c>
      <c r="C602">
        <v>80</v>
      </c>
      <c r="D602">
        <v>79.934288025000001</v>
      </c>
      <c r="E602">
        <v>50</v>
      </c>
      <c r="F602">
        <v>41.397144318000002</v>
      </c>
      <c r="G602">
        <v>1339.6851807</v>
      </c>
      <c r="H602">
        <v>1337.9534911999999</v>
      </c>
      <c r="I602">
        <v>1324.0662841999999</v>
      </c>
      <c r="J602">
        <v>1317.5285644999999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184.00036399999999</v>
      </c>
      <c r="B603" s="1">
        <f>DATE(2010,11,1) + TIME(0,0,31)</f>
        <v>40483.000358796293</v>
      </c>
      <c r="C603">
        <v>80</v>
      </c>
      <c r="D603">
        <v>79.930961608999993</v>
      </c>
      <c r="E603">
        <v>50</v>
      </c>
      <c r="F603">
        <v>41.403636931999998</v>
      </c>
      <c r="G603">
        <v>1338.6578368999999</v>
      </c>
      <c r="H603">
        <v>1336.9255370999999</v>
      </c>
      <c r="I603">
        <v>1325.7072754000001</v>
      </c>
      <c r="J603">
        <v>1319.5614014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184.001093</v>
      </c>
      <c r="B604" s="1">
        <f>DATE(2010,11,1) + TIME(0,1,34)</f>
        <v>40483.001087962963</v>
      </c>
      <c r="C604">
        <v>80</v>
      </c>
      <c r="D604">
        <v>79.926460266000007</v>
      </c>
      <c r="E604">
        <v>50</v>
      </c>
      <c r="F604">
        <v>41.417671204000001</v>
      </c>
      <c r="G604">
        <v>1337.2988281</v>
      </c>
      <c r="H604">
        <v>1335.5649414</v>
      </c>
      <c r="I604">
        <v>1328.5900879000001</v>
      </c>
      <c r="J604">
        <v>1322.6468506000001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184.00327999999999</v>
      </c>
      <c r="B605" s="1">
        <f>DATE(2010,11,1) + TIME(0,4,43)</f>
        <v>40483.003275462965</v>
      </c>
      <c r="C605">
        <v>80</v>
      </c>
      <c r="D605">
        <v>79.921287536999998</v>
      </c>
      <c r="E605">
        <v>50</v>
      </c>
      <c r="F605">
        <v>41.453125</v>
      </c>
      <c r="G605">
        <v>1335.8447266000001</v>
      </c>
      <c r="H605">
        <v>1334.1005858999999</v>
      </c>
      <c r="I605">
        <v>1332.3150635</v>
      </c>
      <c r="J605">
        <v>1326.3405762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184.00984099999999</v>
      </c>
      <c r="B606" s="1">
        <f>DATE(2010,11,1) + TIME(0,14,10)</f>
        <v>40483.009837962964</v>
      </c>
      <c r="C606">
        <v>80</v>
      </c>
      <c r="D606">
        <v>79.914855957</v>
      </c>
      <c r="E606">
        <v>50</v>
      </c>
      <c r="F606">
        <v>41.550460815000001</v>
      </c>
      <c r="G606">
        <v>1334.3488769999999</v>
      </c>
      <c r="H606">
        <v>1332.5684814000001</v>
      </c>
      <c r="I606">
        <v>1336.2512207</v>
      </c>
      <c r="J606">
        <v>1330.2398682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184.02952400000001</v>
      </c>
      <c r="B607" s="1">
        <f>DATE(2010,11,1) + TIME(0,42,30)</f>
        <v>40483.029513888891</v>
      </c>
      <c r="C607">
        <v>80</v>
      </c>
      <c r="D607">
        <v>79.904632567999997</v>
      </c>
      <c r="E607">
        <v>50</v>
      </c>
      <c r="F607">
        <v>41.824657440000003</v>
      </c>
      <c r="G607">
        <v>1332.7403564000001</v>
      </c>
      <c r="H607">
        <v>1330.8795166</v>
      </c>
      <c r="I607">
        <v>1340.1124268000001</v>
      </c>
      <c r="J607">
        <v>1334.1121826000001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184.058311</v>
      </c>
      <c r="B608" s="1">
        <f>DATE(2010,11,1) + TIME(1,23,58)</f>
        <v>40483.058310185188</v>
      </c>
      <c r="C608">
        <v>80</v>
      </c>
      <c r="D608">
        <v>79.893318175999994</v>
      </c>
      <c r="E608">
        <v>50</v>
      </c>
      <c r="F608">
        <v>42.203758239999999</v>
      </c>
      <c r="G608">
        <v>1331.5662841999999</v>
      </c>
      <c r="H608">
        <v>1329.6330565999999</v>
      </c>
      <c r="I608">
        <v>1342.5625</v>
      </c>
      <c r="J608">
        <v>1336.5948486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184.087987</v>
      </c>
      <c r="B609" s="1">
        <f>DATE(2010,11,1) + TIME(2,6,42)</f>
        <v>40483.08798611111</v>
      </c>
      <c r="C609">
        <v>80</v>
      </c>
      <c r="D609">
        <v>79.882957458000007</v>
      </c>
      <c r="E609">
        <v>50</v>
      </c>
      <c r="F609">
        <v>42.574882506999998</v>
      </c>
      <c r="G609">
        <v>1330.7890625</v>
      </c>
      <c r="H609">
        <v>1328.8087158000001</v>
      </c>
      <c r="I609">
        <v>1343.9907227000001</v>
      </c>
      <c r="J609">
        <v>1338.0577393000001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184.11856</v>
      </c>
      <c r="B610" s="1">
        <f>DATE(2010,11,1) + TIME(2,50,43)</f>
        <v>40483.11855324074</v>
      </c>
      <c r="C610">
        <v>80</v>
      </c>
      <c r="D610">
        <v>79.872970581000004</v>
      </c>
      <c r="E610">
        <v>50</v>
      </c>
      <c r="F610">
        <v>42.937839508000003</v>
      </c>
      <c r="G610">
        <v>1330.2133789</v>
      </c>
      <c r="H610">
        <v>1328.2012939000001</v>
      </c>
      <c r="I610">
        <v>1344.9339600000001</v>
      </c>
      <c r="J610">
        <v>1339.0397949000001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184.15006</v>
      </c>
      <c r="B611" s="1">
        <f>DATE(2010,11,1) + TIME(3,36,5)</f>
        <v>40483.150057870371</v>
      </c>
      <c r="C611">
        <v>80</v>
      </c>
      <c r="D611">
        <v>79.863143921000002</v>
      </c>
      <c r="E611">
        <v>50</v>
      </c>
      <c r="F611">
        <v>43.292362212999997</v>
      </c>
      <c r="G611">
        <v>1329.7613524999999</v>
      </c>
      <c r="H611">
        <v>1327.7272949000001</v>
      </c>
      <c r="I611">
        <v>1345.6029053</v>
      </c>
      <c r="J611">
        <v>1339.7497559000001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184.18252799999999</v>
      </c>
      <c r="B612" s="1">
        <f>DATE(2010,11,1) + TIME(4,22,50)</f>
        <v>40483.182523148149</v>
      </c>
      <c r="C612">
        <v>80</v>
      </c>
      <c r="D612">
        <v>79.853355407999999</v>
      </c>
      <c r="E612">
        <v>50</v>
      </c>
      <c r="F612">
        <v>43.638221741000002</v>
      </c>
      <c r="G612">
        <v>1329.3934326000001</v>
      </c>
      <c r="H612">
        <v>1327.3436279</v>
      </c>
      <c r="I612">
        <v>1346.0977783000001</v>
      </c>
      <c r="J612">
        <v>1340.2873535000001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184.21597600000001</v>
      </c>
      <c r="B613" s="1">
        <f>DATE(2010,11,1) + TIME(5,11,0)</f>
        <v>40483.21597222222</v>
      </c>
      <c r="C613">
        <v>80</v>
      </c>
      <c r="D613">
        <v>79.843551636000001</v>
      </c>
      <c r="E613">
        <v>50</v>
      </c>
      <c r="F613">
        <v>43.974895476999997</v>
      </c>
      <c r="G613">
        <v>1329.0869141000001</v>
      </c>
      <c r="H613">
        <v>1327.0258789</v>
      </c>
      <c r="I613">
        <v>1346.4741211</v>
      </c>
      <c r="J613">
        <v>1340.7071533000001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184.25046900000001</v>
      </c>
      <c r="B614" s="1">
        <f>DATE(2010,11,1) + TIME(6,0,40)</f>
        <v>40483.250462962962</v>
      </c>
      <c r="C614">
        <v>80</v>
      </c>
      <c r="D614">
        <v>79.833686829000001</v>
      </c>
      <c r="E614">
        <v>50</v>
      </c>
      <c r="F614">
        <v>44.302391051999997</v>
      </c>
      <c r="G614">
        <v>1328.8269043</v>
      </c>
      <c r="H614">
        <v>1326.7573242000001</v>
      </c>
      <c r="I614">
        <v>1346.7658690999999</v>
      </c>
      <c r="J614">
        <v>1341.0424805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184.28607500000001</v>
      </c>
      <c r="B615" s="1">
        <f>DATE(2010,11,1) + TIME(6,51,56)</f>
        <v>40483.286064814813</v>
      </c>
      <c r="C615">
        <v>80</v>
      </c>
      <c r="D615">
        <v>79.823707580999994</v>
      </c>
      <c r="E615">
        <v>50</v>
      </c>
      <c r="F615">
        <v>44.620639801000003</v>
      </c>
      <c r="G615">
        <v>1328.6030272999999</v>
      </c>
      <c r="H615">
        <v>1326.5269774999999</v>
      </c>
      <c r="I615">
        <v>1346.9951172000001</v>
      </c>
      <c r="J615">
        <v>1341.3149414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184.32287700000001</v>
      </c>
      <c r="B616" s="1">
        <f>DATE(2010,11,1) + TIME(7,44,56)</f>
        <v>40483.322870370372</v>
      </c>
      <c r="C616">
        <v>80</v>
      </c>
      <c r="D616">
        <v>79.813591002999999</v>
      </c>
      <c r="E616">
        <v>50</v>
      </c>
      <c r="F616">
        <v>44.929683685000001</v>
      </c>
      <c r="G616">
        <v>1328.4082031</v>
      </c>
      <c r="H616">
        <v>1326.3270264</v>
      </c>
      <c r="I616">
        <v>1347.1770019999999</v>
      </c>
      <c r="J616">
        <v>1341.5394286999999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184.36095599999999</v>
      </c>
      <c r="B617" s="1">
        <f>DATE(2010,11,1) + TIME(8,39,46)</f>
        <v>40483.360949074071</v>
      </c>
      <c r="C617">
        <v>80</v>
      </c>
      <c r="D617">
        <v>79.803306579999997</v>
      </c>
      <c r="E617">
        <v>50</v>
      </c>
      <c r="F617">
        <v>45.229541779000002</v>
      </c>
      <c r="G617">
        <v>1328.2370605000001</v>
      </c>
      <c r="H617">
        <v>1326.1517334</v>
      </c>
      <c r="I617">
        <v>1347.3218993999999</v>
      </c>
      <c r="J617">
        <v>1341.7260742000001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184.40040200000001</v>
      </c>
      <c r="B618" s="1">
        <f>DATE(2010,11,1) + TIME(9,36,34)</f>
        <v>40483.400393518517</v>
      </c>
      <c r="C618">
        <v>80</v>
      </c>
      <c r="D618">
        <v>79.792823791999993</v>
      </c>
      <c r="E618">
        <v>50</v>
      </c>
      <c r="F618">
        <v>45.520244597999998</v>
      </c>
      <c r="G618">
        <v>1328.0855713000001</v>
      </c>
      <c r="H618">
        <v>1325.9970702999999</v>
      </c>
      <c r="I618">
        <v>1347.4376221</v>
      </c>
      <c r="J618">
        <v>1341.8824463000001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184.441349</v>
      </c>
      <c r="B619" s="1">
        <f>DATE(2010,11,1) + TIME(10,35,32)</f>
        <v>40483.441342592596</v>
      </c>
      <c r="C619">
        <v>80</v>
      </c>
      <c r="D619">
        <v>79.782112122000001</v>
      </c>
      <c r="E619">
        <v>50</v>
      </c>
      <c r="F619">
        <v>45.802036285</v>
      </c>
      <c r="G619">
        <v>1327.9509277</v>
      </c>
      <c r="H619">
        <v>1325.8594971</v>
      </c>
      <c r="I619">
        <v>1347.5297852000001</v>
      </c>
      <c r="J619">
        <v>1342.0141602000001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184.483926</v>
      </c>
      <c r="B620" s="1">
        <f>DATE(2010,11,1) + TIME(11,36,51)</f>
        <v>40483.483923611115</v>
      </c>
      <c r="C620">
        <v>80</v>
      </c>
      <c r="D620">
        <v>79.771141052000004</v>
      </c>
      <c r="E620">
        <v>50</v>
      </c>
      <c r="F620">
        <v>46.075008392000001</v>
      </c>
      <c r="G620">
        <v>1327.8304443</v>
      </c>
      <c r="H620">
        <v>1325.7365723</v>
      </c>
      <c r="I620">
        <v>1347.6027832</v>
      </c>
      <c r="J620">
        <v>1342.1254882999999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184.52828199999999</v>
      </c>
      <c r="B621" s="1">
        <f>DATE(2010,11,1) + TIME(12,40,43)</f>
        <v>40483.528275462966</v>
      </c>
      <c r="C621">
        <v>80</v>
      </c>
      <c r="D621">
        <v>79.759872436999999</v>
      </c>
      <c r="E621">
        <v>50</v>
      </c>
      <c r="F621">
        <v>46.339267731</v>
      </c>
      <c r="G621">
        <v>1327.7225341999999</v>
      </c>
      <c r="H621">
        <v>1325.6265868999999</v>
      </c>
      <c r="I621">
        <v>1347.659668</v>
      </c>
      <c r="J621">
        <v>1342.2193603999999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184.57458299999999</v>
      </c>
      <c r="B622" s="1">
        <f>DATE(2010,11,1) + TIME(13,47,24)</f>
        <v>40483.574583333335</v>
      </c>
      <c r="C622">
        <v>80</v>
      </c>
      <c r="D622">
        <v>79.748283385999997</v>
      </c>
      <c r="E622">
        <v>50</v>
      </c>
      <c r="F622">
        <v>46.594890593999999</v>
      </c>
      <c r="G622">
        <v>1327.6257324000001</v>
      </c>
      <c r="H622">
        <v>1325.527832</v>
      </c>
      <c r="I622">
        <v>1347.703125</v>
      </c>
      <c r="J622">
        <v>1342.2985839999999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184.62301500000001</v>
      </c>
      <c r="B623" s="1">
        <f>DATE(2010,11,1) + TIME(14,57,8)</f>
        <v>40483.62300925926</v>
      </c>
      <c r="C623">
        <v>80</v>
      </c>
      <c r="D623">
        <v>79.736335753999995</v>
      </c>
      <c r="E623">
        <v>50</v>
      </c>
      <c r="F623">
        <v>46.841918945000003</v>
      </c>
      <c r="G623">
        <v>1327.5385742000001</v>
      </c>
      <c r="H623">
        <v>1325.4389647999999</v>
      </c>
      <c r="I623">
        <v>1347.7351074000001</v>
      </c>
      <c r="J623">
        <v>1342.3648682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184.67380700000001</v>
      </c>
      <c r="B624" s="1">
        <f>DATE(2010,11,1) + TIME(16,10,16)</f>
        <v>40483.673796296294</v>
      </c>
      <c r="C624">
        <v>80</v>
      </c>
      <c r="D624">
        <v>79.723976135000001</v>
      </c>
      <c r="E624">
        <v>50</v>
      </c>
      <c r="F624">
        <v>47.080463408999996</v>
      </c>
      <c r="G624">
        <v>1327.4603271000001</v>
      </c>
      <c r="H624">
        <v>1325.3591309000001</v>
      </c>
      <c r="I624">
        <v>1347.7572021000001</v>
      </c>
      <c r="J624">
        <v>1342.4199219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184.72721999999999</v>
      </c>
      <c r="B625" s="1">
        <f>DATE(2010,11,1) + TIME(17,27,11)</f>
        <v>40483.727210648147</v>
      </c>
      <c r="C625">
        <v>80</v>
      </c>
      <c r="D625">
        <v>79.711166382000002</v>
      </c>
      <c r="E625">
        <v>50</v>
      </c>
      <c r="F625">
        <v>47.310577393000003</v>
      </c>
      <c r="G625">
        <v>1327.3900146000001</v>
      </c>
      <c r="H625">
        <v>1325.2873535000001</v>
      </c>
      <c r="I625">
        <v>1347.7705077999999</v>
      </c>
      <c r="J625">
        <v>1342.4650879000001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184.78355300000001</v>
      </c>
      <c r="B626" s="1">
        <f>DATE(2010,11,1) + TIME(18,48,18)</f>
        <v>40483.783541666664</v>
      </c>
      <c r="C626">
        <v>80</v>
      </c>
      <c r="D626">
        <v>79.697837829999997</v>
      </c>
      <c r="E626">
        <v>50</v>
      </c>
      <c r="F626">
        <v>47.532299041999998</v>
      </c>
      <c r="G626">
        <v>1327.3269043</v>
      </c>
      <c r="H626">
        <v>1325.2227783000001</v>
      </c>
      <c r="I626">
        <v>1347.7762451000001</v>
      </c>
      <c r="J626">
        <v>1342.5013428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184.843164</v>
      </c>
      <c r="B627" s="1">
        <f>DATE(2010,11,1) + TIME(20,14,9)</f>
        <v>40483.843159722222</v>
      </c>
      <c r="C627">
        <v>80</v>
      </c>
      <c r="D627">
        <v>79.683937072999996</v>
      </c>
      <c r="E627">
        <v>50</v>
      </c>
      <c r="F627">
        <v>47.745651244999998</v>
      </c>
      <c r="G627">
        <v>1327.2702637</v>
      </c>
      <c r="H627">
        <v>1325.1649170000001</v>
      </c>
      <c r="I627">
        <v>1347.7751464999999</v>
      </c>
      <c r="J627">
        <v>1342.5295410000001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184.906477</v>
      </c>
      <c r="B628" s="1">
        <f>DATE(2010,11,1) + TIME(21,45,19)</f>
        <v>40483.906469907408</v>
      </c>
      <c r="C628">
        <v>80</v>
      </c>
      <c r="D628">
        <v>79.669387817</v>
      </c>
      <c r="E628">
        <v>50</v>
      </c>
      <c r="F628">
        <v>47.950630187999998</v>
      </c>
      <c r="G628">
        <v>1327.2197266000001</v>
      </c>
      <c r="H628">
        <v>1325.1131591999999</v>
      </c>
      <c r="I628">
        <v>1347.7679443</v>
      </c>
      <c r="J628">
        <v>1342.5505370999999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184.97399799999999</v>
      </c>
      <c r="B629" s="1">
        <f>DATE(2010,11,1) + TIME(23,22,33)</f>
        <v>40483.973993055559</v>
      </c>
      <c r="C629">
        <v>80</v>
      </c>
      <c r="D629">
        <v>79.654098511000001</v>
      </c>
      <c r="E629">
        <v>50</v>
      </c>
      <c r="F629">
        <v>48.147216796999999</v>
      </c>
      <c r="G629">
        <v>1327.1745605000001</v>
      </c>
      <c r="H629">
        <v>1325.0667725000001</v>
      </c>
      <c r="I629">
        <v>1347.7553711</v>
      </c>
      <c r="J629">
        <v>1342.5649414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185.04634799999999</v>
      </c>
      <c r="B630" s="1">
        <f>DATE(2010,11,2) + TIME(1,6,44)</f>
        <v>40484.046342592592</v>
      </c>
      <c r="C630">
        <v>80</v>
      </c>
      <c r="D630">
        <v>79.637962341000005</v>
      </c>
      <c r="E630">
        <v>50</v>
      </c>
      <c r="F630">
        <v>48.335365295000003</v>
      </c>
      <c r="G630">
        <v>1327.1342772999999</v>
      </c>
      <c r="H630">
        <v>1325.0252685999999</v>
      </c>
      <c r="I630">
        <v>1347.737793</v>
      </c>
      <c r="J630">
        <v>1342.5733643000001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185.12428399999999</v>
      </c>
      <c r="B631" s="1">
        <f>DATE(2010,11,2) + TIME(2,58,58)</f>
        <v>40484.124282407407</v>
      </c>
      <c r="C631">
        <v>80</v>
      </c>
      <c r="D631">
        <v>79.620849609000004</v>
      </c>
      <c r="E631">
        <v>50</v>
      </c>
      <c r="F631">
        <v>48.514995575</v>
      </c>
      <c r="G631">
        <v>1327.0986327999999</v>
      </c>
      <c r="H631">
        <v>1324.9884033000001</v>
      </c>
      <c r="I631">
        <v>1347.7155762</v>
      </c>
      <c r="J631">
        <v>1342.5762939000001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185.20868899999999</v>
      </c>
      <c r="B632" s="1">
        <f>DATE(2010,11,2) + TIME(5,0,30)</f>
        <v>40484.208680555559</v>
      </c>
      <c r="C632">
        <v>80</v>
      </c>
      <c r="D632">
        <v>79.602615356000001</v>
      </c>
      <c r="E632">
        <v>50</v>
      </c>
      <c r="F632">
        <v>48.685882567999997</v>
      </c>
      <c r="G632">
        <v>1327.0668945</v>
      </c>
      <c r="H632">
        <v>1324.9554443</v>
      </c>
      <c r="I632">
        <v>1347.6893310999999</v>
      </c>
      <c r="J632">
        <v>1342.5739745999999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185.30061499999999</v>
      </c>
      <c r="B633" s="1">
        <f>DATE(2010,11,2) + TIME(7,12,53)</f>
        <v>40484.300613425927</v>
      </c>
      <c r="C633">
        <v>80</v>
      </c>
      <c r="D633">
        <v>79.583091736</v>
      </c>
      <c r="E633">
        <v>50</v>
      </c>
      <c r="F633">
        <v>48.847694396999998</v>
      </c>
      <c r="G633">
        <v>1327.0388184000001</v>
      </c>
      <c r="H633">
        <v>1324.9261475000001</v>
      </c>
      <c r="I633">
        <v>1347.6594238</v>
      </c>
      <c r="J633">
        <v>1342.5671387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185.40148400000001</v>
      </c>
      <c r="B634" s="1">
        <f>DATE(2010,11,2) + TIME(9,38,8)</f>
        <v>40484.40148148148</v>
      </c>
      <c r="C634">
        <v>80</v>
      </c>
      <c r="D634">
        <v>79.562042235999996</v>
      </c>
      <c r="E634">
        <v>50</v>
      </c>
      <c r="F634">
        <v>49.000213623</v>
      </c>
      <c r="G634">
        <v>1327.0140381000001</v>
      </c>
      <c r="H634">
        <v>1324.9000243999999</v>
      </c>
      <c r="I634">
        <v>1347.6258545000001</v>
      </c>
      <c r="J634">
        <v>1342.5557861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185.51319699999999</v>
      </c>
      <c r="B635" s="1">
        <f>DATE(2010,11,2) + TIME(12,19,0)</f>
        <v>40484.513194444444</v>
      </c>
      <c r="C635">
        <v>80</v>
      </c>
      <c r="D635">
        <v>79.539169311999999</v>
      </c>
      <c r="E635">
        <v>50</v>
      </c>
      <c r="F635">
        <v>49.143222809000001</v>
      </c>
      <c r="G635">
        <v>1326.9919434000001</v>
      </c>
      <c r="H635">
        <v>1324.8765868999999</v>
      </c>
      <c r="I635">
        <v>1347.5889893000001</v>
      </c>
      <c r="J635">
        <v>1342.5402832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185.628028</v>
      </c>
      <c r="B636" s="1">
        <f>DATE(2010,11,2) + TIME(15,4,21)</f>
        <v>40484.628020833334</v>
      </c>
      <c r="C636">
        <v>80</v>
      </c>
      <c r="D636">
        <v>79.515914917000003</v>
      </c>
      <c r="E636">
        <v>50</v>
      </c>
      <c r="F636">
        <v>49.267253875999998</v>
      </c>
      <c r="G636">
        <v>1326.9732666</v>
      </c>
      <c r="H636">
        <v>1324.8564452999999</v>
      </c>
      <c r="I636">
        <v>1347.5539550999999</v>
      </c>
      <c r="J636">
        <v>1342.5234375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185.74446800000001</v>
      </c>
      <c r="B637" s="1">
        <f>DATE(2010,11,2) + TIME(17,52,1)</f>
        <v>40484.744456018518</v>
      </c>
      <c r="C637">
        <v>80</v>
      </c>
      <c r="D637">
        <v>79.492538452000005</v>
      </c>
      <c r="E637">
        <v>50</v>
      </c>
      <c r="F637">
        <v>49.373195647999999</v>
      </c>
      <c r="G637">
        <v>1326.9576416</v>
      </c>
      <c r="H637">
        <v>1324.8393555</v>
      </c>
      <c r="I637">
        <v>1347.5195312000001</v>
      </c>
      <c r="J637">
        <v>1342.5051269999999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185.862144</v>
      </c>
      <c r="B638" s="1">
        <f>DATE(2010,11,2) + TIME(20,41,29)</f>
        <v>40484.862141203703</v>
      </c>
      <c r="C638">
        <v>80</v>
      </c>
      <c r="D638">
        <v>79.469108582000004</v>
      </c>
      <c r="E638">
        <v>50</v>
      </c>
      <c r="F638">
        <v>49.463268280000001</v>
      </c>
      <c r="G638">
        <v>1326.9442139</v>
      </c>
      <c r="H638">
        <v>1324.8244629000001</v>
      </c>
      <c r="I638">
        <v>1347.4857178</v>
      </c>
      <c r="J638">
        <v>1342.4857178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185.98166599999999</v>
      </c>
      <c r="B639" s="1">
        <f>DATE(2010,11,2) + TIME(23,33,35)</f>
        <v>40484.98165509259</v>
      </c>
      <c r="C639">
        <v>80</v>
      </c>
      <c r="D639">
        <v>79.445503235000004</v>
      </c>
      <c r="E639">
        <v>50</v>
      </c>
      <c r="F639">
        <v>49.540081024000003</v>
      </c>
      <c r="G639">
        <v>1326.9324951000001</v>
      </c>
      <c r="H639">
        <v>1324.8112793</v>
      </c>
      <c r="I639">
        <v>1347.4522704999999</v>
      </c>
      <c r="J639">
        <v>1342.4654541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186.10358600000001</v>
      </c>
      <c r="B640" s="1">
        <f>DATE(2010,11,3) + TIME(2,29,9)</f>
        <v>40485.103576388887</v>
      </c>
      <c r="C640">
        <v>80</v>
      </c>
      <c r="D640">
        <v>79.421638489000003</v>
      </c>
      <c r="E640">
        <v>50</v>
      </c>
      <c r="F640">
        <v>49.605690002000003</v>
      </c>
      <c r="G640">
        <v>1326.9221190999999</v>
      </c>
      <c r="H640">
        <v>1324.7993164</v>
      </c>
      <c r="I640">
        <v>1347.4193115</v>
      </c>
      <c r="J640">
        <v>1342.4447021000001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186.22846000000001</v>
      </c>
      <c r="B641" s="1">
        <f>DATE(2010,11,3) + TIME(5,28,58)</f>
        <v>40485.228449074071</v>
      </c>
      <c r="C641">
        <v>80</v>
      </c>
      <c r="D641">
        <v>79.397415160999998</v>
      </c>
      <c r="E641">
        <v>50</v>
      </c>
      <c r="F641">
        <v>49.661762238000001</v>
      </c>
      <c r="G641">
        <v>1326.9127197</v>
      </c>
      <c r="H641">
        <v>1324.7883300999999</v>
      </c>
      <c r="I641">
        <v>1347.3867187999999</v>
      </c>
      <c r="J641">
        <v>1342.4235839999999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186.356852</v>
      </c>
      <c r="B642" s="1">
        <f>DATE(2010,11,3) + TIME(8,33,52)</f>
        <v>40485.356851851851</v>
      </c>
      <c r="C642">
        <v>80</v>
      </c>
      <c r="D642">
        <v>79.372726439999994</v>
      </c>
      <c r="E642">
        <v>50</v>
      </c>
      <c r="F642">
        <v>49.709671020999998</v>
      </c>
      <c r="G642">
        <v>1326.9039307</v>
      </c>
      <c r="H642">
        <v>1324.7779541</v>
      </c>
      <c r="I642">
        <v>1347.3546143000001</v>
      </c>
      <c r="J642">
        <v>1342.4020995999999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186.489417</v>
      </c>
      <c r="B643" s="1">
        <f>DATE(2010,11,3) + TIME(11,44,45)</f>
        <v>40485.48940972222</v>
      </c>
      <c r="C643">
        <v>80</v>
      </c>
      <c r="D643">
        <v>79.347473144999995</v>
      </c>
      <c r="E643">
        <v>50</v>
      </c>
      <c r="F643">
        <v>49.750576019</v>
      </c>
      <c r="G643">
        <v>1326.8956298999999</v>
      </c>
      <c r="H643">
        <v>1324.7679443</v>
      </c>
      <c r="I643">
        <v>1347.3227539</v>
      </c>
      <c r="J643">
        <v>1342.3803711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186.626845</v>
      </c>
      <c r="B644" s="1">
        <f>DATE(2010,11,3) + TIME(15,2,39)</f>
        <v>40485.626840277779</v>
      </c>
      <c r="C644">
        <v>80</v>
      </c>
      <c r="D644">
        <v>79.321548461999996</v>
      </c>
      <c r="E644">
        <v>50</v>
      </c>
      <c r="F644">
        <v>49.785446167000003</v>
      </c>
      <c r="G644">
        <v>1326.8876952999999</v>
      </c>
      <c r="H644">
        <v>1324.7581786999999</v>
      </c>
      <c r="I644">
        <v>1347.2910156</v>
      </c>
      <c r="J644">
        <v>1342.3582764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186.769903</v>
      </c>
      <c r="B645" s="1">
        <f>DATE(2010,11,3) + TIME(18,28,39)</f>
        <v>40485.769895833335</v>
      </c>
      <c r="C645">
        <v>80</v>
      </c>
      <c r="D645">
        <v>79.294830321999996</v>
      </c>
      <c r="E645">
        <v>50</v>
      </c>
      <c r="F645">
        <v>49.815101624</v>
      </c>
      <c r="G645">
        <v>1326.8800048999999</v>
      </c>
      <c r="H645">
        <v>1324.7485352000001</v>
      </c>
      <c r="I645">
        <v>1347.2593993999999</v>
      </c>
      <c r="J645">
        <v>1342.3359375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186.919377</v>
      </c>
      <c r="B646" s="1">
        <f>DATE(2010,11,3) + TIME(22,3,54)</f>
        <v>40485.919374999998</v>
      </c>
      <c r="C646">
        <v>80</v>
      </c>
      <c r="D646">
        <v>79.267189025999997</v>
      </c>
      <c r="E646">
        <v>50</v>
      </c>
      <c r="F646">
        <v>49.840229033999996</v>
      </c>
      <c r="G646">
        <v>1326.8721923999999</v>
      </c>
      <c r="H646">
        <v>1324.7388916</v>
      </c>
      <c r="I646">
        <v>1347.2276611</v>
      </c>
      <c r="J646">
        <v>1342.3132324000001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187.07550800000001</v>
      </c>
      <c r="B647" s="1">
        <f>DATE(2010,11,4) + TIME(1,48,43)</f>
        <v>40486.075497685182</v>
      </c>
      <c r="C647">
        <v>80</v>
      </c>
      <c r="D647">
        <v>79.238609314000001</v>
      </c>
      <c r="E647">
        <v>50</v>
      </c>
      <c r="F647">
        <v>49.861354828000003</v>
      </c>
      <c r="G647">
        <v>1326.8645019999999</v>
      </c>
      <c r="H647">
        <v>1324.7290039</v>
      </c>
      <c r="I647">
        <v>1347.1959228999999</v>
      </c>
      <c r="J647">
        <v>1342.2902832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187.23935299999999</v>
      </c>
      <c r="B648" s="1">
        <f>DATE(2010,11,4) + TIME(5,44,40)</f>
        <v>40486.239351851851</v>
      </c>
      <c r="C648">
        <v>80</v>
      </c>
      <c r="D648">
        <v>79.208923339999998</v>
      </c>
      <c r="E648">
        <v>50</v>
      </c>
      <c r="F648">
        <v>49.879051208</v>
      </c>
      <c r="G648">
        <v>1326.8566894999999</v>
      </c>
      <c r="H648">
        <v>1324.7189940999999</v>
      </c>
      <c r="I648">
        <v>1347.1640625</v>
      </c>
      <c r="J648">
        <v>1342.2669678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187.41209000000001</v>
      </c>
      <c r="B649" s="1">
        <f>DATE(2010,11,4) + TIME(9,53,24)</f>
        <v>40486.412083333336</v>
      </c>
      <c r="C649">
        <v>80</v>
      </c>
      <c r="D649">
        <v>79.177963257000002</v>
      </c>
      <c r="E649">
        <v>50</v>
      </c>
      <c r="F649">
        <v>49.893798828000001</v>
      </c>
      <c r="G649">
        <v>1326.8486327999999</v>
      </c>
      <c r="H649">
        <v>1324.7086182</v>
      </c>
      <c r="I649">
        <v>1347.1318358999999</v>
      </c>
      <c r="J649">
        <v>1342.2432861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187.59511599999999</v>
      </c>
      <c r="B650" s="1">
        <f>DATE(2010,11,4) + TIME(14,16,58)</f>
        <v>40486.59511574074</v>
      </c>
      <c r="C650">
        <v>80</v>
      </c>
      <c r="D650">
        <v>79.145530700999998</v>
      </c>
      <c r="E650">
        <v>50</v>
      </c>
      <c r="F650">
        <v>49.906024932999998</v>
      </c>
      <c r="G650">
        <v>1326.840332</v>
      </c>
      <c r="H650">
        <v>1324.6977539</v>
      </c>
      <c r="I650">
        <v>1347.0992432</v>
      </c>
      <c r="J650">
        <v>1342.2192382999999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187.78999099999999</v>
      </c>
      <c r="B651" s="1">
        <f>DATE(2010,11,4) + TIME(18,57,35)</f>
        <v>40486.789988425924</v>
      </c>
      <c r="C651">
        <v>80</v>
      </c>
      <c r="D651">
        <v>79.111412048000005</v>
      </c>
      <c r="E651">
        <v>50</v>
      </c>
      <c r="F651">
        <v>49.916080475000001</v>
      </c>
      <c r="G651">
        <v>1326.8316649999999</v>
      </c>
      <c r="H651">
        <v>1324.6864014</v>
      </c>
      <c r="I651">
        <v>1347.0661620999999</v>
      </c>
      <c r="J651">
        <v>1342.1945800999999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187.99731299999999</v>
      </c>
      <c r="B652" s="1">
        <f>DATE(2010,11,4) + TIME(23,56,7)</f>
        <v>40486.997303240743</v>
      </c>
      <c r="C652">
        <v>80</v>
      </c>
      <c r="D652">
        <v>79.075538635000001</v>
      </c>
      <c r="E652">
        <v>50</v>
      </c>
      <c r="F652">
        <v>49.924247741999999</v>
      </c>
      <c r="G652">
        <v>1326.8225098</v>
      </c>
      <c r="H652">
        <v>1324.6743164</v>
      </c>
      <c r="I652">
        <v>1347.0323486</v>
      </c>
      <c r="J652">
        <v>1342.1691894999999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188.217893</v>
      </c>
      <c r="B653" s="1">
        <f>DATE(2010,11,5) + TIME(5,13,45)</f>
        <v>40487.217881944445</v>
      </c>
      <c r="C653">
        <v>80</v>
      </c>
      <c r="D653">
        <v>79.037796021000005</v>
      </c>
      <c r="E653">
        <v>50</v>
      </c>
      <c r="F653">
        <v>49.930809021000002</v>
      </c>
      <c r="G653">
        <v>1326.8128661999999</v>
      </c>
      <c r="H653">
        <v>1324.6616211</v>
      </c>
      <c r="I653">
        <v>1346.9978027</v>
      </c>
      <c r="J653">
        <v>1342.1434326000001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188.44757000000001</v>
      </c>
      <c r="B654" s="1">
        <f>DATE(2010,11,5) + TIME(10,44,30)</f>
        <v>40487.447569444441</v>
      </c>
      <c r="C654">
        <v>80</v>
      </c>
      <c r="D654">
        <v>78.998756408999995</v>
      </c>
      <c r="E654">
        <v>50</v>
      </c>
      <c r="F654">
        <v>49.935924530000001</v>
      </c>
      <c r="G654">
        <v>1326.8026123</v>
      </c>
      <c r="H654">
        <v>1324.6480713000001</v>
      </c>
      <c r="I654">
        <v>1346.9628906</v>
      </c>
      <c r="J654">
        <v>1342.1170654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188.68144799999999</v>
      </c>
      <c r="B655" s="1">
        <f>DATE(2010,11,5) + TIME(16,21,17)</f>
        <v>40487.681446759256</v>
      </c>
      <c r="C655">
        <v>80</v>
      </c>
      <c r="D655">
        <v>78.959106445000003</v>
      </c>
      <c r="E655">
        <v>50</v>
      </c>
      <c r="F655">
        <v>49.939826965000002</v>
      </c>
      <c r="G655">
        <v>1326.7921143000001</v>
      </c>
      <c r="H655">
        <v>1324.6339111</v>
      </c>
      <c r="I655">
        <v>1346.9282227000001</v>
      </c>
      <c r="J655">
        <v>1342.0908202999999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188.91992200000001</v>
      </c>
      <c r="B656" s="1">
        <f>DATE(2010,11,5) + TIME(22,4,41)</f>
        <v>40487.919918981483</v>
      </c>
      <c r="C656">
        <v>80</v>
      </c>
      <c r="D656">
        <v>78.918838500999996</v>
      </c>
      <c r="E656">
        <v>50</v>
      </c>
      <c r="F656">
        <v>49.942810059000003</v>
      </c>
      <c r="G656">
        <v>1326.78125</v>
      </c>
      <c r="H656">
        <v>1324.6195068</v>
      </c>
      <c r="I656">
        <v>1346.8941649999999</v>
      </c>
      <c r="J656">
        <v>1342.0650635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189.16359700000001</v>
      </c>
      <c r="B657" s="1">
        <f>DATE(2010,11,6) + TIME(3,55,34)</f>
        <v>40488.163587962961</v>
      </c>
      <c r="C657">
        <v>80</v>
      </c>
      <c r="D657">
        <v>78.877899170000006</v>
      </c>
      <c r="E657">
        <v>50</v>
      </c>
      <c r="F657">
        <v>49.945091247999997</v>
      </c>
      <c r="G657">
        <v>1326.7701416</v>
      </c>
      <c r="H657">
        <v>1324.6046143000001</v>
      </c>
      <c r="I657">
        <v>1346.8609618999999</v>
      </c>
      <c r="J657">
        <v>1342.0399170000001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189.41257999999999</v>
      </c>
      <c r="B658" s="1">
        <f>DATE(2010,11,6) + TIME(9,54,6)</f>
        <v>40488.412569444445</v>
      </c>
      <c r="C658">
        <v>80</v>
      </c>
      <c r="D658">
        <v>78.836303710999999</v>
      </c>
      <c r="E658">
        <v>50</v>
      </c>
      <c r="F658">
        <v>49.946838378999999</v>
      </c>
      <c r="G658">
        <v>1326.7587891000001</v>
      </c>
      <c r="H658">
        <v>1324.5893555</v>
      </c>
      <c r="I658">
        <v>1346.8282471</v>
      </c>
      <c r="J658">
        <v>1342.0151367000001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189.66609399999999</v>
      </c>
      <c r="B659" s="1">
        <f>DATE(2010,11,6) + TIME(15,59,10)</f>
        <v>40488.666087962964</v>
      </c>
      <c r="C659">
        <v>80</v>
      </c>
      <c r="D659">
        <v>78.794189453000001</v>
      </c>
      <c r="E659">
        <v>50</v>
      </c>
      <c r="F659">
        <v>49.948173523000001</v>
      </c>
      <c r="G659">
        <v>1326.7470702999999</v>
      </c>
      <c r="H659">
        <v>1324.5737305</v>
      </c>
      <c r="I659">
        <v>1346.7962646000001</v>
      </c>
      <c r="J659">
        <v>1341.9908447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189.92506700000001</v>
      </c>
      <c r="B660" s="1">
        <f>DATE(2010,11,6) + TIME(22,12,5)</f>
        <v>40488.925057870372</v>
      </c>
      <c r="C660">
        <v>80</v>
      </c>
      <c r="D660">
        <v>78.751449585000003</v>
      </c>
      <c r="E660">
        <v>50</v>
      </c>
      <c r="F660">
        <v>49.949203490999999</v>
      </c>
      <c r="G660">
        <v>1326.7351074000001</v>
      </c>
      <c r="H660">
        <v>1324.5576172000001</v>
      </c>
      <c r="I660">
        <v>1346.7650146000001</v>
      </c>
      <c r="J660">
        <v>1341.9671631000001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190.19082900000001</v>
      </c>
      <c r="B661" s="1">
        <f>DATE(2010,11,7) + TIME(4,34,47)</f>
        <v>40489.190821759257</v>
      </c>
      <c r="C661">
        <v>80</v>
      </c>
      <c r="D661">
        <v>78.707946777000004</v>
      </c>
      <c r="E661">
        <v>50</v>
      </c>
      <c r="F661">
        <v>49.950000762999998</v>
      </c>
      <c r="G661">
        <v>1326.7227783000001</v>
      </c>
      <c r="H661">
        <v>1324.5411377</v>
      </c>
      <c r="I661">
        <v>1346.7342529</v>
      </c>
      <c r="J661">
        <v>1341.9438477000001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190.464744</v>
      </c>
      <c r="B662" s="1">
        <f>DATE(2010,11,7) + TIME(11,9,13)</f>
        <v>40489.464733796296</v>
      </c>
      <c r="C662">
        <v>80</v>
      </c>
      <c r="D662">
        <v>78.663513183999996</v>
      </c>
      <c r="E662">
        <v>50</v>
      </c>
      <c r="F662">
        <v>49.950622559000003</v>
      </c>
      <c r="G662">
        <v>1326.7102050999999</v>
      </c>
      <c r="H662">
        <v>1324.5240478999999</v>
      </c>
      <c r="I662">
        <v>1346.7039795000001</v>
      </c>
      <c r="J662">
        <v>1341.9207764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190.74830700000001</v>
      </c>
      <c r="B663" s="1">
        <f>DATE(2010,11,7) + TIME(17,57,33)</f>
        <v>40489.748298611114</v>
      </c>
      <c r="C663">
        <v>80</v>
      </c>
      <c r="D663">
        <v>78.617973328000005</v>
      </c>
      <c r="E663">
        <v>50</v>
      </c>
      <c r="F663">
        <v>49.951110839999998</v>
      </c>
      <c r="G663">
        <v>1326.6971435999999</v>
      </c>
      <c r="H663">
        <v>1324.5063477000001</v>
      </c>
      <c r="I663">
        <v>1346.6739502</v>
      </c>
      <c r="J663">
        <v>1341.8980713000001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191.04245499999999</v>
      </c>
      <c r="B664" s="1">
        <f>DATE(2010,11,8) + TIME(1,1,8)</f>
        <v>40490.042453703703</v>
      </c>
      <c r="C664">
        <v>80</v>
      </c>
      <c r="D664">
        <v>78.571228027000004</v>
      </c>
      <c r="E664">
        <v>50</v>
      </c>
      <c r="F664">
        <v>49.951496124000002</v>
      </c>
      <c r="G664">
        <v>1326.6834716999999</v>
      </c>
      <c r="H664">
        <v>1324.4879149999999</v>
      </c>
      <c r="I664">
        <v>1346.644043</v>
      </c>
      <c r="J664">
        <v>1341.8753661999999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191.34625700000001</v>
      </c>
      <c r="B665" s="1">
        <f>DATE(2010,11,8) + TIME(8,18,36)</f>
        <v>40490.346250000002</v>
      </c>
      <c r="C665">
        <v>80</v>
      </c>
      <c r="D665">
        <v>78.523376464999998</v>
      </c>
      <c r="E665">
        <v>50</v>
      </c>
      <c r="F665">
        <v>49.9518013</v>
      </c>
      <c r="G665">
        <v>1326.6693115</v>
      </c>
      <c r="H665">
        <v>1324.46875</v>
      </c>
      <c r="I665">
        <v>1346.6142577999999</v>
      </c>
      <c r="J665">
        <v>1341.8527832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191.66038800000001</v>
      </c>
      <c r="B666" s="1">
        <f>DATE(2010,11,8) + TIME(15,50,57)</f>
        <v>40490.660381944443</v>
      </c>
      <c r="C666">
        <v>80</v>
      </c>
      <c r="D666">
        <v>78.474349975999999</v>
      </c>
      <c r="E666">
        <v>50</v>
      </c>
      <c r="F666">
        <v>49.952041626000003</v>
      </c>
      <c r="G666">
        <v>1326.6546631000001</v>
      </c>
      <c r="H666">
        <v>1324.4488524999999</v>
      </c>
      <c r="I666">
        <v>1346.5845947</v>
      </c>
      <c r="J666">
        <v>1341.8304443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191.98575</v>
      </c>
      <c r="B667" s="1">
        <f>DATE(2010,11,8) + TIME(23,39,28)</f>
        <v>40490.98574074074</v>
      </c>
      <c r="C667">
        <v>80</v>
      </c>
      <c r="D667">
        <v>78.424072265999996</v>
      </c>
      <c r="E667">
        <v>50</v>
      </c>
      <c r="F667">
        <v>49.952232361</v>
      </c>
      <c r="G667">
        <v>1326.6394043</v>
      </c>
      <c r="H667">
        <v>1324.4282227000001</v>
      </c>
      <c r="I667">
        <v>1346.5552978999999</v>
      </c>
      <c r="J667">
        <v>1341.8081055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192.323262</v>
      </c>
      <c r="B668" s="1">
        <f>DATE(2010,11,9) + TIME(7,45,29)</f>
        <v>40491.323252314818</v>
      </c>
      <c r="C668">
        <v>80</v>
      </c>
      <c r="D668">
        <v>78.372436523000005</v>
      </c>
      <c r="E668">
        <v>50</v>
      </c>
      <c r="F668">
        <v>49.952381133999999</v>
      </c>
      <c r="G668">
        <v>1326.6235352000001</v>
      </c>
      <c r="H668">
        <v>1324.4067382999999</v>
      </c>
      <c r="I668">
        <v>1346.526001</v>
      </c>
      <c r="J668">
        <v>1341.7860106999999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192.67390700000001</v>
      </c>
      <c r="B669" s="1">
        <f>DATE(2010,11,9) + TIME(16,10,25)</f>
        <v>40491.673900462964</v>
      </c>
      <c r="C669">
        <v>80</v>
      </c>
      <c r="D669">
        <v>78.319351196</v>
      </c>
      <c r="E669">
        <v>50</v>
      </c>
      <c r="F669">
        <v>49.95249939</v>
      </c>
      <c r="G669">
        <v>1326.6070557</v>
      </c>
      <c r="H669">
        <v>1324.3843993999999</v>
      </c>
      <c r="I669">
        <v>1346.4968262</v>
      </c>
      <c r="J669">
        <v>1341.7639160000001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193.03876500000001</v>
      </c>
      <c r="B670" s="1">
        <f>DATE(2010,11,10) + TIME(0,55,49)</f>
        <v>40492.038761574076</v>
      </c>
      <c r="C670">
        <v>80</v>
      </c>
      <c r="D670">
        <v>78.264701842999997</v>
      </c>
      <c r="E670">
        <v>50</v>
      </c>
      <c r="F670">
        <v>49.952594757</v>
      </c>
      <c r="G670">
        <v>1326.5898437999999</v>
      </c>
      <c r="H670">
        <v>1324.3609618999999</v>
      </c>
      <c r="I670">
        <v>1346.4676514</v>
      </c>
      <c r="J670">
        <v>1341.7419434000001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193.419026</v>
      </c>
      <c r="B671" s="1">
        <f>DATE(2010,11,10) + TIME(10,3,23)</f>
        <v>40492.419016203705</v>
      </c>
      <c r="C671">
        <v>80</v>
      </c>
      <c r="D671">
        <v>78.208366393999995</v>
      </c>
      <c r="E671">
        <v>50</v>
      </c>
      <c r="F671">
        <v>49.952667236000003</v>
      </c>
      <c r="G671">
        <v>1326.5718993999999</v>
      </c>
      <c r="H671">
        <v>1324.3365478999999</v>
      </c>
      <c r="I671">
        <v>1346.4384766000001</v>
      </c>
      <c r="J671">
        <v>1341.7199707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193.80634599999999</v>
      </c>
      <c r="B672" s="1">
        <f>DATE(2010,11,10) + TIME(19,21,8)</f>
        <v>40492.806342592594</v>
      </c>
      <c r="C672">
        <v>80</v>
      </c>
      <c r="D672">
        <v>78.151214600000003</v>
      </c>
      <c r="E672">
        <v>50</v>
      </c>
      <c r="F672">
        <v>49.952724457000002</v>
      </c>
      <c r="G672">
        <v>1326.5531006000001</v>
      </c>
      <c r="H672">
        <v>1324.3111572</v>
      </c>
      <c r="I672">
        <v>1346.4093018000001</v>
      </c>
      <c r="J672">
        <v>1341.697876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194.199681</v>
      </c>
      <c r="B673" s="1">
        <f>DATE(2010,11,11) + TIME(4,47,32)</f>
        <v>40493.199675925927</v>
      </c>
      <c r="C673">
        <v>80</v>
      </c>
      <c r="D673">
        <v>78.093444824000002</v>
      </c>
      <c r="E673">
        <v>50</v>
      </c>
      <c r="F673">
        <v>49.952762604</v>
      </c>
      <c r="G673">
        <v>1326.5339355000001</v>
      </c>
      <c r="H673">
        <v>1324.2851562000001</v>
      </c>
      <c r="I673">
        <v>1346.3807373</v>
      </c>
      <c r="J673">
        <v>1341.6763916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194.600245</v>
      </c>
      <c r="B674" s="1">
        <f>DATE(2010,11,11) + TIME(14,24,21)</f>
        <v>40493.600243055553</v>
      </c>
      <c r="C674">
        <v>80</v>
      </c>
      <c r="D674">
        <v>78.035034179999997</v>
      </c>
      <c r="E674">
        <v>50</v>
      </c>
      <c r="F674">
        <v>49.952789307000003</v>
      </c>
      <c r="G674">
        <v>1326.5144043</v>
      </c>
      <c r="H674">
        <v>1324.2585449000001</v>
      </c>
      <c r="I674">
        <v>1346.3529053</v>
      </c>
      <c r="J674">
        <v>1341.6553954999999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195.01015899999999</v>
      </c>
      <c r="B675" s="1">
        <f>DATE(2010,11,12) + TIME(0,14,37)</f>
        <v>40494.010150462964</v>
      </c>
      <c r="C675">
        <v>80</v>
      </c>
      <c r="D675">
        <v>77.975830078000001</v>
      </c>
      <c r="E675">
        <v>50</v>
      </c>
      <c r="F675">
        <v>49.95280838</v>
      </c>
      <c r="G675">
        <v>1326.4943848</v>
      </c>
      <c r="H675">
        <v>1324.2313231999999</v>
      </c>
      <c r="I675">
        <v>1346.3255615</v>
      </c>
      <c r="J675">
        <v>1341.6347656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195.43165999999999</v>
      </c>
      <c r="B676" s="1">
        <f>DATE(2010,11,12) + TIME(10,21,35)</f>
        <v>40494.431655092594</v>
      </c>
      <c r="C676">
        <v>80</v>
      </c>
      <c r="D676">
        <v>77.915626525999997</v>
      </c>
      <c r="E676">
        <v>50</v>
      </c>
      <c r="F676">
        <v>49.952819824000002</v>
      </c>
      <c r="G676">
        <v>1326.4738769999999</v>
      </c>
      <c r="H676">
        <v>1324.2032471</v>
      </c>
      <c r="I676">
        <v>1346.2985839999999</v>
      </c>
      <c r="J676">
        <v>1341.6145019999999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195.86472000000001</v>
      </c>
      <c r="B677" s="1">
        <f>DATE(2010,11,12) + TIME(20,45,11)</f>
        <v>40494.864710648151</v>
      </c>
      <c r="C677">
        <v>80</v>
      </c>
      <c r="D677">
        <v>77.854438782000003</v>
      </c>
      <c r="E677">
        <v>50</v>
      </c>
      <c r="F677">
        <v>49.952827454000001</v>
      </c>
      <c r="G677">
        <v>1326.4527588000001</v>
      </c>
      <c r="H677">
        <v>1324.1744385</v>
      </c>
      <c r="I677">
        <v>1346.2719727000001</v>
      </c>
      <c r="J677">
        <v>1341.5944824000001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196.31015099999999</v>
      </c>
      <c r="B678" s="1">
        <f>DATE(2010,11,13) + TIME(7,26,37)</f>
        <v>40495.310150462959</v>
      </c>
      <c r="C678">
        <v>80</v>
      </c>
      <c r="D678">
        <v>77.792190551999994</v>
      </c>
      <c r="E678">
        <v>50</v>
      </c>
      <c r="F678">
        <v>49.952827454000001</v>
      </c>
      <c r="G678">
        <v>1326.4309082</v>
      </c>
      <c r="H678">
        <v>1324.1447754000001</v>
      </c>
      <c r="I678">
        <v>1346.2456055</v>
      </c>
      <c r="J678">
        <v>1341.574707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196.77048400000001</v>
      </c>
      <c r="B679" s="1">
        <f>DATE(2010,11,13) + TIME(18,29,29)</f>
        <v>40495.770474537036</v>
      </c>
      <c r="C679">
        <v>80</v>
      </c>
      <c r="D679">
        <v>77.728668213000006</v>
      </c>
      <c r="E679">
        <v>50</v>
      </c>
      <c r="F679">
        <v>49.952823639000002</v>
      </c>
      <c r="G679">
        <v>1326.4084473</v>
      </c>
      <c r="H679">
        <v>1324.1141356999999</v>
      </c>
      <c r="I679">
        <v>1346.2193603999999</v>
      </c>
      <c r="J679">
        <v>1341.5550536999999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197.24852300000001</v>
      </c>
      <c r="B680" s="1">
        <f>DATE(2010,11,14) + TIME(5,57,52)</f>
        <v>40496.248518518521</v>
      </c>
      <c r="C680">
        <v>80</v>
      </c>
      <c r="D680">
        <v>77.663604735999996</v>
      </c>
      <c r="E680">
        <v>50</v>
      </c>
      <c r="F680">
        <v>49.952819824000002</v>
      </c>
      <c r="G680">
        <v>1326.3852539</v>
      </c>
      <c r="H680">
        <v>1324.0823975000001</v>
      </c>
      <c r="I680">
        <v>1346.1933594</v>
      </c>
      <c r="J680">
        <v>1341.5355225000001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197.74443099999999</v>
      </c>
      <c r="B681" s="1">
        <f>DATE(2010,11,14) + TIME(17,51,58)</f>
        <v>40496.744421296295</v>
      </c>
      <c r="C681">
        <v>80</v>
      </c>
      <c r="D681">
        <v>77.596954346000004</v>
      </c>
      <c r="E681">
        <v>50</v>
      </c>
      <c r="F681">
        <v>49.952812195</v>
      </c>
      <c r="G681">
        <v>1326.3610839999999</v>
      </c>
      <c r="H681">
        <v>1324.0494385</v>
      </c>
      <c r="I681">
        <v>1346.1672363</v>
      </c>
      <c r="J681">
        <v>1341.5159911999999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198.26022499999999</v>
      </c>
      <c r="B682" s="1">
        <f>DATE(2010,11,15) + TIME(6,14,43)</f>
        <v>40497.26021990741</v>
      </c>
      <c r="C682">
        <v>80</v>
      </c>
      <c r="D682">
        <v>77.528541564999998</v>
      </c>
      <c r="E682">
        <v>50</v>
      </c>
      <c r="F682">
        <v>49.952800750999998</v>
      </c>
      <c r="G682">
        <v>1326.3360596</v>
      </c>
      <c r="H682">
        <v>1324.0152588000001</v>
      </c>
      <c r="I682">
        <v>1346.1412353999999</v>
      </c>
      <c r="J682">
        <v>1341.496582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198.78571700000001</v>
      </c>
      <c r="B683" s="1">
        <f>DATE(2010,11,15) + TIME(18,51,25)</f>
        <v>40497.78570601852</v>
      </c>
      <c r="C683">
        <v>80</v>
      </c>
      <c r="D683">
        <v>77.459190368999998</v>
      </c>
      <c r="E683">
        <v>50</v>
      </c>
      <c r="F683">
        <v>49.952789307000003</v>
      </c>
      <c r="G683">
        <v>1326.3100586</v>
      </c>
      <c r="H683">
        <v>1323.9797363</v>
      </c>
      <c r="I683">
        <v>1346.1151123</v>
      </c>
      <c r="J683">
        <v>1341.4770507999999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199.319086</v>
      </c>
      <c r="B684" s="1">
        <f>DATE(2010,11,16) + TIME(7,39,29)</f>
        <v>40498.319085648145</v>
      </c>
      <c r="C684">
        <v>80</v>
      </c>
      <c r="D684">
        <v>77.389213561999995</v>
      </c>
      <c r="E684">
        <v>50</v>
      </c>
      <c r="F684">
        <v>49.952777863000001</v>
      </c>
      <c r="G684">
        <v>1326.2834473</v>
      </c>
      <c r="H684">
        <v>1323.9434814000001</v>
      </c>
      <c r="I684">
        <v>1346.0893555</v>
      </c>
      <c r="J684">
        <v>1341.4578856999999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199.85736600000001</v>
      </c>
      <c r="B685" s="1">
        <f>DATE(2010,11,16) + TIME(20,34,36)</f>
        <v>40498.857361111113</v>
      </c>
      <c r="C685">
        <v>80</v>
      </c>
      <c r="D685">
        <v>77.319007873999993</v>
      </c>
      <c r="E685">
        <v>50</v>
      </c>
      <c r="F685">
        <v>49.952762604</v>
      </c>
      <c r="G685">
        <v>1326.2563477000001</v>
      </c>
      <c r="H685">
        <v>1323.9064940999999</v>
      </c>
      <c r="I685">
        <v>1346.0643310999999</v>
      </c>
      <c r="J685">
        <v>1341.4392089999999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200.40348700000001</v>
      </c>
      <c r="B686" s="1">
        <f>DATE(2010,11,17) + TIME(9,41,1)</f>
        <v>40499.403483796297</v>
      </c>
      <c r="C686">
        <v>80</v>
      </c>
      <c r="D686">
        <v>77.248497009000005</v>
      </c>
      <c r="E686">
        <v>50</v>
      </c>
      <c r="F686">
        <v>49.952751159999998</v>
      </c>
      <c r="G686">
        <v>1326.2288818</v>
      </c>
      <c r="H686">
        <v>1323.8690185999999</v>
      </c>
      <c r="I686">
        <v>1346.0397949000001</v>
      </c>
      <c r="J686">
        <v>1341.4210204999999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200.960273</v>
      </c>
      <c r="B687" s="1">
        <f>DATE(2010,11,17) + TIME(23,2,47)</f>
        <v>40499.960266203707</v>
      </c>
      <c r="C687">
        <v>80</v>
      </c>
      <c r="D687">
        <v>77.177505492999998</v>
      </c>
      <c r="E687">
        <v>50</v>
      </c>
      <c r="F687">
        <v>49.952739716000004</v>
      </c>
      <c r="G687">
        <v>1326.2009277</v>
      </c>
      <c r="H687">
        <v>1323.8308105000001</v>
      </c>
      <c r="I687">
        <v>1346.0158690999999</v>
      </c>
      <c r="J687">
        <v>1341.4031981999999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201.530676</v>
      </c>
      <c r="B688" s="1">
        <f>DATE(2010,11,18) + TIME(12,44,10)</f>
        <v>40500.530671296299</v>
      </c>
      <c r="C688">
        <v>80</v>
      </c>
      <c r="D688">
        <v>77.105804442999997</v>
      </c>
      <c r="E688">
        <v>50</v>
      </c>
      <c r="F688">
        <v>49.952728270999998</v>
      </c>
      <c r="G688">
        <v>1326.1724853999999</v>
      </c>
      <c r="H688">
        <v>1323.7919922000001</v>
      </c>
      <c r="I688">
        <v>1345.9923096</v>
      </c>
      <c r="J688">
        <v>1341.3857422000001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202.117876</v>
      </c>
      <c r="B689" s="1">
        <f>DATE(2010,11,19) + TIME(2,49,44)</f>
        <v>40501.11787037037</v>
      </c>
      <c r="C689">
        <v>80</v>
      </c>
      <c r="D689">
        <v>77.033119201999995</v>
      </c>
      <c r="E689">
        <v>50</v>
      </c>
      <c r="F689">
        <v>49.952720642000003</v>
      </c>
      <c r="G689">
        <v>1326.1434326000001</v>
      </c>
      <c r="H689">
        <v>1323.7520752</v>
      </c>
      <c r="I689">
        <v>1345.9689940999999</v>
      </c>
      <c r="J689">
        <v>1341.3684082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202.72130899999999</v>
      </c>
      <c r="B690" s="1">
        <f>DATE(2010,11,19) + TIME(17,18,41)</f>
        <v>40501.721307870372</v>
      </c>
      <c r="C690">
        <v>80</v>
      </c>
      <c r="D690">
        <v>76.959426879999995</v>
      </c>
      <c r="E690">
        <v>50</v>
      </c>
      <c r="F690">
        <v>49.952709198000001</v>
      </c>
      <c r="G690">
        <v>1326.1134033000001</v>
      </c>
      <c r="H690">
        <v>1323.7110596</v>
      </c>
      <c r="I690">
        <v>1345.9456786999999</v>
      </c>
      <c r="J690">
        <v>1341.3511963000001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203.34248700000001</v>
      </c>
      <c r="B691" s="1">
        <f>DATE(2010,11,20) + TIME(8,13,10)</f>
        <v>40502.342476851853</v>
      </c>
      <c r="C691">
        <v>80</v>
      </c>
      <c r="D691">
        <v>76.884597778</v>
      </c>
      <c r="E691">
        <v>50</v>
      </c>
      <c r="F691">
        <v>49.952701568999998</v>
      </c>
      <c r="G691">
        <v>1326.0826416</v>
      </c>
      <c r="H691">
        <v>1323.6689452999999</v>
      </c>
      <c r="I691">
        <v>1345.9226074000001</v>
      </c>
      <c r="J691">
        <v>1341.3341064000001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203.98512099999999</v>
      </c>
      <c r="B692" s="1">
        <f>DATE(2010,11,20) + TIME(23,38,34)</f>
        <v>40502.985115740739</v>
      </c>
      <c r="C692">
        <v>80</v>
      </c>
      <c r="D692">
        <v>76.808380127000007</v>
      </c>
      <c r="E692">
        <v>50</v>
      </c>
      <c r="F692">
        <v>49.952697753999999</v>
      </c>
      <c r="G692">
        <v>1326.0509033000001</v>
      </c>
      <c r="H692">
        <v>1323.6256103999999</v>
      </c>
      <c r="I692">
        <v>1345.8996582</v>
      </c>
      <c r="J692">
        <v>1341.3171387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204.650001</v>
      </c>
      <c r="B693" s="1">
        <f>DATE(2010,11,21) + TIME(15,36,0)</f>
        <v>40503.65</v>
      </c>
      <c r="C693">
        <v>80</v>
      </c>
      <c r="D693">
        <v>76.730651855000005</v>
      </c>
      <c r="E693">
        <v>50</v>
      </c>
      <c r="F693">
        <v>49.952690124999997</v>
      </c>
      <c r="G693">
        <v>1326.0181885</v>
      </c>
      <c r="H693">
        <v>1323.5808105000001</v>
      </c>
      <c r="I693">
        <v>1345.8767089999999</v>
      </c>
      <c r="J693">
        <v>1341.3001709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205.337762</v>
      </c>
      <c r="B694" s="1">
        <f>DATE(2010,11,22) + TIME(8,6,22)</f>
        <v>40504.337754629632</v>
      </c>
      <c r="C694">
        <v>80</v>
      </c>
      <c r="D694">
        <v>76.651359557999996</v>
      </c>
      <c r="E694">
        <v>50</v>
      </c>
      <c r="F694">
        <v>49.952690124999997</v>
      </c>
      <c r="G694">
        <v>1325.9842529</v>
      </c>
      <c r="H694">
        <v>1323.5345459</v>
      </c>
      <c r="I694">
        <v>1345.8536377</v>
      </c>
      <c r="J694">
        <v>1341.2833252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206.02826099999999</v>
      </c>
      <c r="B695" s="1">
        <f>DATE(2010,11,23) + TIME(0,40,41)</f>
        <v>40505.028252314813</v>
      </c>
      <c r="C695">
        <v>80</v>
      </c>
      <c r="D695">
        <v>76.571754455999994</v>
      </c>
      <c r="E695">
        <v>50</v>
      </c>
      <c r="F695">
        <v>49.952686309999997</v>
      </c>
      <c r="G695">
        <v>1325.9493408000001</v>
      </c>
      <c r="H695">
        <v>1323.4868164</v>
      </c>
      <c r="I695">
        <v>1345.8306885</v>
      </c>
      <c r="J695">
        <v>1341.2663574000001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206.72538900000001</v>
      </c>
      <c r="B696" s="1">
        <f>DATE(2010,11,23) + TIME(17,24,33)</f>
        <v>40505.725381944445</v>
      </c>
      <c r="C696">
        <v>80</v>
      </c>
      <c r="D696">
        <v>76.492057799999998</v>
      </c>
      <c r="E696">
        <v>50</v>
      </c>
      <c r="F696">
        <v>49.952682494999998</v>
      </c>
      <c r="G696">
        <v>1325.9140625</v>
      </c>
      <c r="H696">
        <v>1323.4385986</v>
      </c>
      <c r="I696">
        <v>1345.8083495999999</v>
      </c>
      <c r="J696">
        <v>1341.25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207.43297999999999</v>
      </c>
      <c r="B697" s="1">
        <f>DATE(2010,11,24) + TIME(10,23,29)</f>
        <v>40506.432974537034</v>
      </c>
      <c r="C697">
        <v>80</v>
      </c>
      <c r="D697">
        <v>76.412216186999999</v>
      </c>
      <c r="E697">
        <v>50</v>
      </c>
      <c r="F697">
        <v>49.952682494999998</v>
      </c>
      <c r="G697">
        <v>1325.878418</v>
      </c>
      <c r="H697">
        <v>1323.3898925999999</v>
      </c>
      <c r="I697">
        <v>1345.7866211</v>
      </c>
      <c r="J697">
        <v>1341.2340088000001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208.154877</v>
      </c>
      <c r="B698" s="1">
        <f>DATE(2010,11,25) + TIME(3,43,1)</f>
        <v>40507.154872685183</v>
      </c>
      <c r="C698">
        <v>80</v>
      </c>
      <c r="D698">
        <v>76.332000731999997</v>
      </c>
      <c r="E698">
        <v>50</v>
      </c>
      <c r="F698">
        <v>49.952686309999997</v>
      </c>
      <c r="G698">
        <v>1325.8422852000001</v>
      </c>
      <c r="H698">
        <v>1323.340332</v>
      </c>
      <c r="I698">
        <v>1345.7651367000001</v>
      </c>
      <c r="J698">
        <v>1341.2183838000001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208.895138</v>
      </c>
      <c r="B699" s="1">
        <f>DATE(2010,11,25) + TIME(21,28,59)</f>
        <v>40507.895127314812</v>
      </c>
      <c r="C699">
        <v>80</v>
      </c>
      <c r="D699">
        <v>76.251129149999997</v>
      </c>
      <c r="E699">
        <v>50</v>
      </c>
      <c r="F699">
        <v>49.952690124999997</v>
      </c>
      <c r="G699">
        <v>1325.8054199000001</v>
      </c>
      <c r="H699">
        <v>1323.2899170000001</v>
      </c>
      <c r="I699">
        <v>1345.7440185999999</v>
      </c>
      <c r="J699">
        <v>1341.2028809000001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209.650597</v>
      </c>
      <c r="B700" s="1">
        <f>DATE(2010,11,26) + TIME(15,36,51)</f>
        <v>40508.650590277779</v>
      </c>
      <c r="C700">
        <v>80</v>
      </c>
      <c r="D700">
        <v>76.169654846</v>
      </c>
      <c r="E700">
        <v>50</v>
      </c>
      <c r="F700">
        <v>49.952693939</v>
      </c>
      <c r="G700">
        <v>1325.7677002</v>
      </c>
      <c r="H700">
        <v>1323.2382812000001</v>
      </c>
      <c r="I700">
        <v>1345.7230225000001</v>
      </c>
      <c r="J700">
        <v>1341.1875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210.42426699999999</v>
      </c>
      <c r="B701" s="1">
        <f>DATE(2010,11,27) + TIME(10,10,56)</f>
        <v>40509.424259259256</v>
      </c>
      <c r="C701">
        <v>80</v>
      </c>
      <c r="D701">
        <v>76.087455750000004</v>
      </c>
      <c r="E701">
        <v>50</v>
      </c>
      <c r="F701">
        <v>49.952701568999998</v>
      </c>
      <c r="G701">
        <v>1325.7292480000001</v>
      </c>
      <c r="H701">
        <v>1323.1856689000001</v>
      </c>
      <c r="I701">
        <v>1345.7022704999999</v>
      </c>
      <c r="J701">
        <v>1341.1723632999999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211.220529</v>
      </c>
      <c r="B702" s="1">
        <f>DATE(2010,11,28) + TIME(5,17,33)</f>
        <v>40510.220520833333</v>
      </c>
      <c r="C702">
        <v>80</v>
      </c>
      <c r="D702">
        <v>76.004249572999996</v>
      </c>
      <c r="E702">
        <v>50</v>
      </c>
      <c r="F702">
        <v>49.952713013</v>
      </c>
      <c r="G702">
        <v>1325.6898193</v>
      </c>
      <c r="H702">
        <v>1323.1318358999999</v>
      </c>
      <c r="I702">
        <v>1345.6816406</v>
      </c>
      <c r="J702">
        <v>1341.1573486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212.04253299999999</v>
      </c>
      <c r="B703" s="1">
        <f>DATE(2010,11,29) + TIME(1,1,14)</f>
        <v>40511.042523148149</v>
      </c>
      <c r="C703">
        <v>80</v>
      </c>
      <c r="D703">
        <v>75.919784546000002</v>
      </c>
      <c r="E703">
        <v>50</v>
      </c>
      <c r="F703">
        <v>49.952724457000002</v>
      </c>
      <c r="G703">
        <v>1325.6494141000001</v>
      </c>
      <c r="H703">
        <v>1323.0764160000001</v>
      </c>
      <c r="I703">
        <v>1345.6610106999999</v>
      </c>
      <c r="J703">
        <v>1341.1424560999999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212.88821999999999</v>
      </c>
      <c r="B704" s="1">
        <f>DATE(2010,11,29) + TIME(21,19,2)</f>
        <v>40511.88821759259</v>
      </c>
      <c r="C704">
        <v>80</v>
      </c>
      <c r="D704">
        <v>75.834068298000005</v>
      </c>
      <c r="E704">
        <v>50</v>
      </c>
      <c r="F704">
        <v>49.952735900999997</v>
      </c>
      <c r="G704">
        <v>1325.6077881000001</v>
      </c>
      <c r="H704">
        <v>1323.0195312000001</v>
      </c>
      <c r="I704">
        <v>1345.6405029</v>
      </c>
      <c r="J704">
        <v>1341.1275635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213.75295600000001</v>
      </c>
      <c r="B705" s="1">
        <f>DATE(2010,11,30) + TIME(18,4,15)</f>
        <v>40512.752951388888</v>
      </c>
      <c r="C705">
        <v>80</v>
      </c>
      <c r="D705">
        <v>75.747337341000005</v>
      </c>
      <c r="E705">
        <v>50</v>
      </c>
      <c r="F705">
        <v>49.952751159999998</v>
      </c>
      <c r="G705">
        <v>1325.5649414</v>
      </c>
      <c r="H705">
        <v>1322.9609375</v>
      </c>
      <c r="I705">
        <v>1345.6199951000001</v>
      </c>
      <c r="J705">
        <v>1341.1126709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214</v>
      </c>
      <c r="B706" s="1">
        <f>DATE(2010,12,1) + TIME(0,0,0)</f>
        <v>40513</v>
      </c>
      <c r="C706">
        <v>80</v>
      </c>
      <c r="D706">
        <v>75.707878113000007</v>
      </c>
      <c r="E706">
        <v>50</v>
      </c>
      <c r="F706">
        <v>49.952732085999997</v>
      </c>
      <c r="G706">
        <v>1325.526001</v>
      </c>
      <c r="H706">
        <v>1322.9091797000001</v>
      </c>
      <c r="I706">
        <v>1345.6005858999999</v>
      </c>
      <c r="J706">
        <v>1341.0987548999999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214.873109</v>
      </c>
      <c r="B707" s="1">
        <f>DATE(2010,12,1) + TIME(20,57,16)</f>
        <v>40513.873101851852</v>
      </c>
      <c r="C707">
        <v>80</v>
      </c>
      <c r="D707">
        <v>75.628662109000004</v>
      </c>
      <c r="E707">
        <v>50</v>
      </c>
      <c r="F707">
        <v>49.952770233000003</v>
      </c>
      <c r="G707">
        <v>1325.5058594</v>
      </c>
      <c r="H707">
        <v>1322.8795166</v>
      </c>
      <c r="I707">
        <v>1345.5936279</v>
      </c>
      <c r="J707">
        <v>1341.0935059000001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215.75846899999999</v>
      </c>
      <c r="B708" s="1">
        <f>DATE(2010,12,2) + TIME(18,12,11)</f>
        <v>40514.758460648147</v>
      </c>
      <c r="C708">
        <v>80</v>
      </c>
      <c r="D708">
        <v>75.545364379999995</v>
      </c>
      <c r="E708">
        <v>50</v>
      </c>
      <c r="F708">
        <v>49.952789307000003</v>
      </c>
      <c r="G708">
        <v>1325.4633789</v>
      </c>
      <c r="H708">
        <v>1322.8215332</v>
      </c>
      <c r="I708">
        <v>1345.5742187999999</v>
      </c>
      <c r="J708">
        <v>1341.0795897999999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216.65830199999999</v>
      </c>
      <c r="B709" s="1">
        <f>DATE(2010,12,3) + TIME(15,47,57)</f>
        <v>40515.65829861111</v>
      </c>
      <c r="C709">
        <v>80</v>
      </c>
      <c r="D709">
        <v>75.459983825999998</v>
      </c>
      <c r="E709">
        <v>50</v>
      </c>
      <c r="F709">
        <v>49.95280838</v>
      </c>
      <c r="G709">
        <v>1325.4193115</v>
      </c>
      <c r="H709">
        <v>1322.7613524999999</v>
      </c>
      <c r="I709">
        <v>1345.5548096</v>
      </c>
      <c r="J709">
        <v>1341.0656738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217.57761199999999</v>
      </c>
      <c r="B710" s="1">
        <f>DATE(2010,12,4) + TIME(13,51,45)</f>
        <v>40516.577604166669</v>
      </c>
      <c r="C710">
        <v>80</v>
      </c>
      <c r="D710">
        <v>75.373260497999993</v>
      </c>
      <c r="E710">
        <v>50</v>
      </c>
      <c r="F710">
        <v>49.952831267999997</v>
      </c>
      <c r="G710">
        <v>1325.3741454999999</v>
      </c>
      <c r="H710">
        <v>1322.699707</v>
      </c>
      <c r="I710">
        <v>1345.5357666</v>
      </c>
      <c r="J710">
        <v>1341.0518798999999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218.52155099999999</v>
      </c>
      <c r="B711" s="1">
        <f>DATE(2010,12,5) + TIME(12,31,2)</f>
        <v>40517.521550925929</v>
      </c>
      <c r="C711">
        <v>80</v>
      </c>
      <c r="D711">
        <v>75.285324097</v>
      </c>
      <c r="E711">
        <v>50</v>
      </c>
      <c r="F711">
        <v>49.952854156000001</v>
      </c>
      <c r="G711">
        <v>1325.3280029</v>
      </c>
      <c r="H711">
        <v>1322.6365966999999</v>
      </c>
      <c r="I711">
        <v>1345.5167236</v>
      </c>
      <c r="J711">
        <v>1341.0383300999999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219.48750100000001</v>
      </c>
      <c r="B712" s="1">
        <f>DATE(2010,12,6) + TIME(11,42,0)</f>
        <v>40518.487500000003</v>
      </c>
      <c r="C712">
        <v>80</v>
      </c>
      <c r="D712">
        <v>75.196327209000003</v>
      </c>
      <c r="E712">
        <v>50</v>
      </c>
      <c r="F712">
        <v>49.952880858999997</v>
      </c>
      <c r="G712">
        <v>1325.2807617000001</v>
      </c>
      <c r="H712">
        <v>1322.5718993999999</v>
      </c>
      <c r="I712">
        <v>1345.4979248</v>
      </c>
      <c r="J712">
        <v>1341.0247803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220.478071</v>
      </c>
      <c r="B713" s="1">
        <f>DATE(2010,12,7) + TIME(11,28,25)</f>
        <v>40519.478067129632</v>
      </c>
      <c r="C713">
        <v>80</v>
      </c>
      <c r="D713">
        <v>75.106285095000004</v>
      </c>
      <c r="E713">
        <v>50</v>
      </c>
      <c r="F713">
        <v>49.952907562</v>
      </c>
      <c r="G713">
        <v>1325.2324219</v>
      </c>
      <c r="H713">
        <v>1322.5057373</v>
      </c>
      <c r="I713">
        <v>1345.479126</v>
      </c>
      <c r="J713">
        <v>1341.0112305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221.49911599999999</v>
      </c>
      <c r="B714" s="1">
        <f>DATE(2010,12,8) + TIME(11,58,43)</f>
        <v>40520.499108796299</v>
      </c>
      <c r="C714">
        <v>80</v>
      </c>
      <c r="D714">
        <v>75.014976501000007</v>
      </c>
      <c r="E714">
        <v>50</v>
      </c>
      <c r="F714">
        <v>49.952938080000003</v>
      </c>
      <c r="G714">
        <v>1325.1828613</v>
      </c>
      <c r="H714">
        <v>1322.4379882999999</v>
      </c>
      <c r="I714">
        <v>1345.4604492000001</v>
      </c>
      <c r="J714">
        <v>1340.9979248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222.536845</v>
      </c>
      <c r="B715" s="1">
        <f>DATE(2010,12,9) + TIME(12,53,3)</f>
        <v>40521.536840277775</v>
      </c>
      <c r="C715">
        <v>80</v>
      </c>
      <c r="D715">
        <v>74.922683715999995</v>
      </c>
      <c r="E715">
        <v>50</v>
      </c>
      <c r="F715">
        <v>49.952968597000002</v>
      </c>
      <c r="G715">
        <v>1325.1320800999999</v>
      </c>
      <c r="H715">
        <v>1322.3685303</v>
      </c>
      <c r="I715">
        <v>1345.4416504000001</v>
      </c>
      <c r="J715">
        <v>1340.9846190999999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223.580207</v>
      </c>
      <c r="B716" s="1">
        <f>DATE(2010,12,10) + TIME(13,55,29)</f>
        <v>40522.580196759256</v>
      </c>
      <c r="C716">
        <v>80</v>
      </c>
      <c r="D716">
        <v>74.830192565999994</v>
      </c>
      <c r="E716">
        <v>50</v>
      </c>
      <c r="F716">
        <v>49.952999114999997</v>
      </c>
      <c r="G716">
        <v>1325.0805664</v>
      </c>
      <c r="H716">
        <v>1322.2978516000001</v>
      </c>
      <c r="I716">
        <v>1345.4232178</v>
      </c>
      <c r="J716">
        <v>1340.9714355000001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224.635178</v>
      </c>
      <c r="B717" s="1">
        <f>DATE(2010,12,11) + TIME(15,14,39)</f>
        <v>40523.63517361111</v>
      </c>
      <c r="C717">
        <v>80</v>
      </c>
      <c r="D717">
        <v>74.737770080999994</v>
      </c>
      <c r="E717">
        <v>50</v>
      </c>
      <c r="F717">
        <v>49.953033447000003</v>
      </c>
      <c r="G717">
        <v>1325.0285644999999</v>
      </c>
      <c r="H717">
        <v>1322.2266846</v>
      </c>
      <c r="I717">
        <v>1345.4051514</v>
      </c>
      <c r="J717">
        <v>1340.9586182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225.70762500000001</v>
      </c>
      <c r="B718" s="1">
        <f>DATE(2010,12,12) + TIME(16,58,58)</f>
        <v>40524.707615740743</v>
      </c>
      <c r="C718">
        <v>80</v>
      </c>
      <c r="D718">
        <v>74.645202636999997</v>
      </c>
      <c r="E718">
        <v>50</v>
      </c>
      <c r="F718">
        <v>49.953071594000001</v>
      </c>
      <c r="G718">
        <v>1324.9761963000001</v>
      </c>
      <c r="H718">
        <v>1322.1549072</v>
      </c>
      <c r="I718">
        <v>1345.3874512</v>
      </c>
      <c r="J718">
        <v>1340.9460449000001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226.80362299999999</v>
      </c>
      <c r="B719" s="1">
        <f>DATE(2010,12,13) + TIME(19,17,12)</f>
        <v>40525.803611111114</v>
      </c>
      <c r="C719">
        <v>80</v>
      </c>
      <c r="D719">
        <v>74.552093506000006</v>
      </c>
      <c r="E719">
        <v>50</v>
      </c>
      <c r="F719">
        <v>49.953105927000003</v>
      </c>
      <c r="G719">
        <v>1324.9230957</v>
      </c>
      <c r="H719">
        <v>1322.0821533000001</v>
      </c>
      <c r="I719">
        <v>1345.3699951000001</v>
      </c>
      <c r="J719">
        <v>1340.9335937999999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227.92515900000001</v>
      </c>
      <c r="B720" s="1">
        <f>DATE(2010,12,14) + TIME(22,12,13)</f>
        <v>40526.925150462965</v>
      </c>
      <c r="C720">
        <v>80</v>
      </c>
      <c r="D720">
        <v>74.458106994999994</v>
      </c>
      <c r="E720">
        <v>50</v>
      </c>
      <c r="F720">
        <v>49.953147887999997</v>
      </c>
      <c r="G720">
        <v>1324.8690185999999</v>
      </c>
      <c r="H720">
        <v>1322.0080565999999</v>
      </c>
      <c r="I720">
        <v>1345.3526611</v>
      </c>
      <c r="J720">
        <v>1340.9213867000001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229.068251</v>
      </c>
      <c r="B721" s="1">
        <f>DATE(2010,12,16) + TIME(1,38,16)</f>
        <v>40528.068240740744</v>
      </c>
      <c r="C721">
        <v>80</v>
      </c>
      <c r="D721">
        <v>74.363212584999999</v>
      </c>
      <c r="E721">
        <v>50</v>
      </c>
      <c r="F721">
        <v>49.953189850000001</v>
      </c>
      <c r="G721">
        <v>1324.8138428</v>
      </c>
      <c r="H721">
        <v>1321.9326172000001</v>
      </c>
      <c r="I721">
        <v>1345.3353271000001</v>
      </c>
      <c r="J721">
        <v>1340.9090576000001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230.23939999999999</v>
      </c>
      <c r="B722" s="1">
        <f>DATE(2010,12,17) + TIME(5,44,44)</f>
        <v>40529.239398148151</v>
      </c>
      <c r="C722">
        <v>80</v>
      </c>
      <c r="D722">
        <v>74.267234802000004</v>
      </c>
      <c r="E722">
        <v>50</v>
      </c>
      <c r="F722">
        <v>49.953231811999999</v>
      </c>
      <c r="G722">
        <v>1324.7578125</v>
      </c>
      <c r="H722">
        <v>1321.8557129000001</v>
      </c>
      <c r="I722">
        <v>1345.3181152</v>
      </c>
      <c r="J722">
        <v>1340.8969727000001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231.44346200000001</v>
      </c>
      <c r="B723" s="1">
        <f>DATE(2010,12,18) + TIME(10,38,35)</f>
        <v>40530.443460648145</v>
      </c>
      <c r="C723">
        <v>80</v>
      </c>
      <c r="D723">
        <v>74.169830321999996</v>
      </c>
      <c r="E723">
        <v>50</v>
      </c>
      <c r="F723">
        <v>49.953277587999999</v>
      </c>
      <c r="G723">
        <v>1324.7006836</v>
      </c>
      <c r="H723">
        <v>1321.7773437999999</v>
      </c>
      <c r="I723">
        <v>1345.3010254000001</v>
      </c>
      <c r="J723">
        <v>1340.8850098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232.67016699999999</v>
      </c>
      <c r="B724" s="1">
        <f>DATE(2010,12,19) + TIME(16,5,2)</f>
        <v>40531.670162037037</v>
      </c>
      <c r="C724">
        <v>80</v>
      </c>
      <c r="D724">
        <v>74.071060181000007</v>
      </c>
      <c r="E724">
        <v>50</v>
      </c>
      <c r="F724">
        <v>49.953327178999999</v>
      </c>
      <c r="G724">
        <v>1324.6420897999999</v>
      </c>
      <c r="H724">
        <v>1321.6972656</v>
      </c>
      <c r="I724">
        <v>1345.2839355000001</v>
      </c>
      <c r="J724">
        <v>1340.8729248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233.90625399999999</v>
      </c>
      <c r="B725" s="1">
        <f>DATE(2010,12,20) + TIME(21,45,0)</f>
        <v>40532.90625</v>
      </c>
      <c r="C725">
        <v>80</v>
      </c>
      <c r="D725">
        <v>73.971542357999994</v>
      </c>
      <c r="E725">
        <v>50</v>
      </c>
      <c r="F725">
        <v>49.953376769999998</v>
      </c>
      <c r="G725">
        <v>1324.5826416</v>
      </c>
      <c r="H725">
        <v>1321.6158447</v>
      </c>
      <c r="I725">
        <v>1345.2669678</v>
      </c>
      <c r="J725">
        <v>1340.8610839999999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235.15895900000001</v>
      </c>
      <c r="B726" s="1">
        <f>DATE(2010,12,22) + TIME(3,48,54)</f>
        <v>40534.158958333333</v>
      </c>
      <c r="C726">
        <v>80</v>
      </c>
      <c r="D726">
        <v>73.871520996000001</v>
      </c>
      <c r="E726">
        <v>50</v>
      </c>
      <c r="F726">
        <v>49.953426360999998</v>
      </c>
      <c r="G726">
        <v>1324.5228271000001</v>
      </c>
      <c r="H726">
        <v>1321.5336914</v>
      </c>
      <c r="I726">
        <v>1345.2503661999999</v>
      </c>
      <c r="J726">
        <v>1340.8494873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236.43562900000001</v>
      </c>
      <c r="B727" s="1">
        <f>DATE(2010,12,23) + TIME(10,27,18)</f>
        <v>40535.435624999998</v>
      </c>
      <c r="C727">
        <v>80</v>
      </c>
      <c r="D727">
        <v>73.770690918</v>
      </c>
      <c r="E727">
        <v>50</v>
      </c>
      <c r="F727">
        <v>49.953475951999998</v>
      </c>
      <c r="G727">
        <v>1324.4622803</v>
      </c>
      <c r="H727">
        <v>1321.4506836</v>
      </c>
      <c r="I727">
        <v>1345.2340088000001</v>
      </c>
      <c r="J727">
        <v>1340.8380127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237.733442</v>
      </c>
      <c r="B728" s="1">
        <f>DATE(2010,12,24) + TIME(17,36,9)</f>
        <v>40536.733437499999</v>
      </c>
      <c r="C728">
        <v>80</v>
      </c>
      <c r="D728">
        <v>73.668830872000001</v>
      </c>
      <c r="E728">
        <v>50</v>
      </c>
      <c r="F728">
        <v>49.953533172999997</v>
      </c>
      <c r="G728">
        <v>1324.4008789</v>
      </c>
      <c r="H728">
        <v>1321.3665771000001</v>
      </c>
      <c r="I728">
        <v>1345.2177733999999</v>
      </c>
      <c r="J728">
        <v>1340.8266602000001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239.057603</v>
      </c>
      <c r="B729" s="1">
        <f>DATE(2010,12,26) + TIME(1,22,56)</f>
        <v>40538.057592592595</v>
      </c>
      <c r="C729">
        <v>80</v>
      </c>
      <c r="D729">
        <v>73.565734863000003</v>
      </c>
      <c r="E729">
        <v>50</v>
      </c>
      <c r="F729">
        <v>49.953586577999999</v>
      </c>
      <c r="G729">
        <v>1324.3387451000001</v>
      </c>
      <c r="H729">
        <v>1321.28125</v>
      </c>
      <c r="I729">
        <v>1345.2016602000001</v>
      </c>
      <c r="J729">
        <v>1340.8154297000001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240.404203</v>
      </c>
      <c r="B730" s="1">
        <f>DATE(2010,12,27) + TIME(9,42,3)</f>
        <v>40539.40420138889</v>
      </c>
      <c r="C730">
        <v>80</v>
      </c>
      <c r="D730">
        <v>73.461257935000006</v>
      </c>
      <c r="E730">
        <v>50</v>
      </c>
      <c r="F730">
        <v>49.953647613999998</v>
      </c>
      <c r="G730">
        <v>1324.2756348</v>
      </c>
      <c r="H730">
        <v>1321.1947021000001</v>
      </c>
      <c r="I730">
        <v>1345.1856689000001</v>
      </c>
      <c r="J730">
        <v>1340.8041992000001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241.77653000000001</v>
      </c>
      <c r="B731" s="1">
        <f>DATE(2010,12,28) + TIME(18,38,12)</f>
        <v>40540.77652777778</v>
      </c>
      <c r="C731">
        <v>80</v>
      </c>
      <c r="D731">
        <v>73.355323791999993</v>
      </c>
      <c r="E731">
        <v>50</v>
      </c>
      <c r="F731">
        <v>49.953704834</v>
      </c>
      <c r="G731">
        <v>1324.2117920000001</v>
      </c>
      <c r="H731">
        <v>1321.1070557</v>
      </c>
      <c r="I731">
        <v>1345.1697998</v>
      </c>
      <c r="J731">
        <v>1340.7932129000001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243.18114399999999</v>
      </c>
      <c r="B732" s="1">
        <f>DATE(2010,12,30) + TIME(4,20,50)</f>
        <v>40542.181134259263</v>
      </c>
      <c r="C732">
        <v>80</v>
      </c>
      <c r="D732">
        <v>73.247596740999995</v>
      </c>
      <c r="E732">
        <v>50</v>
      </c>
      <c r="F732">
        <v>49.953769684000001</v>
      </c>
      <c r="G732">
        <v>1324.1468506000001</v>
      </c>
      <c r="H732">
        <v>1321.0179443</v>
      </c>
      <c r="I732">
        <v>1345.1540527</v>
      </c>
      <c r="J732">
        <v>1340.7822266000001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244.61310900000001</v>
      </c>
      <c r="B733" s="1">
        <f>DATE(2010,12,31) + TIME(14,42,52)</f>
        <v>40543.61310185185</v>
      </c>
      <c r="C733">
        <v>80</v>
      </c>
      <c r="D733">
        <v>73.137863159000005</v>
      </c>
      <c r="E733">
        <v>50</v>
      </c>
      <c r="F733">
        <v>49.953830719000003</v>
      </c>
      <c r="G733">
        <v>1324.0808105000001</v>
      </c>
      <c r="H733">
        <v>1320.9273682</v>
      </c>
      <c r="I733">
        <v>1345.1383057</v>
      </c>
      <c r="J733">
        <v>1340.7713623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245</v>
      </c>
      <c r="B734" s="1">
        <f>DATE(2011,1,1) + TIME(0,0,0)</f>
        <v>40544</v>
      </c>
      <c r="C734">
        <v>80</v>
      </c>
      <c r="D734">
        <v>73.078475952000005</v>
      </c>
      <c r="E734">
        <v>50</v>
      </c>
      <c r="F734">
        <v>49.953830719000003</v>
      </c>
      <c r="G734">
        <v>1324.0200195</v>
      </c>
      <c r="H734">
        <v>1320.8465576000001</v>
      </c>
      <c r="I734">
        <v>1345.1235352000001</v>
      </c>
      <c r="J734">
        <v>1340.7612305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246.44128599999999</v>
      </c>
      <c r="B735" s="1">
        <f>DATE(2011,1,2) + TIME(10,35,27)</f>
        <v>40545.441284722219</v>
      </c>
      <c r="C735">
        <v>80</v>
      </c>
      <c r="D735">
        <v>72.986953735</v>
      </c>
      <c r="E735">
        <v>50</v>
      </c>
      <c r="F735">
        <v>49.953910827999998</v>
      </c>
      <c r="G735">
        <v>1323.9897461</v>
      </c>
      <c r="H735">
        <v>1320.8004149999999</v>
      </c>
      <c r="I735">
        <v>1345.1182861</v>
      </c>
      <c r="J735">
        <v>1340.7574463000001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247.90712500000001</v>
      </c>
      <c r="B736" s="1">
        <f>DATE(2011,1,3) + TIME(21,46,15)</f>
        <v>40546.907118055555</v>
      </c>
      <c r="C736">
        <v>80</v>
      </c>
      <c r="D736">
        <v>72.880744934000006</v>
      </c>
      <c r="E736">
        <v>50</v>
      </c>
      <c r="F736">
        <v>49.953979492000002</v>
      </c>
      <c r="G736">
        <v>1323.9265137</v>
      </c>
      <c r="H736">
        <v>1320.7147216999999</v>
      </c>
      <c r="I736">
        <v>1345.1032714999999</v>
      </c>
      <c r="J736">
        <v>1340.7471923999999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249.40095199999999</v>
      </c>
      <c r="B737" s="1">
        <f>DATE(2011,1,5) + TIME(9,37,22)</f>
        <v>40548.400949074072</v>
      </c>
      <c r="C737">
        <v>80</v>
      </c>
      <c r="D737">
        <v>72.768211364999999</v>
      </c>
      <c r="E737">
        <v>50</v>
      </c>
      <c r="F737">
        <v>49.954051970999998</v>
      </c>
      <c r="G737">
        <v>1323.8598632999999</v>
      </c>
      <c r="H737">
        <v>1320.6235352000001</v>
      </c>
      <c r="I737">
        <v>1345.0882568</v>
      </c>
      <c r="J737">
        <v>1340.7366943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250.927097</v>
      </c>
      <c r="B738" s="1">
        <f>DATE(2011,1,6) + TIME(22,15,1)</f>
        <v>40549.927094907405</v>
      </c>
      <c r="C738">
        <v>80</v>
      </c>
      <c r="D738">
        <v>72.651901245000005</v>
      </c>
      <c r="E738">
        <v>50</v>
      </c>
      <c r="F738">
        <v>49.954120635999999</v>
      </c>
      <c r="G738">
        <v>1323.7913818</v>
      </c>
      <c r="H738">
        <v>1320.5296631000001</v>
      </c>
      <c r="I738">
        <v>1345.0732422000001</v>
      </c>
      <c r="J738">
        <v>1340.7263184000001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252.47095100000001</v>
      </c>
      <c r="B739" s="1">
        <f>DATE(2011,1,8) + TIME(11,18,10)</f>
        <v>40551.470949074072</v>
      </c>
      <c r="C739">
        <v>80</v>
      </c>
      <c r="D739">
        <v>72.532783507999994</v>
      </c>
      <c r="E739">
        <v>50</v>
      </c>
      <c r="F739">
        <v>49.954193115000002</v>
      </c>
      <c r="G739">
        <v>1323.7216797000001</v>
      </c>
      <c r="H739">
        <v>1320.4338379000001</v>
      </c>
      <c r="I739">
        <v>1345.0582274999999</v>
      </c>
      <c r="J739">
        <v>1340.7160644999999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254.04118</v>
      </c>
      <c r="B740" s="1">
        <f>DATE(2011,1,10) + TIME(0,59,17)</f>
        <v>40553.041168981479</v>
      </c>
      <c r="C740">
        <v>80</v>
      </c>
      <c r="D740">
        <v>72.411331176999994</v>
      </c>
      <c r="E740">
        <v>50</v>
      </c>
      <c r="F740">
        <v>49.954269408999998</v>
      </c>
      <c r="G740">
        <v>1323.6512451000001</v>
      </c>
      <c r="H740">
        <v>1320.3370361</v>
      </c>
      <c r="I740">
        <v>1345.043457</v>
      </c>
      <c r="J740">
        <v>1340.7058105000001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255.644226</v>
      </c>
      <c r="B741" s="1">
        <f>DATE(2011,1,11) + TIME(15,27,41)</f>
        <v>40554.644224537034</v>
      </c>
      <c r="C741">
        <v>80</v>
      </c>
      <c r="D741">
        <v>72.287185668999996</v>
      </c>
      <c r="E741">
        <v>50</v>
      </c>
      <c r="F741">
        <v>49.954345703000001</v>
      </c>
      <c r="G741">
        <v>1323.5800781</v>
      </c>
      <c r="H741">
        <v>1320.2391356999999</v>
      </c>
      <c r="I741">
        <v>1345.0286865</v>
      </c>
      <c r="J741">
        <v>1340.6956786999999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257.27805799999999</v>
      </c>
      <c r="B742" s="1">
        <f>DATE(2011,1,13) + TIME(6,40,24)</f>
        <v>40556.278055555558</v>
      </c>
      <c r="C742">
        <v>80</v>
      </c>
      <c r="D742">
        <v>72.159988403</v>
      </c>
      <c r="E742">
        <v>50</v>
      </c>
      <c r="F742">
        <v>49.954421996999997</v>
      </c>
      <c r="G742">
        <v>1323.5079346</v>
      </c>
      <c r="H742">
        <v>1320.1397704999999</v>
      </c>
      <c r="I742">
        <v>1345.0140381000001</v>
      </c>
      <c r="J742">
        <v>1340.6856689000001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258.92905999999999</v>
      </c>
      <c r="B743" s="1">
        <f>DATE(2011,1,14) + TIME(22,17,50)</f>
        <v>40557.929050925923</v>
      </c>
      <c r="C743">
        <v>80</v>
      </c>
      <c r="D743">
        <v>72.029884338000002</v>
      </c>
      <c r="E743">
        <v>50</v>
      </c>
      <c r="F743">
        <v>49.954502106</v>
      </c>
      <c r="G743">
        <v>1323.4348144999999</v>
      </c>
      <c r="H743">
        <v>1320.0391846</v>
      </c>
      <c r="I743">
        <v>1344.9995117000001</v>
      </c>
      <c r="J743">
        <v>1340.6756591999999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260.60713199999998</v>
      </c>
      <c r="B744" s="1">
        <f>DATE(2011,1,16) + TIME(14,34,16)</f>
        <v>40559.607129629629</v>
      </c>
      <c r="C744">
        <v>80</v>
      </c>
      <c r="D744">
        <v>71.897094726999995</v>
      </c>
      <c r="E744">
        <v>50</v>
      </c>
      <c r="F744">
        <v>49.954582213999998</v>
      </c>
      <c r="G744">
        <v>1323.3612060999999</v>
      </c>
      <c r="H744">
        <v>1319.9377440999999</v>
      </c>
      <c r="I744">
        <v>1344.9851074000001</v>
      </c>
      <c r="J744">
        <v>1340.6657714999999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262.32254899999998</v>
      </c>
      <c r="B745" s="1">
        <f>DATE(2011,1,18) + TIME(7,44,28)</f>
        <v>40561.322546296295</v>
      </c>
      <c r="C745">
        <v>80</v>
      </c>
      <c r="D745">
        <v>71.761001586999996</v>
      </c>
      <c r="E745">
        <v>50</v>
      </c>
      <c r="F745">
        <v>49.954666138</v>
      </c>
      <c r="G745">
        <v>1323.2868652</v>
      </c>
      <c r="H745">
        <v>1319.8353271000001</v>
      </c>
      <c r="I745">
        <v>1344.9707031</v>
      </c>
      <c r="J745">
        <v>1340.6558838000001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264.05111799999997</v>
      </c>
      <c r="B746" s="1">
        <f>DATE(2011,1,20) + TIME(1,13,36)</f>
        <v>40563.051111111112</v>
      </c>
      <c r="C746">
        <v>80</v>
      </c>
      <c r="D746">
        <v>71.621467589999995</v>
      </c>
      <c r="E746">
        <v>50</v>
      </c>
      <c r="F746">
        <v>49.954750060999999</v>
      </c>
      <c r="G746">
        <v>1323.2115478999999</v>
      </c>
      <c r="H746">
        <v>1319.7315673999999</v>
      </c>
      <c r="I746">
        <v>1344.9564209</v>
      </c>
      <c r="J746">
        <v>1340.6461182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265.79770400000001</v>
      </c>
      <c r="B747" s="1">
        <f>DATE(2011,1,21) + TIME(19,8,41)</f>
        <v>40564.797696759262</v>
      </c>
      <c r="C747">
        <v>80</v>
      </c>
      <c r="D747">
        <v>71.479148864999999</v>
      </c>
      <c r="E747">
        <v>50</v>
      </c>
      <c r="F747">
        <v>49.954837799000003</v>
      </c>
      <c r="G747">
        <v>1323.1358643000001</v>
      </c>
      <c r="H747">
        <v>1319.6271973</v>
      </c>
      <c r="I747">
        <v>1344.9423827999999</v>
      </c>
      <c r="J747">
        <v>1340.6364745999999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267.57221399999997</v>
      </c>
      <c r="B748" s="1">
        <f>DATE(2011,1,23) + TIME(13,43,59)</f>
        <v>40566.572210648148</v>
      </c>
      <c r="C748">
        <v>80</v>
      </c>
      <c r="D748">
        <v>71.333747864000003</v>
      </c>
      <c r="E748">
        <v>50</v>
      </c>
      <c r="F748">
        <v>49.954925537000001</v>
      </c>
      <c r="G748">
        <v>1323.0599365</v>
      </c>
      <c r="H748">
        <v>1319.5224608999999</v>
      </c>
      <c r="I748">
        <v>1344.9283447</v>
      </c>
      <c r="J748">
        <v>1340.6269531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269.38347599999997</v>
      </c>
      <c r="B749" s="1">
        <f>DATE(2011,1,25) + TIME(9,12,12)</f>
        <v>40568.383472222224</v>
      </c>
      <c r="C749">
        <v>80</v>
      </c>
      <c r="D749">
        <v>71.184509277000004</v>
      </c>
      <c r="E749">
        <v>50</v>
      </c>
      <c r="F749">
        <v>49.955013274999999</v>
      </c>
      <c r="G749">
        <v>1322.9833983999999</v>
      </c>
      <c r="H749">
        <v>1319.4167480000001</v>
      </c>
      <c r="I749">
        <v>1344.9145507999999</v>
      </c>
      <c r="J749">
        <v>1340.6174315999999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271.23995200000002</v>
      </c>
      <c r="B750" s="1">
        <f>DATE(2011,1,27) + TIME(5,45,31)</f>
        <v>40570.239942129629</v>
      </c>
      <c r="C750">
        <v>80</v>
      </c>
      <c r="D750">
        <v>71.030563353999995</v>
      </c>
      <c r="E750">
        <v>50</v>
      </c>
      <c r="F750">
        <v>49.955108643000003</v>
      </c>
      <c r="G750">
        <v>1322.9060059000001</v>
      </c>
      <c r="H750">
        <v>1319.3096923999999</v>
      </c>
      <c r="I750">
        <v>1344.9006348</v>
      </c>
      <c r="J750">
        <v>1340.6079102000001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273.12339500000002</v>
      </c>
      <c r="B751" s="1">
        <f>DATE(2011,1,29) + TIME(2,57,41)</f>
        <v>40572.123391203706</v>
      </c>
      <c r="C751">
        <v>80</v>
      </c>
      <c r="D751">
        <v>70.871551514000004</v>
      </c>
      <c r="E751">
        <v>50</v>
      </c>
      <c r="F751">
        <v>49.955200195000003</v>
      </c>
      <c r="G751">
        <v>1322.8272704999999</v>
      </c>
      <c r="H751">
        <v>1319.2010498</v>
      </c>
      <c r="I751">
        <v>1344.8867187999999</v>
      </c>
      <c r="J751">
        <v>1340.5983887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275.02857899999998</v>
      </c>
      <c r="B752" s="1">
        <f>DATE(2011,1,31) + TIME(0,41,9)</f>
        <v>40574.02857638889</v>
      </c>
      <c r="C752">
        <v>80</v>
      </c>
      <c r="D752">
        <v>70.708160399999997</v>
      </c>
      <c r="E752">
        <v>50</v>
      </c>
      <c r="F752">
        <v>49.955295563</v>
      </c>
      <c r="G752">
        <v>1322.7479248</v>
      </c>
      <c r="H752">
        <v>1319.0913086</v>
      </c>
      <c r="I752">
        <v>1344.8729248</v>
      </c>
      <c r="J752">
        <v>1340.5889893000001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276</v>
      </c>
      <c r="B753" s="1">
        <f>DATE(2011,2,1) + TIME(0,0,0)</f>
        <v>40575</v>
      </c>
      <c r="C753">
        <v>80</v>
      </c>
      <c r="D753">
        <v>70.572654724000003</v>
      </c>
      <c r="E753">
        <v>50</v>
      </c>
      <c r="F753">
        <v>49.955329894999998</v>
      </c>
      <c r="G753">
        <v>1322.6711425999999</v>
      </c>
      <c r="H753">
        <v>1318.9873047000001</v>
      </c>
      <c r="I753">
        <v>1344.8596190999999</v>
      </c>
      <c r="J753">
        <v>1340.5798339999999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277.93086699999998</v>
      </c>
      <c r="B754" s="1">
        <f>DATE(2011,2,2) + TIME(22,20,26)</f>
        <v>40576.930856481478</v>
      </c>
      <c r="C754">
        <v>80</v>
      </c>
      <c r="D754">
        <v>70.442062378000003</v>
      </c>
      <c r="E754">
        <v>50</v>
      </c>
      <c r="F754">
        <v>49.955440521</v>
      </c>
      <c r="G754">
        <v>1322.6203613</v>
      </c>
      <c r="H754">
        <v>1318.9118652</v>
      </c>
      <c r="I754">
        <v>1344.8521728999999</v>
      </c>
      <c r="J754">
        <v>1340.5745850000001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279.88296500000001</v>
      </c>
      <c r="B755" s="1">
        <f>DATE(2011,2,4) + TIME(21,11,28)</f>
        <v>40578.882962962962</v>
      </c>
      <c r="C755">
        <v>80</v>
      </c>
      <c r="D755">
        <v>70.278495789000004</v>
      </c>
      <c r="E755">
        <v>50</v>
      </c>
      <c r="F755">
        <v>49.955539702999999</v>
      </c>
      <c r="G755">
        <v>1322.5457764</v>
      </c>
      <c r="H755">
        <v>1318.8107910000001</v>
      </c>
      <c r="I755">
        <v>1344.8388672000001</v>
      </c>
      <c r="J755">
        <v>1340.5655518000001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281.86252500000001</v>
      </c>
      <c r="B756" s="1">
        <f>DATE(2011,2,6) + TIME(20,42,2)</f>
        <v>40580.862523148149</v>
      </c>
      <c r="C756">
        <v>80</v>
      </c>
      <c r="D756">
        <v>70.103347778</v>
      </c>
      <c r="E756">
        <v>50</v>
      </c>
      <c r="F756">
        <v>49.955638884999999</v>
      </c>
      <c r="G756">
        <v>1322.4670410000001</v>
      </c>
      <c r="H756">
        <v>1318.7021483999999</v>
      </c>
      <c r="I756">
        <v>1344.8255615</v>
      </c>
      <c r="J756">
        <v>1340.5565185999999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283.88126599999998</v>
      </c>
      <c r="B757" s="1">
        <f>DATE(2011,2,8) + TIME(21,9,1)</f>
        <v>40582.881261574075</v>
      </c>
      <c r="C757">
        <v>80</v>
      </c>
      <c r="D757">
        <v>69.921340942</v>
      </c>
      <c r="E757">
        <v>50</v>
      </c>
      <c r="F757">
        <v>49.955738068000002</v>
      </c>
      <c r="G757">
        <v>1322.3868408000001</v>
      </c>
      <c r="H757">
        <v>1318.5909423999999</v>
      </c>
      <c r="I757">
        <v>1344.8122559000001</v>
      </c>
      <c r="J757">
        <v>1340.5473632999999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285.94775399999997</v>
      </c>
      <c r="B758" s="1">
        <f>DATE(2011,2,10) + TIME(22,44,45)</f>
        <v>40584.947743055556</v>
      </c>
      <c r="C758">
        <v>80</v>
      </c>
      <c r="D758">
        <v>69.732666015999996</v>
      </c>
      <c r="E758">
        <v>50</v>
      </c>
      <c r="F758">
        <v>49.955844878999997</v>
      </c>
      <c r="G758">
        <v>1322.3055420000001</v>
      </c>
      <c r="H758">
        <v>1318.4782714999999</v>
      </c>
      <c r="I758">
        <v>1344.7990723</v>
      </c>
      <c r="J758">
        <v>1340.5382079999999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288.05161600000002</v>
      </c>
      <c r="B759" s="1">
        <f>DATE(2011,2,13) + TIME(1,14,19)</f>
        <v>40587.051608796297</v>
      </c>
      <c r="C759">
        <v>80</v>
      </c>
      <c r="D759">
        <v>69.537071228000002</v>
      </c>
      <c r="E759">
        <v>50</v>
      </c>
      <c r="F759">
        <v>49.955951691000003</v>
      </c>
      <c r="G759">
        <v>1322.2230225000001</v>
      </c>
      <c r="H759">
        <v>1318.3637695</v>
      </c>
      <c r="I759">
        <v>1344.7856445</v>
      </c>
      <c r="J759">
        <v>1340.5290527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290.18853899999999</v>
      </c>
      <c r="B760" s="1">
        <f>DATE(2011,2,15) + TIME(4,31,29)</f>
        <v>40589.188530092593</v>
      </c>
      <c r="C760">
        <v>80</v>
      </c>
      <c r="D760">
        <v>69.334960937999995</v>
      </c>
      <c r="E760">
        <v>50</v>
      </c>
      <c r="F760">
        <v>49.956058501999998</v>
      </c>
      <c r="G760">
        <v>1322.1397704999999</v>
      </c>
      <c r="H760">
        <v>1318.2480469</v>
      </c>
      <c r="I760">
        <v>1344.7723389</v>
      </c>
      <c r="J760">
        <v>1340.5198975000001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292.33511900000002</v>
      </c>
      <c r="B761" s="1">
        <f>DATE(2011,2,17) + TIME(8,2,34)</f>
        <v>40591.335115740738</v>
      </c>
      <c r="C761">
        <v>80</v>
      </c>
      <c r="D761">
        <v>69.127021790000001</v>
      </c>
      <c r="E761">
        <v>50</v>
      </c>
      <c r="F761">
        <v>49.956165314000003</v>
      </c>
      <c r="G761">
        <v>1322.0559082</v>
      </c>
      <c r="H761">
        <v>1318.1313477000001</v>
      </c>
      <c r="I761">
        <v>1344.7590332</v>
      </c>
      <c r="J761">
        <v>1340.5107422000001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294.49255499999998</v>
      </c>
      <c r="B762" s="1">
        <f>DATE(2011,2,19) + TIME(11,49,16)</f>
        <v>40593.492546296293</v>
      </c>
      <c r="C762">
        <v>80</v>
      </c>
      <c r="D762">
        <v>68.914489746000001</v>
      </c>
      <c r="E762">
        <v>50</v>
      </c>
      <c r="F762">
        <v>49.956272124999998</v>
      </c>
      <c r="G762">
        <v>1321.972168</v>
      </c>
      <c r="H762">
        <v>1318.0146483999999</v>
      </c>
      <c r="I762">
        <v>1344.7458495999999</v>
      </c>
      <c r="J762">
        <v>1340.5017089999999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296.67451299999999</v>
      </c>
      <c r="B763" s="1">
        <f>DATE(2011,2,21) + TIME(16,11,17)</f>
        <v>40595.674502314818</v>
      </c>
      <c r="C763">
        <v>80</v>
      </c>
      <c r="D763">
        <v>68.697227478000002</v>
      </c>
      <c r="E763">
        <v>50</v>
      </c>
      <c r="F763">
        <v>49.956382751</v>
      </c>
      <c r="G763">
        <v>1321.8886719</v>
      </c>
      <c r="H763">
        <v>1317.8983154</v>
      </c>
      <c r="I763">
        <v>1344.7329102000001</v>
      </c>
      <c r="J763">
        <v>1340.4926757999999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298.89431400000001</v>
      </c>
      <c r="B764" s="1">
        <f>DATE(2011,2,23) + TIME(21,27,48)</f>
        <v>40597.894305555557</v>
      </c>
      <c r="C764">
        <v>80</v>
      </c>
      <c r="D764">
        <v>68.474021911999998</v>
      </c>
      <c r="E764">
        <v>50</v>
      </c>
      <c r="F764">
        <v>49.956493377999998</v>
      </c>
      <c r="G764">
        <v>1321.8051757999999</v>
      </c>
      <c r="H764">
        <v>1317.7816161999999</v>
      </c>
      <c r="I764">
        <v>1344.7200928</v>
      </c>
      <c r="J764">
        <v>1340.4837646000001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301.16539499999999</v>
      </c>
      <c r="B765" s="1">
        <f>DATE(2011,2,26) + TIME(3,58,10)</f>
        <v>40600.165393518517</v>
      </c>
      <c r="C765">
        <v>80</v>
      </c>
      <c r="D765">
        <v>68.243370056000003</v>
      </c>
      <c r="E765">
        <v>50</v>
      </c>
      <c r="F765">
        <v>49.956607818999998</v>
      </c>
      <c r="G765">
        <v>1321.7211914</v>
      </c>
      <c r="H765">
        <v>1317.6641846</v>
      </c>
      <c r="I765">
        <v>1344.7071533000001</v>
      </c>
      <c r="J765">
        <v>1340.4748535000001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303.49675500000001</v>
      </c>
      <c r="B766" s="1">
        <f>DATE(2011,2,28) + TIME(11,55,19)</f>
        <v>40602.496747685182</v>
      </c>
      <c r="C766">
        <v>80</v>
      </c>
      <c r="D766">
        <v>68.003746032999999</v>
      </c>
      <c r="E766">
        <v>50</v>
      </c>
      <c r="F766">
        <v>49.956726074000002</v>
      </c>
      <c r="G766">
        <v>1321.6361084</v>
      </c>
      <c r="H766">
        <v>1317.5454102000001</v>
      </c>
      <c r="I766">
        <v>1344.6940918</v>
      </c>
      <c r="J766">
        <v>1340.4658202999999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304</v>
      </c>
      <c r="B767" s="1">
        <f>DATE(2011,3,1) + TIME(0,0,0)</f>
        <v>40603</v>
      </c>
      <c r="C767">
        <v>80</v>
      </c>
      <c r="D767">
        <v>67.858192443999997</v>
      </c>
      <c r="E767">
        <v>50</v>
      </c>
      <c r="F767">
        <v>49.956733704000001</v>
      </c>
      <c r="G767">
        <v>1321.5562743999999</v>
      </c>
      <c r="H767">
        <v>1317.4404297000001</v>
      </c>
      <c r="I767">
        <v>1344.6827393000001</v>
      </c>
      <c r="J767">
        <v>1340.4580077999999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305.18243000000001</v>
      </c>
      <c r="B768" s="1">
        <f>DATE(2011,3,2) + TIME(4,22,41)</f>
        <v>40604.18241898148</v>
      </c>
      <c r="C768">
        <v>80</v>
      </c>
      <c r="D768">
        <v>67.710441588999998</v>
      </c>
      <c r="E768">
        <v>50</v>
      </c>
      <c r="F768">
        <v>49.956790924000003</v>
      </c>
      <c r="G768">
        <v>1321.5246582</v>
      </c>
      <c r="H768">
        <v>1317.3878173999999</v>
      </c>
      <c r="I768">
        <v>1344.6781006000001</v>
      </c>
      <c r="J768">
        <v>1340.4545897999999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306.36485900000002</v>
      </c>
      <c r="B769" s="1">
        <f>DATE(2011,3,3) + TIME(8,45,23)</f>
        <v>40605.364849537036</v>
      </c>
      <c r="C769">
        <v>80</v>
      </c>
      <c r="D769">
        <v>67.57484436</v>
      </c>
      <c r="E769">
        <v>50</v>
      </c>
      <c r="F769">
        <v>49.956848145000002</v>
      </c>
      <c r="G769">
        <v>1321.4786377</v>
      </c>
      <c r="H769">
        <v>1317.3217772999999</v>
      </c>
      <c r="I769">
        <v>1344.6716309000001</v>
      </c>
      <c r="J769">
        <v>1340.4499512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307.54728899999998</v>
      </c>
      <c r="B770" s="1">
        <f>DATE(2011,3,4) + TIME(13,8,5)</f>
        <v>40606.547280092593</v>
      </c>
      <c r="C770">
        <v>80</v>
      </c>
      <c r="D770">
        <v>67.442413329999994</v>
      </c>
      <c r="E770">
        <v>50</v>
      </c>
      <c r="F770">
        <v>49.956909179999997</v>
      </c>
      <c r="G770">
        <v>1321.4343262</v>
      </c>
      <c r="H770">
        <v>1317.2590332</v>
      </c>
      <c r="I770">
        <v>1344.6650391000001</v>
      </c>
      <c r="J770">
        <v>1340.4454346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308.72971799999999</v>
      </c>
      <c r="B771" s="1">
        <f>DATE(2011,3,5) + TIME(17,30,47)</f>
        <v>40607.729710648149</v>
      </c>
      <c r="C771">
        <v>80</v>
      </c>
      <c r="D771">
        <v>67.310241699000002</v>
      </c>
      <c r="E771">
        <v>50</v>
      </c>
      <c r="F771">
        <v>49.956966399999999</v>
      </c>
      <c r="G771">
        <v>1321.3908690999999</v>
      </c>
      <c r="H771">
        <v>1317.197876</v>
      </c>
      <c r="I771">
        <v>1344.6586914</v>
      </c>
      <c r="J771">
        <v>1340.440918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309.912148</v>
      </c>
      <c r="B772" s="1">
        <f>DATE(2011,3,6) + TIME(21,53,29)</f>
        <v>40608.912141203706</v>
      </c>
      <c r="C772">
        <v>80</v>
      </c>
      <c r="D772">
        <v>67.177391052000004</v>
      </c>
      <c r="E772">
        <v>50</v>
      </c>
      <c r="F772">
        <v>49.957027435000001</v>
      </c>
      <c r="G772">
        <v>1321.3479004000001</v>
      </c>
      <c r="H772">
        <v>1317.1373291</v>
      </c>
      <c r="I772">
        <v>1344.6522216999999</v>
      </c>
      <c r="J772">
        <v>1340.4364014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312.27700700000003</v>
      </c>
      <c r="B773" s="1">
        <f>DATE(2011,3,9) + TIME(6,38,53)</f>
        <v>40611.277002314811</v>
      </c>
      <c r="C773">
        <v>80</v>
      </c>
      <c r="D773">
        <v>67.018035889000004</v>
      </c>
      <c r="E773">
        <v>50</v>
      </c>
      <c r="F773">
        <v>49.957160950000002</v>
      </c>
      <c r="G773">
        <v>1321.3038329999999</v>
      </c>
      <c r="H773">
        <v>1317.0733643000001</v>
      </c>
      <c r="I773">
        <v>1344.6456298999999</v>
      </c>
      <c r="J773">
        <v>1340.4317627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314.65258899999998</v>
      </c>
      <c r="B774" s="1">
        <f>DATE(2011,3,11) + TIME(15,39,43)</f>
        <v>40613.652581018519</v>
      </c>
      <c r="C774">
        <v>80</v>
      </c>
      <c r="D774">
        <v>66.768722534000005</v>
      </c>
      <c r="E774">
        <v>50</v>
      </c>
      <c r="F774">
        <v>49.957279204999999</v>
      </c>
      <c r="G774">
        <v>1321.2288818</v>
      </c>
      <c r="H774">
        <v>1316.9722899999999</v>
      </c>
      <c r="I774">
        <v>1344.6334228999999</v>
      </c>
      <c r="J774">
        <v>1340.4230957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317.08450699999997</v>
      </c>
      <c r="B775" s="1">
        <f>DATE(2011,3,14) + TIME(2,1,41)</f>
        <v>40616.084502314814</v>
      </c>
      <c r="C775">
        <v>80</v>
      </c>
      <c r="D775">
        <v>66.496284485000004</v>
      </c>
      <c r="E775">
        <v>50</v>
      </c>
      <c r="F775">
        <v>49.957401275999999</v>
      </c>
      <c r="G775">
        <v>1321.1470947</v>
      </c>
      <c r="H775">
        <v>1316.8576660000001</v>
      </c>
      <c r="I775">
        <v>1344.6209716999999</v>
      </c>
      <c r="J775">
        <v>1340.4144286999999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319.58561600000002</v>
      </c>
      <c r="B776" s="1">
        <f>DATE(2011,3,16) + TIME(14,3,17)</f>
        <v>40618.585613425923</v>
      </c>
      <c r="C776">
        <v>80</v>
      </c>
      <c r="D776">
        <v>66.210441588999998</v>
      </c>
      <c r="E776">
        <v>50</v>
      </c>
      <c r="F776">
        <v>49.957523346000002</v>
      </c>
      <c r="G776">
        <v>1321.0629882999999</v>
      </c>
      <c r="H776">
        <v>1316.7392577999999</v>
      </c>
      <c r="I776">
        <v>1344.6083983999999</v>
      </c>
      <c r="J776">
        <v>1340.4055175999999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322.16799700000001</v>
      </c>
      <c r="B777" s="1">
        <f>DATE(2011,3,19) + TIME(4,1,54)</f>
        <v>40621.167986111112</v>
      </c>
      <c r="C777">
        <v>80</v>
      </c>
      <c r="D777">
        <v>65.911308289000004</v>
      </c>
      <c r="E777">
        <v>50</v>
      </c>
      <c r="F777">
        <v>49.957653045999997</v>
      </c>
      <c r="G777">
        <v>1320.9774170000001</v>
      </c>
      <c r="H777">
        <v>1316.6181641000001</v>
      </c>
      <c r="I777">
        <v>1344.5955810999999</v>
      </c>
      <c r="J777">
        <v>1340.3964844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324.78221500000001</v>
      </c>
      <c r="B778" s="1">
        <f>DATE(2011,3,21) + TIME(18,46,23)</f>
        <v>40623.782210648147</v>
      </c>
      <c r="C778">
        <v>80</v>
      </c>
      <c r="D778">
        <v>65.598800659000005</v>
      </c>
      <c r="E778">
        <v>50</v>
      </c>
      <c r="F778">
        <v>49.957778931</v>
      </c>
      <c r="G778">
        <v>1320.8901367000001</v>
      </c>
      <c r="H778">
        <v>1316.4946289</v>
      </c>
      <c r="I778">
        <v>1344.5826416</v>
      </c>
      <c r="J778">
        <v>1340.387207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327.39768099999998</v>
      </c>
      <c r="B779" s="1">
        <f>DATE(2011,3,24) + TIME(9,32,39)</f>
        <v>40626.397673611114</v>
      </c>
      <c r="C779">
        <v>80</v>
      </c>
      <c r="D779">
        <v>65.277130127000007</v>
      </c>
      <c r="E779">
        <v>50</v>
      </c>
      <c r="F779">
        <v>49.957908629999999</v>
      </c>
      <c r="G779">
        <v>1320.8024902</v>
      </c>
      <c r="H779">
        <v>1316.3703613</v>
      </c>
      <c r="I779">
        <v>1344.5695800999999</v>
      </c>
      <c r="J779">
        <v>1340.3779297000001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330.03142100000002</v>
      </c>
      <c r="B780" s="1">
        <f>DATE(2011,3,27) + TIME(0,45,14)</f>
        <v>40629.031412037039</v>
      </c>
      <c r="C780">
        <v>80</v>
      </c>
      <c r="D780">
        <v>64.949256896999998</v>
      </c>
      <c r="E780">
        <v>50</v>
      </c>
      <c r="F780">
        <v>49.958034515000001</v>
      </c>
      <c r="G780">
        <v>1320.7158202999999</v>
      </c>
      <c r="H780">
        <v>1316.2468262</v>
      </c>
      <c r="I780">
        <v>1344.5567627</v>
      </c>
      <c r="J780">
        <v>1340.3687743999999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332.70049899999998</v>
      </c>
      <c r="B781" s="1">
        <f>DATE(2011,3,29) + TIME(16,48,43)</f>
        <v>40631.700497685182</v>
      </c>
      <c r="C781">
        <v>80</v>
      </c>
      <c r="D781">
        <v>64.613983153999996</v>
      </c>
      <c r="E781">
        <v>50</v>
      </c>
      <c r="F781">
        <v>49.958164214999996</v>
      </c>
      <c r="G781">
        <v>1320.6297606999999</v>
      </c>
      <c r="H781">
        <v>1316.1239014</v>
      </c>
      <c r="I781">
        <v>1344.5439452999999</v>
      </c>
      <c r="J781">
        <v>1340.3596190999999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335</v>
      </c>
      <c r="B782" s="1">
        <f>DATE(2011,4,1) + TIME(0,0,0)</f>
        <v>40634</v>
      </c>
      <c r="C782">
        <v>80</v>
      </c>
      <c r="D782">
        <v>64.279411315999994</v>
      </c>
      <c r="E782">
        <v>50</v>
      </c>
      <c r="F782">
        <v>49.958271027000002</v>
      </c>
      <c r="G782">
        <v>1320.5443115</v>
      </c>
      <c r="H782">
        <v>1316.0025635</v>
      </c>
      <c r="I782">
        <v>1344.53125</v>
      </c>
      <c r="J782">
        <v>1340.3504639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337.72280999999998</v>
      </c>
      <c r="B783" s="1">
        <f>DATE(2011,4,3) + TIME(17,20,50)</f>
        <v>40636.722800925927</v>
      </c>
      <c r="C783">
        <v>80</v>
      </c>
      <c r="D783">
        <v>63.961929321</v>
      </c>
      <c r="E783">
        <v>50</v>
      </c>
      <c r="F783">
        <v>49.958404541</v>
      </c>
      <c r="G783">
        <v>1320.4685059000001</v>
      </c>
      <c r="H783">
        <v>1315.8918457</v>
      </c>
      <c r="I783">
        <v>1344.5201416</v>
      </c>
      <c r="J783">
        <v>1340.3424072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339.13721800000002</v>
      </c>
      <c r="B784" s="1">
        <f>DATE(2011,4,5) + TIME(3,17,35)</f>
        <v>40638.13721064815</v>
      </c>
      <c r="C784">
        <v>80</v>
      </c>
      <c r="D784">
        <v>63.654670715000002</v>
      </c>
      <c r="E784">
        <v>50</v>
      </c>
      <c r="F784">
        <v>49.958461761000002</v>
      </c>
      <c r="G784">
        <v>1320.387207</v>
      </c>
      <c r="H784">
        <v>1315.7796631000001</v>
      </c>
      <c r="I784">
        <v>1344.5080565999999</v>
      </c>
      <c r="J784">
        <v>1340.3337402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341.70687199999998</v>
      </c>
      <c r="B785" s="1">
        <f>DATE(2011,4,7) + TIME(16,57,53)</f>
        <v>40640.706863425927</v>
      </c>
      <c r="C785">
        <v>80</v>
      </c>
      <c r="D785">
        <v>63.400707245</v>
      </c>
      <c r="E785">
        <v>50</v>
      </c>
      <c r="F785">
        <v>49.958591460999997</v>
      </c>
      <c r="G785">
        <v>1320.3350829999999</v>
      </c>
      <c r="H785">
        <v>1315.6976318</v>
      </c>
      <c r="I785">
        <v>1344.5006103999999</v>
      </c>
      <c r="J785">
        <v>1340.328125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344.51872400000002</v>
      </c>
      <c r="B786" s="1">
        <f>DATE(2011,4,10) + TIME(12,26,57)</f>
        <v>40643.51871527778</v>
      </c>
      <c r="C786">
        <v>80</v>
      </c>
      <c r="D786">
        <v>63.064292907999999</v>
      </c>
      <c r="E786">
        <v>50</v>
      </c>
      <c r="F786">
        <v>49.958728790000002</v>
      </c>
      <c r="G786">
        <v>1320.2614745999999</v>
      </c>
      <c r="H786">
        <v>1315.5938721</v>
      </c>
      <c r="I786">
        <v>1344.4890137</v>
      </c>
      <c r="J786">
        <v>1340.3195800999999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347.35196200000001</v>
      </c>
      <c r="B787" s="1">
        <f>DATE(2011,4,13) + TIME(8,26,49)</f>
        <v>40646.351956018516</v>
      </c>
      <c r="C787">
        <v>80</v>
      </c>
      <c r="D787">
        <v>62.687122344999999</v>
      </c>
      <c r="E787">
        <v>50</v>
      </c>
      <c r="F787">
        <v>49.958862304999997</v>
      </c>
      <c r="G787">
        <v>1320.1798096</v>
      </c>
      <c r="H787">
        <v>1315.4770507999999</v>
      </c>
      <c r="I787">
        <v>1344.4761963000001</v>
      </c>
      <c r="J787">
        <v>1340.3103027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350.223006</v>
      </c>
      <c r="B788" s="1">
        <f>DATE(2011,4,16) + TIME(5,21,7)</f>
        <v>40649.222997685189</v>
      </c>
      <c r="C788">
        <v>80</v>
      </c>
      <c r="D788">
        <v>62.297313690000003</v>
      </c>
      <c r="E788">
        <v>50</v>
      </c>
      <c r="F788">
        <v>49.958999634000001</v>
      </c>
      <c r="G788">
        <v>1320.0970459</v>
      </c>
      <c r="H788">
        <v>1315.3572998</v>
      </c>
      <c r="I788">
        <v>1344.4633789</v>
      </c>
      <c r="J788">
        <v>1340.3007812000001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353.14920599999999</v>
      </c>
      <c r="B789" s="1">
        <f>DATE(2011,4,19) + TIME(3,34,51)</f>
        <v>40652.149201388886</v>
      </c>
      <c r="C789">
        <v>80</v>
      </c>
      <c r="D789">
        <v>61.897411345999998</v>
      </c>
      <c r="E789">
        <v>50</v>
      </c>
      <c r="F789">
        <v>49.959136962999999</v>
      </c>
      <c r="G789">
        <v>1320.0146483999999</v>
      </c>
      <c r="H789">
        <v>1315.2375488</v>
      </c>
      <c r="I789">
        <v>1344.4504394999999</v>
      </c>
      <c r="J789">
        <v>1340.2912598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356.150914</v>
      </c>
      <c r="B790" s="1">
        <f>DATE(2011,4,22) + TIME(3,37,18)</f>
        <v>40655.150902777779</v>
      </c>
      <c r="C790">
        <v>80</v>
      </c>
      <c r="D790">
        <v>61.485996245999999</v>
      </c>
      <c r="E790">
        <v>50</v>
      </c>
      <c r="F790">
        <v>49.959274292000003</v>
      </c>
      <c r="G790">
        <v>1319.9324951000001</v>
      </c>
      <c r="H790">
        <v>1315.1177978999999</v>
      </c>
      <c r="I790">
        <v>1344.4375</v>
      </c>
      <c r="J790">
        <v>1340.2816161999999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357.68810000000002</v>
      </c>
      <c r="B791" s="1">
        <f>DATE(2011,4,23) + TIME(16,30,51)</f>
        <v>40656.688090277778</v>
      </c>
      <c r="C791">
        <v>80</v>
      </c>
      <c r="D791">
        <v>61.115467072000001</v>
      </c>
      <c r="E791">
        <v>50</v>
      </c>
      <c r="F791">
        <v>49.959335326999998</v>
      </c>
      <c r="G791">
        <v>1319.8513184000001</v>
      </c>
      <c r="H791">
        <v>1315.0032959</v>
      </c>
      <c r="I791">
        <v>1344.4249268000001</v>
      </c>
      <c r="J791">
        <v>1340.2724608999999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360.494302</v>
      </c>
      <c r="B792" s="1">
        <f>DATE(2011,4,26) + TIME(11,51,47)</f>
        <v>40659.494293981479</v>
      </c>
      <c r="C792">
        <v>80</v>
      </c>
      <c r="D792">
        <v>60.823234558000003</v>
      </c>
      <c r="E792">
        <v>50</v>
      </c>
      <c r="F792">
        <v>49.959472656000003</v>
      </c>
      <c r="G792">
        <v>1319.8017577999999</v>
      </c>
      <c r="H792">
        <v>1314.9229736</v>
      </c>
      <c r="I792">
        <v>1344.4172363</v>
      </c>
      <c r="J792">
        <v>1340.2664795000001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363.54665499999999</v>
      </c>
      <c r="B793" s="1">
        <f>DATE(2011,4,29) + TIME(13,7,10)</f>
        <v>40662.546643518515</v>
      </c>
      <c r="C793">
        <v>80</v>
      </c>
      <c r="D793">
        <v>60.433994292999998</v>
      </c>
      <c r="E793">
        <v>50</v>
      </c>
      <c r="F793">
        <v>49.959617614999999</v>
      </c>
      <c r="G793">
        <v>1319.7316894999999</v>
      </c>
      <c r="H793">
        <v>1314.8223877</v>
      </c>
      <c r="I793">
        <v>1344.4052733999999</v>
      </c>
      <c r="J793">
        <v>1340.2574463000001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365</v>
      </c>
      <c r="B794" s="1">
        <f>DATE(2011,5,1) + TIME(0,0,0)</f>
        <v>40664</v>
      </c>
      <c r="C794">
        <v>80</v>
      </c>
      <c r="D794">
        <v>60.062862396</v>
      </c>
      <c r="E794">
        <v>50</v>
      </c>
      <c r="F794">
        <v>49.959671020999998</v>
      </c>
      <c r="G794">
        <v>1319.6557617000001</v>
      </c>
      <c r="H794">
        <v>1314.7163086</v>
      </c>
      <c r="I794">
        <v>1344.3929443</v>
      </c>
      <c r="J794">
        <v>1340.2484131000001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365.000001</v>
      </c>
      <c r="B795" s="1">
        <f>DATE(2011,5,1) + TIME(0,0,0)</f>
        <v>40664</v>
      </c>
      <c r="C795">
        <v>80</v>
      </c>
      <c r="D795">
        <v>60.062931061</v>
      </c>
      <c r="E795">
        <v>50</v>
      </c>
      <c r="F795">
        <v>49.959655761999997</v>
      </c>
      <c r="G795">
        <v>1324.9201660000001</v>
      </c>
      <c r="H795">
        <v>1319.6711425999999</v>
      </c>
      <c r="I795">
        <v>1340.2385254000001</v>
      </c>
      <c r="J795">
        <v>1336.7137451000001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365.00000399999999</v>
      </c>
      <c r="B796" s="1">
        <f>DATE(2011,5,1) + TIME(0,0,0)</f>
        <v>40664</v>
      </c>
      <c r="C796">
        <v>80</v>
      </c>
      <c r="D796">
        <v>60.063148499</v>
      </c>
      <c r="E796">
        <v>50</v>
      </c>
      <c r="F796">
        <v>49.959609985</v>
      </c>
      <c r="G796">
        <v>1324.9526367000001</v>
      </c>
      <c r="H796">
        <v>1319.7165527</v>
      </c>
      <c r="I796">
        <v>1340.2093506000001</v>
      </c>
      <c r="J796">
        <v>1336.6845702999999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365.00001300000002</v>
      </c>
      <c r="B797" s="1">
        <f>DATE(2011,5,1) + TIME(0,0,1)</f>
        <v>40664.000011574077</v>
      </c>
      <c r="C797">
        <v>80</v>
      </c>
      <c r="D797">
        <v>60.063781738000003</v>
      </c>
      <c r="E797">
        <v>50</v>
      </c>
      <c r="F797">
        <v>49.959472656000003</v>
      </c>
      <c r="G797">
        <v>1325.0482178</v>
      </c>
      <c r="H797">
        <v>1319.8492432</v>
      </c>
      <c r="I797">
        <v>1340.1235352000001</v>
      </c>
      <c r="J797">
        <v>1336.5987548999999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365.00004000000001</v>
      </c>
      <c r="B798" s="1">
        <f>DATE(2011,5,1) + TIME(0,0,3)</f>
        <v>40664.000034722223</v>
      </c>
      <c r="C798">
        <v>80</v>
      </c>
      <c r="D798">
        <v>60.065597533999998</v>
      </c>
      <c r="E798">
        <v>50</v>
      </c>
      <c r="F798">
        <v>49.959083557</v>
      </c>
      <c r="G798">
        <v>1325.3187256000001</v>
      </c>
      <c r="H798">
        <v>1320.2167969</v>
      </c>
      <c r="I798">
        <v>1339.8811035000001</v>
      </c>
      <c r="J798">
        <v>1336.3560791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365.00012099999998</v>
      </c>
      <c r="B799" s="1">
        <f>DATE(2011,5,1) + TIME(0,0,10)</f>
        <v>40664.000115740739</v>
      </c>
      <c r="C799">
        <v>80</v>
      </c>
      <c r="D799">
        <v>60.070507050000003</v>
      </c>
      <c r="E799">
        <v>50</v>
      </c>
      <c r="F799">
        <v>49.958099365000002</v>
      </c>
      <c r="G799">
        <v>1326.0164795000001</v>
      </c>
      <c r="H799">
        <v>1321.1134033000001</v>
      </c>
      <c r="I799">
        <v>1339.2623291</v>
      </c>
      <c r="J799">
        <v>1335.7370605000001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365.00036399999999</v>
      </c>
      <c r="B800" s="1">
        <f>DATE(2011,5,1) + TIME(0,0,31)</f>
        <v>40664.000358796293</v>
      </c>
      <c r="C800">
        <v>80</v>
      </c>
      <c r="D800">
        <v>60.082813262999998</v>
      </c>
      <c r="E800">
        <v>50</v>
      </c>
      <c r="F800">
        <v>49.956062316999997</v>
      </c>
      <c r="G800">
        <v>1327.4984131000001</v>
      </c>
      <c r="H800">
        <v>1322.8308105000001</v>
      </c>
      <c r="I800">
        <v>1337.9887695</v>
      </c>
      <c r="J800">
        <v>1334.4632568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365.00109300000003</v>
      </c>
      <c r="B801" s="1">
        <f>DATE(2011,5,1) + TIME(0,1,34)</f>
        <v>40664.001087962963</v>
      </c>
      <c r="C801">
        <v>80</v>
      </c>
      <c r="D801">
        <v>60.11359787</v>
      </c>
      <c r="E801">
        <v>50</v>
      </c>
      <c r="F801">
        <v>49.952953338999997</v>
      </c>
      <c r="G801">
        <v>1329.8562012</v>
      </c>
      <c r="H801">
        <v>1325.2572021000001</v>
      </c>
      <c r="I801">
        <v>1336.0810547000001</v>
      </c>
      <c r="J801">
        <v>1332.5560303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365.00328000000002</v>
      </c>
      <c r="B802" s="1">
        <f>DATE(2011,5,1) + TIME(0,4,43)</f>
        <v>40664.003275462965</v>
      </c>
      <c r="C802">
        <v>80</v>
      </c>
      <c r="D802">
        <v>60.197563170999999</v>
      </c>
      <c r="E802">
        <v>50</v>
      </c>
      <c r="F802">
        <v>49.949176788000003</v>
      </c>
      <c r="G802">
        <v>1332.6873779</v>
      </c>
      <c r="H802">
        <v>1328.0028076000001</v>
      </c>
      <c r="I802">
        <v>1333.9165039</v>
      </c>
      <c r="J802">
        <v>1330.3931885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365.00984099999999</v>
      </c>
      <c r="B803" s="1">
        <f>DATE(2011,5,1) + TIME(0,14,10)</f>
        <v>40664.009837962964</v>
      </c>
      <c r="C803">
        <v>80</v>
      </c>
      <c r="D803">
        <v>60.440307617000002</v>
      </c>
      <c r="E803">
        <v>50</v>
      </c>
      <c r="F803">
        <v>49.944572448999999</v>
      </c>
      <c r="G803">
        <v>1335.5965576000001</v>
      </c>
      <c r="H803">
        <v>1330.8233643000001</v>
      </c>
      <c r="I803">
        <v>1331.722168</v>
      </c>
      <c r="J803">
        <v>1328.2009277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365.02808399999998</v>
      </c>
      <c r="B804" s="1">
        <f>DATE(2011,5,1) + TIME(0,40,26)</f>
        <v>40664.028078703705</v>
      </c>
      <c r="C804">
        <v>80</v>
      </c>
      <c r="D804">
        <v>61.094123840000002</v>
      </c>
      <c r="E804">
        <v>50</v>
      </c>
      <c r="F804">
        <v>49.938030243</v>
      </c>
      <c r="G804">
        <v>1338.3524170000001</v>
      </c>
      <c r="H804">
        <v>1333.5355225000001</v>
      </c>
      <c r="I804">
        <v>1329.5963135</v>
      </c>
      <c r="J804">
        <v>1326.0698242000001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365.04693800000001</v>
      </c>
      <c r="B805" s="1">
        <f>DATE(2011,5,1) + TIME(1,7,35)</f>
        <v>40664.046932870369</v>
      </c>
      <c r="C805">
        <v>80</v>
      </c>
      <c r="D805">
        <v>61.751876830999997</v>
      </c>
      <c r="E805">
        <v>50</v>
      </c>
      <c r="F805">
        <v>49.932846069</v>
      </c>
      <c r="G805">
        <v>1339.8574219</v>
      </c>
      <c r="H805">
        <v>1335.0247803</v>
      </c>
      <c r="I805">
        <v>1328.416626</v>
      </c>
      <c r="J805">
        <v>1324.8792725000001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365.06627900000001</v>
      </c>
      <c r="B806" s="1">
        <f>DATE(2011,5,1) + TIME(1,35,26)</f>
        <v>40664.06627314815</v>
      </c>
      <c r="C806">
        <v>80</v>
      </c>
      <c r="D806">
        <v>62.407165526999997</v>
      </c>
      <c r="E806">
        <v>50</v>
      </c>
      <c r="F806">
        <v>49.928165436</v>
      </c>
      <c r="G806">
        <v>1340.8485106999999</v>
      </c>
      <c r="H806">
        <v>1336.0185547000001</v>
      </c>
      <c r="I806">
        <v>1327.6102295000001</v>
      </c>
      <c r="J806">
        <v>1324.0603027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365.08606300000002</v>
      </c>
      <c r="B807" s="1">
        <f>DATE(2011,5,1) + TIME(2,3,55)</f>
        <v>40664.086053240739</v>
      </c>
      <c r="C807">
        <v>80</v>
      </c>
      <c r="D807">
        <v>63.056789397999999</v>
      </c>
      <c r="E807">
        <v>50</v>
      </c>
      <c r="F807">
        <v>49.923713683999999</v>
      </c>
      <c r="G807">
        <v>1341.5737305</v>
      </c>
      <c r="H807">
        <v>1336.7545166</v>
      </c>
      <c r="I807">
        <v>1326.9960937999999</v>
      </c>
      <c r="J807">
        <v>1323.4338379000001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365.10627699999998</v>
      </c>
      <c r="B808" s="1">
        <f>DATE(2011,5,1) + TIME(2,33,2)</f>
        <v>40664.106273148151</v>
      </c>
      <c r="C808">
        <v>80</v>
      </c>
      <c r="D808">
        <v>63.698921204000001</v>
      </c>
      <c r="E808">
        <v>50</v>
      </c>
      <c r="F808">
        <v>49.919384002999998</v>
      </c>
      <c r="G808">
        <v>1342.1375731999999</v>
      </c>
      <c r="H808">
        <v>1337.3336182</v>
      </c>
      <c r="I808">
        <v>1326.4991454999999</v>
      </c>
      <c r="J808">
        <v>1322.9259033000001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365.12692399999997</v>
      </c>
      <c r="B809" s="1">
        <f>DATE(2011,5,1) + TIME(3,2,46)</f>
        <v>40664.126921296294</v>
      </c>
      <c r="C809">
        <v>80</v>
      </c>
      <c r="D809">
        <v>64.332481384000005</v>
      </c>
      <c r="E809">
        <v>50</v>
      </c>
      <c r="F809">
        <v>49.915119171000001</v>
      </c>
      <c r="G809">
        <v>1342.5936279</v>
      </c>
      <c r="H809">
        <v>1337.807251</v>
      </c>
      <c r="I809">
        <v>1326.0822754000001</v>
      </c>
      <c r="J809">
        <v>1322.4996338000001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365.14801199999999</v>
      </c>
      <c r="B810" s="1">
        <f>DATE(2011,5,1) + TIME(3,33,8)</f>
        <v>40664.148009259261</v>
      </c>
      <c r="C810">
        <v>80</v>
      </c>
      <c r="D810">
        <v>64.956710814999994</v>
      </c>
      <c r="E810">
        <v>50</v>
      </c>
      <c r="F810">
        <v>49.910888671999999</v>
      </c>
      <c r="G810">
        <v>1342.9725341999999</v>
      </c>
      <c r="H810">
        <v>1338.2050781</v>
      </c>
      <c r="I810">
        <v>1325.7242432</v>
      </c>
      <c r="J810">
        <v>1322.1335449000001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365.169555</v>
      </c>
      <c r="B811" s="1">
        <f>DATE(2011,5,1) + TIME(4,4,9)</f>
        <v>40664.169548611113</v>
      </c>
      <c r="C811">
        <v>80</v>
      </c>
      <c r="D811">
        <v>65.571197510000005</v>
      </c>
      <c r="E811">
        <v>50</v>
      </c>
      <c r="F811">
        <v>49.906673431000002</v>
      </c>
      <c r="G811">
        <v>1343.2940673999999</v>
      </c>
      <c r="H811">
        <v>1338.5461425999999</v>
      </c>
      <c r="I811">
        <v>1325.4117432</v>
      </c>
      <c r="J811">
        <v>1321.8143310999999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365.19157100000001</v>
      </c>
      <c r="B812" s="1">
        <f>DATE(2011,5,1) + TIME(4,35,51)</f>
        <v>40664.191562499997</v>
      </c>
      <c r="C812">
        <v>80</v>
      </c>
      <c r="D812">
        <v>66.175399780000006</v>
      </c>
      <c r="E812">
        <v>50</v>
      </c>
      <c r="F812">
        <v>49.902450561999999</v>
      </c>
      <c r="G812">
        <v>1343.5711670000001</v>
      </c>
      <c r="H812">
        <v>1338.8428954999999</v>
      </c>
      <c r="I812">
        <v>1325.1356201000001</v>
      </c>
      <c r="J812">
        <v>1321.5325928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365.21408000000002</v>
      </c>
      <c r="B813" s="1">
        <f>DATE(2011,5,1) + TIME(5,8,16)</f>
        <v>40664.214074074072</v>
      </c>
      <c r="C813">
        <v>80</v>
      </c>
      <c r="D813">
        <v>66.768966675000001</v>
      </c>
      <c r="E813">
        <v>50</v>
      </c>
      <c r="F813">
        <v>49.898220062</v>
      </c>
      <c r="G813">
        <v>1343.8132324000001</v>
      </c>
      <c r="H813">
        <v>1339.1046143000001</v>
      </c>
      <c r="I813">
        <v>1324.8894043</v>
      </c>
      <c r="J813">
        <v>1321.2816161999999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365.2371</v>
      </c>
      <c r="B814" s="1">
        <f>DATE(2011,5,1) + TIME(5,41,25)</f>
        <v>40664.23709490741</v>
      </c>
      <c r="C814">
        <v>80</v>
      </c>
      <c r="D814">
        <v>67.3515625</v>
      </c>
      <c r="E814">
        <v>50</v>
      </c>
      <c r="F814">
        <v>49.893962860000002</v>
      </c>
      <c r="G814">
        <v>1344.0270995999999</v>
      </c>
      <c r="H814">
        <v>1339.3376464999999</v>
      </c>
      <c r="I814">
        <v>1324.6683350000001</v>
      </c>
      <c r="J814">
        <v>1321.0566406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365.26065699999998</v>
      </c>
      <c r="B815" s="1">
        <f>DATE(2011,5,1) + TIME(6,15,20)</f>
        <v>40664.260648148149</v>
      </c>
      <c r="C815">
        <v>80</v>
      </c>
      <c r="D815">
        <v>67.922950744999994</v>
      </c>
      <c r="E815">
        <v>50</v>
      </c>
      <c r="F815">
        <v>49.889675140000001</v>
      </c>
      <c r="G815">
        <v>1344.2178954999999</v>
      </c>
      <c r="H815">
        <v>1339.5471190999999</v>
      </c>
      <c r="I815">
        <v>1324.46875</v>
      </c>
      <c r="J815">
        <v>1320.8536377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365.28477800000002</v>
      </c>
      <c r="B816" s="1">
        <f>DATE(2011,5,1) + TIME(6,50,4)</f>
        <v>40664.284768518519</v>
      </c>
      <c r="C816">
        <v>80</v>
      </c>
      <c r="D816">
        <v>68.482978821000003</v>
      </c>
      <c r="E816">
        <v>50</v>
      </c>
      <c r="F816">
        <v>49.885349273999999</v>
      </c>
      <c r="G816">
        <v>1344.3896483999999</v>
      </c>
      <c r="H816">
        <v>1339.7368164</v>
      </c>
      <c r="I816">
        <v>1324.2874756000001</v>
      </c>
      <c r="J816">
        <v>1320.6695557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365.30949299999997</v>
      </c>
      <c r="B817" s="1">
        <f>DATE(2011,5,1) + TIME(7,25,40)</f>
        <v>40664.309490740743</v>
      </c>
      <c r="C817">
        <v>80</v>
      </c>
      <c r="D817">
        <v>69.031455993999998</v>
      </c>
      <c r="E817">
        <v>50</v>
      </c>
      <c r="F817">
        <v>49.880981445000003</v>
      </c>
      <c r="G817">
        <v>1344.5452881000001</v>
      </c>
      <c r="H817">
        <v>1339.9099120999999</v>
      </c>
      <c r="I817">
        <v>1324.1224365</v>
      </c>
      <c r="J817">
        <v>1320.5019531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365.334813</v>
      </c>
      <c r="B818" s="1">
        <f>DATE(2011,5,1) + TIME(8,2,7)</f>
        <v>40664.334803240738</v>
      </c>
      <c r="C818">
        <v>80</v>
      </c>
      <c r="D818">
        <v>69.567771911999998</v>
      </c>
      <c r="E818">
        <v>50</v>
      </c>
      <c r="F818">
        <v>49.876560210999997</v>
      </c>
      <c r="G818">
        <v>1344.6873779</v>
      </c>
      <c r="H818">
        <v>1340.0684814000001</v>
      </c>
      <c r="I818">
        <v>1323.9718018000001</v>
      </c>
      <c r="J818">
        <v>1320.348999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365.360726</v>
      </c>
      <c r="B819" s="1">
        <f>DATE(2011,5,1) + TIME(8,39,26)</f>
        <v>40664.360717592594</v>
      </c>
      <c r="C819">
        <v>80</v>
      </c>
      <c r="D819">
        <v>70.090942382999998</v>
      </c>
      <c r="E819">
        <v>50</v>
      </c>
      <c r="F819">
        <v>49.872097015000001</v>
      </c>
      <c r="G819">
        <v>1344.817749</v>
      </c>
      <c r="H819">
        <v>1340.2144774999999</v>
      </c>
      <c r="I819">
        <v>1323.8339844</v>
      </c>
      <c r="J819">
        <v>1320.2093506000001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365.38726200000002</v>
      </c>
      <c r="B820" s="1">
        <f>DATE(2011,5,1) + TIME(9,17,39)</f>
        <v>40664.387256944443</v>
      </c>
      <c r="C820">
        <v>80</v>
      </c>
      <c r="D820">
        <v>70.600563049000002</v>
      </c>
      <c r="E820">
        <v>50</v>
      </c>
      <c r="F820">
        <v>49.867580414000003</v>
      </c>
      <c r="G820">
        <v>1344.9379882999999</v>
      </c>
      <c r="H820">
        <v>1340.3493652</v>
      </c>
      <c r="I820">
        <v>1323.7078856999999</v>
      </c>
      <c r="J820">
        <v>1320.081543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365.414446</v>
      </c>
      <c r="B821" s="1">
        <f>DATE(2011,5,1) + TIME(9,56,48)</f>
        <v>40664.414444444446</v>
      </c>
      <c r="C821">
        <v>80</v>
      </c>
      <c r="D821">
        <v>71.096748352000006</v>
      </c>
      <c r="E821">
        <v>50</v>
      </c>
      <c r="F821">
        <v>49.863006591999998</v>
      </c>
      <c r="G821">
        <v>1345.0493164</v>
      </c>
      <c r="H821">
        <v>1340.4744873</v>
      </c>
      <c r="I821">
        <v>1323.5921631000001</v>
      </c>
      <c r="J821">
        <v>1319.9643555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365.44231600000001</v>
      </c>
      <c r="B822" s="1">
        <f>DATE(2011,5,1) + TIME(10,36,56)</f>
        <v>40664.442314814813</v>
      </c>
      <c r="C822">
        <v>80</v>
      </c>
      <c r="D822">
        <v>71.579475403000004</v>
      </c>
      <c r="E822">
        <v>50</v>
      </c>
      <c r="F822">
        <v>49.858371734999999</v>
      </c>
      <c r="G822">
        <v>1345.1529541</v>
      </c>
      <c r="H822">
        <v>1340.5910644999999</v>
      </c>
      <c r="I822">
        <v>1323.4860839999999</v>
      </c>
      <c r="J822">
        <v>1319.8566894999999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365.47090900000001</v>
      </c>
      <c r="B823" s="1">
        <f>DATE(2011,5,1) + TIME(11,18,6)</f>
        <v>40664.470902777779</v>
      </c>
      <c r="C823">
        <v>80</v>
      </c>
      <c r="D823">
        <v>72.048637389999996</v>
      </c>
      <c r="E823">
        <v>50</v>
      </c>
      <c r="F823">
        <v>49.853668212999999</v>
      </c>
      <c r="G823">
        <v>1345.2497559000001</v>
      </c>
      <c r="H823">
        <v>1340.6999512</v>
      </c>
      <c r="I823">
        <v>1323.3885498</v>
      </c>
      <c r="J823">
        <v>1319.7580565999999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365.50026200000002</v>
      </c>
      <c r="B824" s="1">
        <f>DATE(2011,5,1) + TIME(12,0,22)</f>
        <v>40664.500254629631</v>
      </c>
      <c r="C824">
        <v>80</v>
      </c>
      <c r="D824">
        <v>72.504150390999996</v>
      </c>
      <c r="E824">
        <v>50</v>
      </c>
      <c r="F824">
        <v>49.848892212000003</v>
      </c>
      <c r="G824">
        <v>1345.3404541</v>
      </c>
      <c r="H824">
        <v>1340.8018798999999</v>
      </c>
      <c r="I824">
        <v>1323.2990723</v>
      </c>
      <c r="J824">
        <v>1319.6673584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365.53041899999999</v>
      </c>
      <c r="B825" s="1">
        <f>DATE(2011,5,1) + TIME(12,43,48)</f>
        <v>40664.530416666668</v>
      </c>
      <c r="C825">
        <v>80</v>
      </c>
      <c r="D825">
        <v>72.945930481000005</v>
      </c>
      <c r="E825">
        <v>50</v>
      </c>
      <c r="F825">
        <v>49.844039917000003</v>
      </c>
      <c r="G825">
        <v>1345.4257812000001</v>
      </c>
      <c r="H825">
        <v>1340.8974608999999</v>
      </c>
      <c r="I825">
        <v>1323.2169189000001</v>
      </c>
      <c r="J825">
        <v>1319.5841064000001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365.56142399999999</v>
      </c>
      <c r="B826" s="1">
        <f>DATE(2011,5,1) + TIME(13,28,27)</f>
        <v>40664.561423611114</v>
      </c>
      <c r="C826">
        <v>80</v>
      </c>
      <c r="D826">
        <v>73.373886107999994</v>
      </c>
      <c r="E826">
        <v>50</v>
      </c>
      <c r="F826">
        <v>49.839099883999999</v>
      </c>
      <c r="G826">
        <v>1345.5061035000001</v>
      </c>
      <c r="H826">
        <v>1340.9873047000001</v>
      </c>
      <c r="I826">
        <v>1323.1414795000001</v>
      </c>
      <c r="J826">
        <v>1319.5078125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365.59332599999999</v>
      </c>
      <c r="B827" s="1">
        <f>DATE(2011,5,1) + TIME(14,14,23)</f>
        <v>40664.593321759261</v>
      </c>
      <c r="C827">
        <v>80</v>
      </c>
      <c r="D827">
        <v>73.787948607999994</v>
      </c>
      <c r="E827">
        <v>50</v>
      </c>
      <c r="F827">
        <v>49.834072112999998</v>
      </c>
      <c r="G827">
        <v>1345.5820312000001</v>
      </c>
      <c r="H827">
        <v>1341.0718993999999</v>
      </c>
      <c r="I827">
        <v>1323.0725098</v>
      </c>
      <c r="J827">
        <v>1319.4378661999999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365.62617799999998</v>
      </c>
      <c r="B828" s="1">
        <f>DATE(2011,5,1) + TIME(15,1,41)</f>
        <v>40664.626168981478</v>
      </c>
      <c r="C828">
        <v>80</v>
      </c>
      <c r="D828">
        <v>74.188049316000004</v>
      </c>
      <c r="E828">
        <v>50</v>
      </c>
      <c r="F828">
        <v>49.828945160000004</v>
      </c>
      <c r="G828">
        <v>1345.6539307</v>
      </c>
      <c r="H828">
        <v>1341.1514893000001</v>
      </c>
      <c r="I828">
        <v>1323.0093993999999</v>
      </c>
      <c r="J828">
        <v>1319.3739014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365.66003999999998</v>
      </c>
      <c r="B829" s="1">
        <f>DATE(2011,5,1) + TIME(15,50,27)</f>
        <v>40664.660034722219</v>
      </c>
      <c r="C829">
        <v>80</v>
      </c>
      <c r="D829">
        <v>74.574127196999996</v>
      </c>
      <c r="E829">
        <v>50</v>
      </c>
      <c r="F829">
        <v>49.823715210000003</v>
      </c>
      <c r="G829">
        <v>1345.7219238</v>
      </c>
      <c r="H829">
        <v>1341.2266846</v>
      </c>
      <c r="I829">
        <v>1322.9517822</v>
      </c>
      <c r="J829">
        <v>1319.3154297000001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365.694973</v>
      </c>
      <c r="B830" s="1">
        <f>DATE(2011,5,1) + TIME(16,40,45)</f>
        <v>40664.694965277777</v>
      </c>
      <c r="C830">
        <v>80</v>
      </c>
      <c r="D830">
        <v>74.946136475000003</v>
      </c>
      <c r="E830">
        <v>50</v>
      </c>
      <c r="F830">
        <v>49.818374634000001</v>
      </c>
      <c r="G830">
        <v>1345.786499</v>
      </c>
      <c r="H830">
        <v>1341.2976074000001</v>
      </c>
      <c r="I830">
        <v>1322.8992920000001</v>
      </c>
      <c r="J830">
        <v>1319.262207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365.731065</v>
      </c>
      <c r="B831" s="1">
        <f>DATE(2011,5,1) + TIME(17,32,44)</f>
        <v>40664.731064814812</v>
      </c>
      <c r="C831">
        <v>80</v>
      </c>
      <c r="D831">
        <v>75.303962708</v>
      </c>
      <c r="E831">
        <v>50</v>
      </c>
      <c r="F831">
        <v>49.812911987</v>
      </c>
      <c r="G831">
        <v>1345.8477783000001</v>
      </c>
      <c r="H831">
        <v>1341.3645019999999</v>
      </c>
      <c r="I831">
        <v>1322.8515625</v>
      </c>
      <c r="J831">
        <v>1319.2138672000001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365.76837799999998</v>
      </c>
      <c r="B832" s="1">
        <f>DATE(2011,5,1) + TIME(18,26,27)</f>
        <v>40664.768368055556</v>
      </c>
      <c r="C832">
        <v>80</v>
      </c>
      <c r="D832">
        <v>75.647598267000006</v>
      </c>
      <c r="E832">
        <v>50</v>
      </c>
      <c r="F832">
        <v>49.807323455999999</v>
      </c>
      <c r="G832">
        <v>1345.9060059000001</v>
      </c>
      <c r="H832">
        <v>1341.4277344</v>
      </c>
      <c r="I832">
        <v>1322.8084716999999</v>
      </c>
      <c r="J832">
        <v>1319.1701660000001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365.80691300000001</v>
      </c>
      <c r="B833" s="1">
        <f>DATE(2011,5,1) + TIME(19,21,57)</f>
        <v>40664.806909722225</v>
      </c>
      <c r="C833">
        <v>80</v>
      </c>
      <c r="D833">
        <v>75.976402282999999</v>
      </c>
      <c r="E833">
        <v>50</v>
      </c>
      <c r="F833">
        <v>49.801605225000003</v>
      </c>
      <c r="G833">
        <v>1345.9614257999999</v>
      </c>
      <c r="H833">
        <v>1341.4874268000001</v>
      </c>
      <c r="I833">
        <v>1322.7696533000001</v>
      </c>
      <c r="J833">
        <v>1319.1307373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365.846743</v>
      </c>
      <c r="B834" s="1">
        <f>DATE(2011,5,1) + TIME(20,19,18)</f>
        <v>40664.846736111111</v>
      </c>
      <c r="C834">
        <v>80</v>
      </c>
      <c r="D834">
        <v>76.290367126000007</v>
      </c>
      <c r="E834">
        <v>50</v>
      </c>
      <c r="F834">
        <v>49.795749663999999</v>
      </c>
      <c r="G834">
        <v>1346.0140381000001</v>
      </c>
      <c r="H834">
        <v>1341.5435791</v>
      </c>
      <c r="I834">
        <v>1322.7348632999999</v>
      </c>
      <c r="J834">
        <v>1319.0953368999999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365.88795800000003</v>
      </c>
      <c r="B835" s="1">
        <f>DATE(2011,5,1) + TIME(21,18,39)</f>
        <v>40664.88795138889</v>
      </c>
      <c r="C835">
        <v>80</v>
      </c>
      <c r="D835">
        <v>76.589584350999999</v>
      </c>
      <c r="E835">
        <v>50</v>
      </c>
      <c r="F835">
        <v>49.789752960000001</v>
      </c>
      <c r="G835">
        <v>1346.0638428</v>
      </c>
      <c r="H835">
        <v>1341.5965576000001</v>
      </c>
      <c r="I835">
        <v>1322.7037353999999</v>
      </c>
      <c r="J835">
        <v>1319.0637207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365.93065999999999</v>
      </c>
      <c r="B836" s="1">
        <f>DATE(2011,5,1) + TIME(22,20,9)</f>
        <v>40664.930659722224</v>
      </c>
      <c r="C836">
        <v>80</v>
      </c>
      <c r="D836">
        <v>76.874176024999997</v>
      </c>
      <c r="E836">
        <v>50</v>
      </c>
      <c r="F836">
        <v>49.783599854000002</v>
      </c>
      <c r="G836">
        <v>1346.1112060999999</v>
      </c>
      <c r="H836">
        <v>1341.6463623</v>
      </c>
      <c r="I836">
        <v>1322.6762695</v>
      </c>
      <c r="J836">
        <v>1319.0357666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365.97493700000001</v>
      </c>
      <c r="B837" s="1">
        <f>DATE(2011,5,1) + TIME(23,23,54)</f>
        <v>40664.974930555552</v>
      </c>
      <c r="C837">
        <v>80</v>
      </c>
      <c r="D837">
        <v>77.144134520999998</v>
      </c>
      <c r="E837">
        <v>50</v>
      </c>
      <c r="F837">
        <v>49.777278899999999</v>
      </c>
      <c r="G837">
        <v>1346.1560059000001</v>
      </c>
      <c r="H837">
        <v>1341.6932373</v>
      </c>
      <c r="I837">
        <v>1322.6519774999999</v>
      </c>
      <c r="J837">
        <v>1319.0109863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366.02090099999998</v>
      </c>
      <c r="B838" s="1">
        <f>DATE(2011,5,2) + TIME(0,30,5)</f>
        <v>40665.020891203705</v>
      </c>
      <c r="C838">
        <v>80</v>
      </c>
      <c r="D838">
        <v>77.399566649999997</v>
      </c>
      <c r="E838">
        <v>50</v>
      </c>
      <c r="F838">
        <v>49.770782470999997</v>
      </c>
      <c r="G838">
        <v>1346.1986084</v>
      </c>
      <c r="H838">
        <v>1341.7371826000001</v>
      </c>
      <c r="I838">
        <v>1322.6307373</v>
      </c>
      <c r="J838">
        <v>1318.9892577999999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366.06867599999998</v>
      </c>
      <c r="B839" s="1">
        <f>DATE(2011,5,2) + TIME(1,38,53)</f>
        <v>40665.068668981483</v>
      </c>
      <c r="C839">
        <v>80</v>
      </c>
      <c r="D839">
        <v>77.640617371000005</v>
      </c>
      <c r="E839">
        <v>50</v>
      </c>
      <c r="F839">
        <v>49.764091491999999</v>
      </c>
      <c r="G839">
        <v>1346.2388916</v>
      </c>
      <c r="H839">
        <v>1341.7785644999999</v>
      </c>
      <c r="I839">
        <v>1322.6121826000001</v>
      </c>
      <c r="J839">
        <v>1318.9703368999999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366.11839800000001</v>
      </c>
      <c r="B840" s="1">
        <f>DATE(2011,5,2) + TIME(2,50,29)</f>
        <v>40665.118391203701</v>
      </c>
      <c r="C840">
        <v>80</v>
      </c>
      <c r="D840">
        <v>77.867446899000001</v>
      </c>
      <c r="E840">
        <v>50</v>
      </c>
      <c r="F840">
        <v>49.757198334000002</v>
      </c>
      <c r="G840">
        <v>1346.2769774999999</v>
      </c>
      <c r="H840">
        <v>1341.8172606999999</v>
      </c>
      <c r="I840">
        <v>1322.5963135</v>
      </c>
      <c r="J840">
        <v>1318.9539795000001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366.17021999999997</v>
      </c>
      <c r="B841" s="1">
        <f>DATE(2011,5,2) + TIME(4,5,7)</f>
        <v>40665.170219907406</v>
      </c>
      <c r="C841">
        <v>80</v>
      </c>
      <c r="D841">
        <v>78.080230713000006</v>
      </c>
      <c r="E841">
        <v>50</v>
      </c>
      <c r="F841">
        <v>49.750080109000002</v>
      </c>
      <c r="G841">
        <v>1346.3129882999999</v>
      </c>
      <c r="H841">
        <v>1341.8535156</v>
      </c>
      <c r="I841">
        <v>1322.5827637</v>
      </c>
      <c r="J841">
        <v>1318.9400635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366.224313</v>
      </c>
      <c r="B842" s="1">
        <f>DATE(2011,5,2) + TIME(5,23,0)</f>
        <v>40665.224305555559</v>
      </c>
      <c r="C842">
        <v>80</v>
      </c>
      <c r="D842">
        <v>78.279190063000001</v>
      </c>
      <c r="E842">
        <v>50</v>
      </c>
      <c r="F842">
        <v>49.742721558</v>
      </c>
      <c r="G842">
        <v>1346.3469238</v>
      </c>
      <c r="H842">
        <v>1341.8873291</v>
      </c>
      <c r="I842">
        <v>1322.5712891000001</v>
      </c>
      <c r="J842">
        <v>1318.9283447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366.280868</v>
      </c>
      <c r="B843" s="1">
        <f>DATE(2011,5,2) + TIME(6,44,27)</f>
        <v>40665.280868055554</v>
      </c>
      <c r="C843">
        <v>80</v>
      </c>
      <c r="D843">
        <v>78.464561462000006</v>
      </c>
      <c r="E843">
        <v>50</v>
      </c>
      <c r="F843">
        <v>49.735103606999999</v>
      </c>
      <c r="G843">
        <v>1346.3789062000001</v>
      </c>
      <c r="H843">
        <v>1341.9189452999999</v>
      </c>
      <c r="I843">
        <v>1322.5618896000001</v>
      </c>
      <c r="J843">
        <v>1318.9185791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366.340102</v>
      </c>
      <c r="B844" s="1">
        <f>DATE(2011,5,2) + TIME(8,9,44)</f>
        <v>40665.340092592596</v>
      </c>
      <c r="C844">
        <v>80</v>
      </c>
      <c r="D844">
        <v>78.636611938000001</v>
      </c>
      <c r="E844">
        <v>50</v>
      </c>
      <c r="F844">
        <v>49.727203369000001</v>
      </c>
      <c r="G844">
        <v>1346.4089355000001</v>
      </c>
      <c r="H844">
        <v>1341.9483643000001</v>
      </c>
      <c r="I844">
        <v>1322.5541992000001</v>
      </c>
      <c r="J844">
        <v>1318.9105225000001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366.40226100000001</v>
      </c>
      <c r="B845" s="1">
        <f>DATE(2011,5,2) + TIME(9,39,15)</f>
        <v>40665.402256944442</v>
      </c>
      <c r="C845">
        <v>80</v>
      </c>
      <c r="D845">
        <v>78.795654296999999</v>
      </c>
      <c r="E845">
        <v>50</v>
      </c>
      <c r="F845">
        <v>49.718994141000003</v>
      </c>
      <c r="G845">
        <v>1346.4370117000001</v>
      </c>
      <c r="H845">
        <v>1341.9755858999999</v>
      </c>
      <c r="I845">
        <v>1322.5482178</v>
      </c>
      <c r="J845">
        <v>1318.9041748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366.46766600000001</v>
      </c>
      <c r="B846" s="1">
        <f>DATE(2011,5,2) + TIME(11,13,26)</f>
        <v>40665.467662037037</v>
      </c>
      <c r="C846">
        <v>80</v>
      </c>
      <c r="D846">
        <v>78.942092896000005</v>
      </c>
      <c r="E846">
        <v>50</v>
      </c>
      <c r="F846">
        <v>49.710445403999998</v>
      </c>
      <c r="G846">
        <v>1346.4632568</v>
      </c>
      <c r="H846">
        <v>1342.0007324000001</v>
      </c>
      <c r="I846">
        <v>1322.5435791</v>
      </c>
      <c r="J846">
        <v>1318.8991699000001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366.536609</v>
      </c>
      <c r="B847" s="1">
        <f>DATE(2011,5,2) + TIME(12,52,43)</f>
        <v>40665.536608796298</v>
      </c>
      <c r="C847">
        <v>80</v>
      </c>
      <c r="D847">
        <v>79.076202393000003</v>
      </c>
      <c r="E847">
        <v>50</v>
      </c>
      <c r="F847">
        <v>49.701519011999999</v>
      </c>
      <c r="G847">
        <v>1346.4875488</v>
      </c>
      <c r="H847">
        <v>1342.0239257999999</v>
      </c>
      <c r="I847">
        <v>1322.5401611</v>
      </c>
      <c r="J847">
        <v>1318.8955077999999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366.60929399999998</v>
      </c>
      <c r="B848" s="1">
        <f>DATE(2011,5,2) + TIME(14,37,23)</f>
        <v>40665.609293981484</v>
      </c>
      <c r="C848">
        <v>80</v>
      </c>
      <c r="D848">
        <v>79.198127747000001</v>
      </c>
      <c r="E848">
        <v>50</v>
      </c>
      <c r="F848">
        <v>49.692207336000003</v>
      </c>
      <c r="G848">
        <v>1346.5101318</v>
      </c>
      <c r="H848">
        <v>1342.0451660000001</v>
      </c>
      <c r="I848">
        <v>1322.5377197</v>
      </c>
      <c r="J848">
        <v>1318.8928223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366.685991</v>
      </c>
      <c r="B849" s="1">
        <f>DATE(2011,5,2) + TIME(16,27,49)</f>
        <v>40665.685983796298</v>
      </c>
      <c r="C849">
        <v>80</v>
      </c>
      <c r="D849">
        <v>79.308204650999997</v>
      </c>
      <c r="E849">
        <v>50</v>
      </c>
      <c r="F849">
        <v>49.682479858000001</v>
      </c>
      <c r="G849">
        <v>1346.5308838000001</v>
      </c>
      <c r="H849">
        <v>1342.0644531</v>
      </c>
      <c r="I849">
        <v>1322.5363769999999</v>
      </c>
      <c r="J849">
        <v>1318.8911132999999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366.76588099999998</v>
      </c>
      <c r="B850" s="1">
        <f>DATE(2011,5,2) + TIME(18,22,52)</f>
        <v>40665.765879629631</v>
      </c>
      <c r="C850">
        <v>80</v>
      </c>
      <c r="D850">
        <v>79.405677795000003</v>
      </c>
      <c r="E850">
        <v>50</v>
      </c>
      <c r="F850">
        <v>49.672435759999999</v>
      </c>
      <c r="G850">
        <v>1346.5499268000001</v>
      </c>
      <c r="H850">
        <v>1342.0819091999999</v>
      </c>
      <c r="I850">
        <v>1322.5357666</v>
      </c>
      <c r="J850">
        <v>1318.8902588000001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366.846227</v>
      </c>
      <c r="B851" s="1">
        <f>DATE(2011,5,2) + TIME(20,18,34)</f>
        <v>40665.846226851849</v>
      </c>
      <c r="C851">
        <v>80</v>
      </c>
      <c r="D851">
        <v>79.488945006999998</v>
      </c>
      <c r="E851">
        <v>50</v>
      </c>
      <c r="F851">
        <v>49.662391663000001</v>
      </c>
      <c r="G851">
        <v>1346.5673827999999</v>
      </c>
      <c r="H851">
        <v>1342.0975341999999</v>
      </c>
      <c r="I851">
        <v>1322.5356445</v>
      </c>
      <c r="J851">
        <v>1318.8898925999999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366.92730699999998</v>
      </c>
      <c r="B852" s="1">
        <f>DATE(2011,5,2) + TIME(22,15,19)</f>
        <v>40665.927303240744</v>
      </c>
      <c r="C852">
        <v>80</v>
      </c>
      <c r="D852">
        <v>79.560188292999996</v>
      </c>
      <c r="E852">
        <v>50</v>
      </c>
      <c r="F852">
        <v>49.652313231999997</v>
      </c>
      <c r="G852">
        <v>1346.5821533000001</v>
      </c>
      <c r="H852">
        <v>1342.1107178</v>
      </c>
      <c r="I852">
        <v>1322.5360106999999</v>
      </c>
      <c r="J852">
        <v>1318.8900146000001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367.00929400000001</v>
      </c>
      <c r="B853" s="1">
        <f>DATE(2011,5,3) + TIME(0,13,22)</f>
        <v>40666.009282407409</v>
      </c>
      <c r="C853">
        <v>80</v>
      </c>
      <c r="D853">
        <v>79.621154785000002</v>
      </c>
      <c r="E853">
        <v>50</v>
      </c>
      <c r="F853">
        <v>49.642181395999998</v>
      </c>
      <c r="G853">
        <v>1346.5947266000001</v>
      </c>
      <c r="H853">
        <v>1342.1219481999999</v>
      </c>
      <c r="I853">
        <v>1322.5366211</v>
      </c>
      <c r="J853">
        <v>1318.8903809000001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367.09236600000003</v>
      </c>
      <c r="B854" s="1">
        <f>DATE(2011,5,3) + TIME(2,13,0)</f>
        <v>40666.092361111114</v>
      </c>
      <c r="C854">
        <v>80</v>
      </c>
      <c r="D854">
        <v>79.673316955999994</v>
      </c>
      <c r="E854">
        <v>50</v>
      </c>
      <c r="F854">
        <v>49.631977081000002</v>
      </c>
      <c r="G854">
        <v>1346.6052245999999</v>
      </c>
      <c r="H854">
        <v>1342.1314697</v>
      </c>
      <c r="I854">
        <v>1322.5374756000001</v>
      </c>
      <c r="J854">
        <v>1318.8909911999999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367.17674599999998</v>
      </c>
      <c r="B855" s="1">
        <f>DATE(2011,5,3) + TIME(4,14,30)</f>
        <v>40666.176736111112</v>
      </c>
      <c r="C855">
        <v>80</v>
      </c>
      <c r="D855">
        <v>79.717941284000005</v>
      </c>
      <c r="E855">
        <v>50</v>
      </c>
      <c r="F855">
        <v>49.621669769</v>
      </c>
      <c r="G855">
        <v>1346.6137695</v>
      </c>
      <c r="H855">
        <v>1342.1392822</v>
      </c>
      <c r="I855">
        <v>1322.5384521000001</v>
      </c>
      <c r="J855">
        <v>1318.8917236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367.262629</v>
      </c>
      <c r="B856" s="1">
        <f>DATE(2011,5,3) + TIME(6,18,11)</f>
        <v>40666.262627314813</v>
      </c>
      <c r="C856">
        <v>80</v>
      </c>
      <c r="D856">
        <v>79.756095885999997</v>
      </c>
      <c r="E856">
        <v>50</v>
      </c>
      <c r="F856">
        <v>49.611244202000002</v>
      </c>
      <c r="G856">
        <v>1346.6206055</v>
      </c>
      <c r="H856">
        <v>1342.1456298999999</v>
      </c>
      <c r="I856">
        <v>1322.5394286999999</v>
      </c>
      <c r="J856">
        <v>1318.8924560999999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367.350191</v>
      </c>
      <c r="B857" s="1">
        <f>DATE(2011,5,3) + TIME(8,24,16)</f>
        <v>40666.350185185183</v>
      </c>
      <c r="C857">
        <v>80</v>
      </c>
      <c r="D857">
        <v>79.788665770999998</v>
      </c>
      <c r="E857">
        <v>50</v>
      </c>
      <c r="F857">
        <v>49.600673676</v>
      </c>
      <c r="G857">
        <v>1346.6258545000001</v>
      </c>
      <c r="H857">
        <v>1342.1506348</v>
      </c>
      <c r="I857">
        <v>1322.5404053</v>
      </c>
      <c r="J857">
        <v>1318.8931885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367.43964499999998</v>
      </c>
      <c r="B858" s="1">
        <f>DATE(2011,5,3) + TIME(10,33,5)</f>
        <v>40666.439641203702</v>
      </c>
      <c r="C858">
        <v>80</v>
      </c>
      <c r="D858">
        <v>79.816436768000003</v>
      </c>
      <c r="E858">
        <v>50</v>
      </c>
      <c r="F858">
        <v>49.589942932</v>
      </c>
      <c r="G858">
        <v>1346.6297606999999</v>
      </c>
      <c r="H858">
        <v>1342.1545410000001</v>
      </c>
      <c r="I858">
        <v>1322.5412598</v>
      </c>
      <c r="J858">
        <v>1318.8937988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367.53121700000003</v>
      </c>
      <c r="B859" s="1">
        <f>DATE(2011,5,3) + TIME(12,44,57)</f>
        <v>40666.531215277777</v>
      </c>
      <c r="C859">
        <v>80</v>
      </c>
      <c r="D859">
        <v>79.840065002000003</v>
      </c>
      <c r="E859">
        <v>50</v>
      </c>
      <c r="F859">
        <v>49.579021453999999</v>
      </c>
      <c r="G859">
        <v>1346.6322021000001</v>
      </c>
      <c r="H859">
        <v>1342.1573486</v>
      </c>
      <c r="I859">
        <v>1322.5421143000001</v>
      </c>
      <c r="J859">
        <v>1318.8944091999999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367.62472000000002</v>
      </c>
      <c r="B860" s="1">
        <f>DATE(2011,5,3) + TIME(14,59,35)</f>
        <v>40666.624710648146</v>
      </c>
      <c r="C860">
        <v>80</v>
      </c>
      <c r="D860">
        <v>79.860061646000005</v>
      </c>
      <c r="E860">
        <v>50</v>
      </c>
      <c r="F860">
        <v>49.567935943999998</v>
      </c>
      <c r="G860">
        <v>1346.6334228999999</v>
      </c>
      <c r="H860">
        <v>1342.1591797000001</v>
      </c>
      <c r="I860">
        <v>1322.5429687999999</v>
      </c>
      <c r="J860">
        <v>1318.8950195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367.71966800000001</v>
      </c>
      <c r="B861" s="1">
        <f>DATE(2011,5,3) + TIME(17,16,19)</f>
        <v>40666.719664351855</v>
      </c>
      <c r="C861">
        <v>80</v>
      </c>
      <c r="D861">
        <v>79.876853943</v>
      </c>
      <c r="E861">
        <v>50</v>
      </c>
      <c r="F861">
        <v>49.556735992</v>
      </c>
      <c r="G861">
        <v>1346.6335449000001</v>
      </c>
      <c r="H861">
        <v>1342.1600341999999</v>
      </c>
      <c r="I861">
        <v>1322.5435791</v>
      </c>
      <c r="J861">
        <v>1318.8953856999999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367.81624900000003</v>
      </c>
      <c r="B862" s="1">
        <f>DATE(2011,5,3) + TIME(19,35,23)</f>
        <v>40666.816238425927</v>
      </c>
      <c r="C862">
        <v>80</v>
      </c>
      <c r="D862">
        <v>79.890930175999998</v>
      </c>
      <c r="E862">
        <v>50</v>
      </c>
      <c r="F862">
        <v>49.545398712000001</v>
      </c>
      <c r="G862">
        <v>1346.6325684000001</v>
      </c>
      <c r="H862">
        <v>1342.1601562000001</v>
      </c>
      <c r="I862">
        <v>1322.5441894999999</v>
      </c>
      <c r="J862">
        <v>1318.8957519999999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367.91463599999997</v>
      </c>
      <c r="B863" s="1">
        <f>DATE(2011,5,3) + TIME(21,57,4)</f>
        <v>40666.914629629631</v>
      </c>
      <c r="C863">
        <v>80</v>
      </c>
      <c r="D863">
        <v>79.902725219999994</v>
      </c>
      <c r="E863">
        <v>50</v>
      </c>
      <c r="F863">
        <v>49.533912659000002</v>
      </c>
      <c r="G863">
        <v>1346.6304932</v>
      </c>
      <c r="H863">
        <v>1342.1594238</v>
      </c>
      <c r="I863">
        <v>1322.5445557</v>
      </c>
      <c r="J863">
        <v>1318.8959961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368.01505800000001</v>
      </c>
      <c r="B864" s="1">
        <f>DATE(2011,5,4) + TIME(0,21,40)</f>
        <v>40667.015046296299</v>
      </c>
      <c r="C864">
        <v>80</v>
      </c>
      <c r="D864">
        <v>79.912590026999993</v>
      </c>
      <c r="E864">
        <v>50</v>
      </c>
      <c r="F864">
        <v>49.522247313999998</v>
      </c>
      <c r="G864">
        <v>1346.6275635</v>
      </c>
      <c r="H864">
        <v>1342.1579589999999</v>
      </c>
      <c r="I864">
        <v>1322.5449219</v>
      </c>
      <c r="J864">
        <v>1318.8959961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368.117681</v>
      </c>
      <c r="B865" s="1">
        <f>DATE(2011,5,4) + TIME(2,49,27)</f>
        <v>40667.117673611108</v>
      </c>
      <c r="C865">
        <v>80</v>
      </c>
      <c r="D865">
        <v>79.920829772999994</v>
      </c>
      <c r="E865">
        <v>50</v>
      </c>
      <c r="F865">
        <v>49.51039505</v>
      </c>
      <c r="G865">
        <v>1346.6235352000001</v>
      </c>
      <c r="H865">
        <v>1342.1558838000001</v>
      </c>
      <c r="I865">
        <v>1322.5450439000001</v>
      </c>
      <c r="J865">
        <v>1318.8959961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368.22271599999999</v>
      </c>
      <c r="B866" s="1">
        <f>DATE(2011,5,4) + TIME(5,20,42)</f>
        <v>40667.222708333335</v>
      </c>
      <c r="C866">
        <v>80</v>
      </c>
      <c r="D866">
        <v>79.927696228000002</v>
      </c>
      <c r="E866">
        <v>50</v>
      </c>
      <c r="F866">
        <v>49.498325348000002</v>
      </c>
      <c r="G866">
        <v>1346.6187743999999</v>
      </c>
      <c r="H866">
        <v>1342.1530762</v>
      </c>
      <c r="I866">
        <v>1322.5451660000001</v>
      </c>
      <c r="J866">
        <v>1318.895874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368.33039500000001</v>
      </c>
      <c r="B867" s="1">
        <f>DATE(2011,5,4) + TIME(7,55,46)</f>
        <v>40667.330393518518</v>
      </c>
      <c r="C867">
        <v>80</v>
      </c>
      <c r="D867">
        <v>79.933410644999995</v>
      </c>
      <c r="E867">
        <v>50</v>
      </c>
      <c r="F867">
        <v>49.486022949000002</v>
      </c>
      <c r="G867">
        <v>1346.6132812000001</v>
      </c>
      <c r="H867">
        <v>1342.1497803</v>
      </c>
      <c r="I867">
        <v>1322.5451660000001</v>
      </c>
      <c r="J867">
        <v>1318.8956298999999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368.44099399999999</v>
      </c>
      <c r="B868" s="1">
        <f>DATE(2011,5,4) + TIME(10,35,1)</f>
        <v>40667.440983796296</v>
      </c>
      <c r="C868">
        <v>80</v>
      </c>
      <c r="D868">
        <v>79.938148498999993</v>
      </c>
      <c r="E868">
        <v>50</v>
      </c>
      <c r="F868">
        <v>49.473457336000003</v>
      </c>
      <c r="G868">
        <v>1346.6069336</v>
      </c>
      <c r="H868">
        <v>1342.1459961</v>
      </c>
      <c r="I868">
        <v>1322.5450439000001</v>
      </c>
      <c r="J868">
        <v>1318.8952637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368.554847</v>
      </c>
      <c r="B869" s="1">
        <f>DATE(2011,5,4) + TIME(13,18,58)</f>
        <v>40667.554837962962</v>
      </c>
      <c r="C869">
        <v>80</v>
      </c>
      <c r="D869">
        <v>79.942077636999997</v>
      </c>
      <c r="E869">
        <v>50</v>
      </c>
      <c r="F869">
        <v>49.460597991999997</v>
      </c>
      <c r="G869">
        <v>1346.5998535000001</v>
      </c>
      <c r="H869">
        <v>1342.1416016000001</v>
      </c>
      <c r="I869">
        <v>1322.5449219</v>
      </c>
      <c r="J869">
        <v>1318.8947754000001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368.67227400000002</v>
      </c>
      <c r="B870" s="1">
        <f>DATE(2011,5,4) + TIME(16,8,4)</f>
        <v>40667.672268518516</v>
      </c>
      <c r="C870">
        <v>80</v>
      </c>
      <c r="D870">
        <v>79.9453125</v>
      </c>
      <c r="E870">
        <v>50</v>
      </c>
      <c r="F870">
        <v>49.447414397999999</v>
      </c>
      <c r="G870">
        <v>1346.5920410000001</v>
      </c>
      <c r="H870">
        <v>1342.1368408000001</v>
      </c>
      <c r="I870">
        <v>1322.5445557</v>
      </c>
      <c r="J870">
        <v>1318.8942870999999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368.793633</v>
      </c>
      <c r="B871" s="1">
        <f>DATE(2011,5,4) + TIME(19,2,49)</f>
        <v>40667.793622685182</v>
      </c>
      <c r="C871">
        <v>80</v>
      </c>
      <c r="D871">
        <v>79.947982788000004</v>
      </c>
      <c r="E871">
        <v>50</v>
      </c>
      <c r="F871">
        <v>49.433872223000002</v>
      </c>
      <c r="G871">
        <v>1346.5834961</v>
      </c>
      <c r="H871">
        <v>1342.1314697</v>
      </c>
      <c r="I871">
        <v>1322.5441894999999</v>
      </c>
      <c r="J871">
        <v>1318.8935547000001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368.91839199999998</v>
      </c>
      <c r="B872" s="1">
        <f>DATE(2011,5,4) + TIME(22,2,29)</f>
        <v>40667.918391203704</v>
      </c>
      <c r="C872">
        <v>80</v>
      </c>
      <c r="D872">
        <v>79.950164795000006</v>
      </c>
      <c r="E872">
        <v>50</v>
      </c>
      <c r="F872">
        <v>49.420028686999999</v>
      </c>
      <c r="G872">
        <v>1346.5743408000001</v>
      </c>
      <c r="H872">
        <v>1342.1257324000001</v>
      </c>
      <c r="I872">
        <v>1322.5437012</v>
      </c>
      <c r="J872">
        <v>1318.8928223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369.04617500000001</v>
      </c>
      <c r="B873" s="1">
        <f>DATE(2011,5,5) + TIME(1,6,29)</f>
        <v>40668.046168981484</v>
      </c>
      <c r="C873">
        <v>80</v>
      </c>
      <c r="D873">
        <v>79.951927185000002</v>
      </c>
      <c r="E873">
        <v>50</v>
      </c>
      <c r="F873">
        <v>49.405914307000003</v>
      </c>
      <c r="G873">
        <v>1346.5645752</v>
      </c>
      <c r="H873">
        <v>1342.1196289</v>
      </c>
      <c r="I873">
        <v>1322.5430908000001</v>
      </c>
      <c r="J873">
        <v>1318.8919678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369.17726699999997</v>
      </c>
      <c r="B874" s="1">
        <f>DATE(2011,5,5) + TIME(4,15,15)</f>
        <v>40668.177256944444</v>
      </c>
      <c r="C874">
        <v>80</v>
      </c>
      <c r="D874">
        <v>79.953361510999997</v>
      </c>
      <c r="E874">
        <v>50</v>
      </c>
      <c r="F874">
        <v>49.391510009999998</v>
      </c>
      <c r="G874">
        <v>1346.5541992000001</v>
      </c>
      <c r="H874">
        <v>1342.1131591999999</v>
      </c>
      <c r="I874">
        <v>1322.5423584</v>
      </c>
      <c r="J874">
        <v>1318.8909911999999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369.31195300000002</v>
      </c>
      <c r="B875" s="1">
        <f>DATE(2011,5,5) + TIME(7,29,12)</f>
        <v>40668.311944444446</v>
      </c>
      <c r="C875">
        <v>80</v>
      </c>
      <c r="D875">
        <v>79.954513550000001</v>
      </c>
      <c r="E875">
        <v>50</v>
      </c>
      <c r="F875">
        <v>49.376785278</v>
      </c>
      <c r="G875">
        <v>1346.5433350000001</v>
      </c>
      <c r="H875">
        <v>1342.1063231999999</v>
      </c>
      <c r="I875">
        <v>1322.541626</v>
      </c>
      <c r="J875">
        <v>1318.8900146000001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369.45054599999997</v>
      </c>
      <c r="B876" s="1">
        <f>DATE(2011,5,5) + TIME(10,48,47)</f>
        <v>40668.450543981482</v>
      </c>
      <c r="C876">
        <v>80</v>
      </c>
      <c r="D876">
        <v>79.955451964999995</v>
      </c>
      <c r="E876">
        <v>50</v>
      </c>
      <c r="F876">
        <v>49.361717224000003</v>
      </c>
      <c r="G876">
        <v>1346.5319824000001</v>
      </c>
      <c r="H876">
        <v>1342.0992432</v>
      </c>
      <c r="I876">
        <v>1322.5407714999999</v>
      </c>
      <c r="J876">
        <v>1318.8889160000001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369.593391</v>
      </c>
      <c r="B877" s="1">
        <f>DATE(2011,5,5) + TIME(14,14,29)</f>
        <v>40668.593391203707</v>
      </c>
      <c r="C877">
        <v>80</v>
      </c>
      <c r="D877">
        <v>79.956199646000002</v>
      </c>
      <c r="E877">
        <v>50</v>
      </c>
      <c r="F877">
        <v>49.346271514999998</v>
      </c>
      <c r="G877">
        <v>1346.5201416</v>
      </c>
      <c r="H877">
        <v>1342.0917969</v>
      </c>
      <c r="I877">
        <v>1322.5399170000001</v>
      </c>
      <c r="J877">
        <v>1318.8878173999999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369.74087300000002</v>
      </c>
      <c r="B878" s="1">
        <f>DATE(2011,5,5) + TIME(17,46,51)</f>
        <v>40668.740868055553</v>
      </c>
      <c r="C878">
        <v>80</v>
      </c>
      <c r="D878">
        <v>79.956802367999998</v>
      </c>
      <c r="E878">
        <v>50</v>
      </c>
      <c r="F878">
        <v>49.330421448000003</v>
      </c>
      <c r="G878">
        <v>1346.5078125</v>
      </c>
      <c r="H878">
        <v>1342.0839844</v>
      </c>
      <c r="I878">
        <v>1322.5389404</v>
      </c>
      <c r="J878">
        <v>1318.8864745999999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369.89351599999998</v>
      </c>
      <c r="B879" s="1">
        <f>DATE(2011,5,5) + TIME(21,26,39)</f>
        <v>40668.893506944441</v>
      </c>
      <c r="C879">
        <v>80</v>
      </c>
      <c r="D879">
        <v>79.957290649000001</v>
      </c>
      <c r="E879">
        <v>50</v>
      </c>
      <c r="F879">
        <v>49.314113616999997</v>
      </c>
      <c r="G879">
        <v>1346.4948730000001</v>
      </c>
      <c r="H879">
        <v>1342.0760498</v>
      </c>
      <c r="I879">
        <v>1322.5379639</v>
      </c>
      <c r="J879">
        <v>1318.8852539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370.05188700000002</v>
      </c>
      <c r="B880" s="1">
        <f>DATE(2011,5,6) + TIME(1,14,43)</f>
        <v>40669.051886574074</v>
      </c>
      <c r="C880">
        <v>80</v>
      </c>
      <c r="D880">
        <v>79.957679748999993</v>
      </c>
      <c r="E880">
        <v>50</v>
      </c>
      <c r="F880">
        <v>49.297302246000001</v>
      </c>
      <c r="G880">
        <v>1346.4815673999999</v>
      </c>
      <c r="H880">
        <v>1342.067749</v>
      </c>
      <c r="I880">
        <v>1322.5368652</v>
      </c>
      <c r="J880">
        <v>1318.8837891000001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370.21385199999997</v>
      </c>
      <c r="B881" s="1">
        <f>DATE(2011,5,6) + TIME(5,7,56)</f>
        <v>40669.213842592595</v>
      </c>
      <c r="C881">
        <v>80</v>
      </c>
      <c r="D881">
        <v>79.957984924000002</v>
      </c>
      <c r="E881">
        <v>50</v>
      </c>
      <c r="F881">
        <v>49.280178069999998</v>
      </c>
      <c r="G881">
        <v>1346.4677733999999</v>
      </c>
      <c r="H881">
        <v>1342.059082</v>
      </c>
      <c r="I881">
        <v>1322.5357666</v>
      </c>
      <c r="J881">
        <v>1318.8823242000001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370.37809299999998</v>
      </c>
      <c r="B882" s="1">
        <f>DATE(2011,5,6) + TIME(9,4,27)</f>
        <v>40669.37809027778</v>
      </c>
      <c r="C882">
        <v>80</v>
      </c>
      <c r="D882">
        <v>79.958221436000002</v>
      </c>
      <c r="E882">
        <v>50</v>
      </c>
      <c r="F882">
        <v>49.262863158999998</v>
      </c>
      <c r="G882">
        <v>1346.4537353999999</v>
      </c>
      <c r="H882">
        <v>1342.0504149999999</v>
      </c>
      <c r="I882">
        <v>1322.5345459</v>
      </c>
      <c r="J882">
        <v>1318.8808594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370.54503899999997</v>
      </c>
      <c r="B883" s="1">
        <f>DATE(2011,5,6) + TIME(13,4,51)</f>
        <v>40669.545034722221</v>
      </c>
      <c r="C883">
        <v>80</v>
      </c>
      <c r="D883">
        <v>79.958404540999993</v>
      </c>
      <c r="E883">
        <v>50</v>
      </c>
      <c r="F883">
        <v>49.245326996000003</v>
      </c>
      <c r="G883">
        <v>1346.4394531</v>
      </c>
      <c r="H883">
        <v>1342.041626</v>
      </c>
      <c r="I883">
        <v>1322.5333252</v>
      </c>
      <c r="J883">
        <v>1318.8792725000001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370.71512100000001</v>
      </c>
      <c r="B884" s="1">
        <f>DATE(2011,5,6) + TIME(17,9,46)</f>
        <v>40669.715115740742</v>
      </c>
      <c r="C884">
        <v>80</v>
      </c>
      <c r="D884">
        <v>79.958541870000005</v>
      </c>
      <c r="E884">
        <v>50</v>
      </c>
      <c r="F884">
        <v>49.227531433000003</v>
      </c>
      <c r="G884">
        <v>1346.4250488</v>
      </c>
      <c r="H884">
        <v>1342.0327147999999</v>
      </c>
      <c r="I884">
        <v>1322.5319824000001</v>
      </c>
      <c r="J884">
        <v>1318.8776855000001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370.88879800000001</v>
      </c>
      <c r="B885" s="1">
        <f>DATE(2011,5,6) + TIME(21,19,52)</f>
        <v>40669.888796296298</v>
      </c>
      <c r="C885">
        <v>80</v>
      </c>
      <c r="D885">
        <v>79.958656310999999</v>
      </c>
      <c r="E885">
        <v>50</v>
      </c>
      <c r="F885">
        <v>49.209445952999999</v>
      </c>
      <c r="G885">
        <v>1346.4105225000001</v>
      </c>
      <c r="H885">
        <v>1342.0238036999999</v>
      </c>
      <c r="I885">
        <v>1322.5306396000001</v>
      </c>
      <c r="J885">
        <v>1318.8759766000001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371.06495000000001</v>
      </c>
      <c r="B886" s="1">
        <f>DATE(2011,5,7) + TIME(1,33,31)</f>
        <v>40670.064942129633</v>
      </c>
      <c r="C886">
        <v>80</v>
      </c>
      <c r="D886">
        <v>79.958732604999994</v>
      </c>
      <c r="E886">
        <v>50</v>
      </c>
      <c r="F886">
        <v>49.191165924000003</v>
      </c>
      <c r="G886">
        <v>1346.3957519999999</v>
      </c>
      <c r="H886">
        <v>1342.0147704999999</v>
      </c>
      <c r="I886">
        <v>1322.5292969</v>
      </c>
      <c r="J886">
        <v>1318.8742675999999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371.24249700000001</v>
      </c>
      <c r="B887" s="1">
        <f>DATE(2011,5,7) + TIME(5,49,11)</f>
        <v>40670.242488425924</v>
      </c>
      <c r="C887">
        <v>80</v>
      </c>
      <c r="D887">
        <v>79.958793639999996</v>
      </c>
      <c r="E887">
        <v>50</v>
      </c>
      <c r="F887">
        <v>49.172794342000003</v>
      </c>
      <c r="G887">
        <v>1346.3809814000001</v>
      </c>
      <c r="H887">
        <v>1342.0057373</v>
      </c>
      <c r="I887">
        <v>1322.5279541</v>
      </c>
      <c r="J887">
        <v>1318.8725586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371.421784</v>
      </c>
      <c r="B888" s="1">
        <f>DATE(2011,5,7) + TIME(10,7,22)</f>
        <v>40670.421782407408</v>
      </c>
      <c r="C888">
        <v>80</v>
      </c>
      <c r="D888">
        <v>79.958839416999993</v>
      </c>
      <c r="E888">
        <v>50</v>
      </c>
      <c r="F888">
        <v>49.154304504000002</v>
      </c>
      <c r="G888">
        <v>1346.3662108999999</v>
      </c>
      <c r="H888">
        <v>1341.9968262</v>
      </c>
      <c r="I888">
        <v>1322.5264893000001</v>
      </c>
      <c r="J888">
        <v>1318.8708495999999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371.60314499999998</v>
      </c>
      <c r="B889" s="1">
        <f>DATE(2011,5,7) + TIME(14,28,31)</f>
        <v>40670.603136574071</v>
      </c>
      <c r="C889">
        <v>80</v>
      </c>
      <c r="D889">
        <v>79.958862304999997</v>
      </c>
      <c r="E889">
        <v>50</v>
      </c>
      <c r="F889">
        <v>49.135677338000001</v>
      </c>
      <c r="G889">
        <v>1346.3515625</v>
      </c>
      <c r="H889">
        <v>1341.987793</v>
      </c>
      <c r="I889">
        <v>1322.5250243999999</v>
      </c>
      <c r="J889">
        <v>1318.8690185999999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371.78695399999998</v>
      </c>
      <c r="B890" s="1">
        <f>DATE(2011,5,7) + TIME(18,53,12)</f>
        <v>40670.786944444444</v>
      </c>
      <c r="C890">
        <v>80</v>
      </c>
      <c r="D890">
        <v>79.958877563000001</v>
      </c>
      <c r="E890">
        <v>50</v>
      </c>
      <c r="F890">
        <v>49.116878509999999</v>
      </c>
      <c r="G890">
        <v>1346.3369141000001</v>
      </c>
      <c r="H890">
        <v>1341.9790039</v>
      </c>
      <c r="I890">
        <v>1322.5235596</v>
      </c>
      <c r="J890">
        <v>1318.8671875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371.97359</v>
      </c>
      <c r="B891" s="1">
        <f>DATE(2011,5,7) + TIME(23,21,58)</f>
        <v>40670.973587962966</v>
      </c>
      <c r="C891">
        <v>80</v>
      </c>
      <c r="D891">
        <v>79.958885193</v>
      </c>
      <c r="E891">
        <v>50</v>
      </c>
      <c r="F891">
        <v>49.097888947000001</v>
      </c>
      <c r="G891">
        <v>1346.3221435999999</v>
      </c>
      <c r="H891">
        <v>1341.9700928</v>
      </c>
      <c r="I891">
        <v>1322.5220947</v>
      </c>
      <c r="J891">
        <v>1318.8653564000001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372.16337399999998</v>
      </c>
      <c r="B892" s="1">
        <f>DATE(2011,5,8) + TIME(3,55,15)</f>
        <v>40671.163368055553</v>
      </c>
      <c r="C892">
        <v>80</v>
      </c>
      <c r="D892">
        <v>79.958885193</v>
      </c>
      <c r="E892">
        <v>50</v>
      </c>
      <c r="F892">
        <v>49.078674315999997</v>
      </c>
      <c r="G892">
        <v>1346.3074951000001</v>
      </c>
      <c r="H892">
        <v>1341.9611815999999</v>
      </c>
      <c r="I892">
        <v>1322.5206298999999</v>
      </c>
      <c r="J892">
        <v>1318.8634033000001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372.356697</v>
      </c>
      <c r="B893" s="1">
        <f>DATE(2011,5,8) + TIME(8,33,38)</f>
        <v>40671.356689814813</v>
      </c>
      <c r="C893">
        <v>80</v>
      </c>
      <c r="D893">
        <v>79.958877563000001</v>
      </c>
      <c r="E893">
        <v>50</v>
      </c>
      <c r="F893">
        <v>49.059207915999998</v>
      </c>
      <c r="G893">
        <v>1346.2927245999999</v>
      </c>
      <c r="H893">
        <v>1341.9523925999999</v>
      </c>
      <c r="I893">
        <v>1322.519043</v>
      </c>
      <c r="J893">
        <v>1318.8615723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372.55426199999999</v>
      </c>
      <c r="B894" s="1">
        <f>DATE(2011,5,8) + TIME(13,18,8)</f>
        <v>40671.554259259261</v>
      </c>
      <c r="C894">
        <v>80</v>
      </c>
      <c r="D894">
        <v>79.958862304999997</v>
      </c>
      <c r="E894">
        <v>50</v>
      </c>
      <c r="F894">
        <v>49.039436340000002</v>
      </c>
      <c r="G894">
        <v>1346.277832</v>
      </c>
      <c r="H894">
        <v>1341.9434814000001</v>
      </c>
      <c r="I894">
        <v>1322.5174560999999</v>
      </c>
      <c r="J894">
        <v>1318.8594971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372.75656900000001</v>
      </c>
      <c r="B895" s="1">
        <f>DATE(2011,5,8) + TIME(18,9,27)</f>
        <v>40671.756562499999</v>
      </c>
      <c r="C895">
        <v>80</v>
      </c>
      <c r="D895">
        <v>79.958839416999993</v>
      </c>
      <c r="E895">
        <v>50</v>
      </c>
      <c r="F895">
        <v>49.019317627</v>
      </c>
      <c r="G895">
        <v>1346.2629394999999</v>
      </c>
      <c r="H895">
        <v>1341.9345702999999</v>
      </c>
      <c r="I895">
        <v>1322.5157471</v>
      </c>
      <c r="J895">
        <v>1318.8575439000001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372.964158</v>
      </c>
      <c r="B896" s="1">
        <f>DATE(2011,5,8) + TIME(23,8,23)</f>
        <v>40671.964155092595</v>
      </c>
      <c r="C896">
        <v>80</v>
      </c>
      <c r="D896">
        <v>79.958816528</v>
      </c>
      <c r="E896">
        <v>50</v>
      </c>
      <c r="F896">
        <v>48.998806000000002</v>
      </c>
      <c r="G896">
        <v>1346.2479248</v>
      </c>
      <c r="H896">
        <v>1341.9256591999999</v>
      </c>
      <c r="I896">
        <v>1322.5141602000001</v>
      </c>
      <c r="J896">
        <v>1318.8554687999999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373.17762199999999</v>
      </c>
      <c r="B897" s="1">
        <f>DATE(2011,5,9) + TIME(4,15,46)</f>
        <v>40672.177615740744</v>
      </c>
      <c r="C897">
        <v>80</v>
      </c>
      <c r="D897">
        <v>79.958793639999996</v>
      </c>
      <c r="E897">
        <v>50</v>
      </c>
      <c r="F897">
        <v>48.977859496999997</v>
      </c>
      <c r="G897">
        <v>1346.2327881000001</v>
      </c>
      <c r="H897">
        <v>1341.916626</v>
      </c>
      <c r="I897">
        <v>1322.5124512</v>
      </c>
      <c r="J897">
        <v>1318.8532714999999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373.39469100000002</v>
      </c>
      <c r="B898" s="1">
        <f>DATE(2011,5,9) + TIME(9,28,21)</f>
        <v>40672.394687499997</v>
      </c>
      <c r="C898">
        <v>80</v>
      </c>
      <c r="D898">
        <v>79.958755492999998</v>
      </c>
      <c r="E898">
        <v>50</v>
      </c>
      <c r="F898">
        <v>48.956645966000004</v>
      </c>
      <c r="G898">
        <v>1346.2174072</v>
      </c>
      <c r="H898">
        <v>1341.9075928</v>
      </c>
      <c r="I898">
        <v>1322.5106201000001</v>
      </c>
      <c r="J898">
        <v>1318.8510742000001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373.61471399999999</v>
      </c>
      <c r="B899" s="1">
        <f>DATE(2011,5,9) + TIME(14,45,11)</f>
        <v>40672.614710648151</v>
      </c>
      <c r="C899">
        <v>80</v>
      </c>
      <c r="D899">
        <v>79.958724975999999</v>
      </c>
      <c r="E899">
        <v>50</v>
      </c>
      <c r="F899">
        <v>48.935230255</v>
      </c>
      <c r="G899">
        <v>1346.2021483999999</v>
      </c>
      <c r="H899">
        <v>1341.8985596</v>
      </c>
      <c r="I899">
        <v>1322.5087891000001</v>
      </c>
      <c r="J899">
        <v>1318.8488769999999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373.83811600000001</v>
      </c>
      <c r="B900" s="1">
        <f>DATE(2011,5,9) + TIME(20,6,53)</f>
        <v>40672.838113425925</v>
      </c>
      <c r="C900">
        <v>80</v>
      </c>
      <c r="D900">
        <v>79.958686829000001</v>
      </c>
      <c r="E900">
        <v>50</v>
      </c>
      <c r="F900">
        <v>48.913578033</v>
      </c>
      <c r="G900">
        <v>1346.1868896000001</v>
      </c>
      <c r="H900">
        <v>1341.8896483999999</v>
      </c>
      <c r="I900">
        <v>1322.5069579999999</v>
      </c>
      <c r="J900">
        <v>1318.8465576000001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374.06533400000001</v>
      </c>
      <c r="B901" s="1">
        <f>DATE(2011,5,10) + TIME(1,34,4)</f>
        <v>40673.065324074072</v>
      </c>
      <c r="C901">
        <v>80</v>
      </c>
      <c r="D901">
        <v>79.958648682000003</v>
      </c>
      <c r="E901">
        <v>50</v>
      </c>
      <c r="F901">
        <v>48.891670226999999</v>
      </c>
      <c r="G901">
        <v>1346.1716309000001</v>
      </c>
      <c r="H901">
        <v>1341.8806152</v>
      </c>
      <c r="I901">
        <v>1322.5051269999999</v>
      </c>
      <c r="J901">
        <v>1318.8442382999999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374.29673300000002</v>
      </c>
      <c r="B902" s="1">
        <f>DATE(2011,5,10) + TIME(7,7,17)</f>
        <v>40673.296724537038</v>
      </c>
      <c r="C902">
        <v>80</v>
      </c>
      <c r="D902">
        <v>79.958610535000005</v>
      </c>
      <c r="E902">
        <v>50</v>
      </c>
      <c r="F902">
        <v>48.869476317999997</v>
      </c>
      <c r="G902">
        <v>1346.1563721</v>
      </c>
      <c r="H902">
        <v>1341.8717041</v>
      </c>
      <c r="I902">
        <v>1322.5031738</v>
      </c>
      <c r="J902">
        <v>1318.8419189000001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374.53276599999998</v>
      </c>
      <c r="B903" s="1">
        <f>DATE(2011,5,10) + TIME(12,47,11)</f>
        <v>40673.532766203702</v>
      </c>
      <c r="C903">
        <v>80</v>
      </c>
      <c r="D903">
        <v>79.958564757999994</v>
      </c>
      <c r="E903">
        <v>50</v>
      </c>
      <c r="F903">
        <v>48.846965789999999</v>
      </c>
      <c r="G903">
        <v>1346.1411132999999</v>
      </c>
      <c r="H903">
        <v>1341.8629149999999</v>
      </c>
      <c r="I903">
        <v>1322.5012207</v>
      </c>
      <c r="J903">
        <v>1318.8394774999999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374.77392600000002</v>
      </c>
      <c r="B904" s="1">
        <f>DATE(2011,5,10) + TIME(18,34,27)</f>
        <v>40673.773923611108</v>
      </c>
      <c r="C904">
        <v>80</v>
      </c>
      <c r="D904">
        <v>79.958518982000001</v>
      </c>
      <c r="E904">
        <v>50</v>
      </c>
      <c r="F904">
        <v>48.824108123999999</v>
      </c>
      <c r="G904">
        <v>1346.1258545000001</v>
      </c>
      <c r="H904">
        <v>1341.8540039</v>
      </c>
      <c r="I904">
        <v>1322.4991454999999</v>
      </c>
      <c r="J904">
        <v>1318.8370361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375.02079300000003</v>
      </c>
      <c r="B905" s="1">
        <f>DATE(2011,5,11) + TIME(0,29,56)</f>
        <v>40674.020787037036</v>
      </c>
      <c r="C905">
        <v>80</v>
      </c>
      <c r="D905">
        <v>79.958473205999994</v>
      </c>
      <c r="E905">
        <v>50</v>
      </c>
      <c r="F905">
        <v>48.800861359000002</v>
      </c>
      <c r="G905">
        <v>1346.1104736</v>
      </c>
      <c r="H905">
        <v>1341.8450928</v>
      </c>
      <c r="I905">
        <v>1322.4970702999999</v>
      </c>
      <c r="J905">
        <v>1318.8344727000001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375.27446300000003</v>
      </c>
      <c r="B906" s="1">
        <f>DATE(2011,5,11) + TIME(6,35,13)</f>
        <v>40674.274456018517</v>
      </c>
      <c r="C906">
        <v>80</v>
      </c>
      <c r="D906">
        <v>79.958427428999997</v>
      </c>
      <c r="E906">
        <v>50</v>
      </c>
      <c r="F906">
        <v>48.777141571000001</v>
      </c>
      <c r="G906">
        <v>1346.0950928</v>
      </c>
      <c r="H906">
        <v>1341.8361815999999</v>
      </c>
      <c r="I906">
        <v>1322.4949951000001</v>
      </c>
      <c r="J906">
        <v>1318.8317870999999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375.53566799999999</v>
      </c>
      <c r="B907" s="1">
        <f>DATE(2011,5,11) + TIME(12,51,21)</f>
        <v>40674.53565972222</v>
      </c>
      <c r="C907">
        <v>80</v>
      </c>
      <c r="D907">
        <v>79.958381653000004</v>
      </c>
      <c r="E907">
        <v>50</v>
      </c>
      <c r="F907">
        <v>48.752895355</v>
      </c>
      <c r="G907">
        <v>1346.0794678</v>
      </c>
      <c r="H907">
        <v>1341.8271483999999</v>
      </c>
      <c r="I907">
        <v>1322.4927978999999</v>
      </c>
      <c r="J907">
        <v>1318.8291016000001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375.80523599999998</v>
      </c>
      <c r="B908" s="1">
        <f>DATE(2011,5,11) + TIME(19,19,32)</f>
        <v>40674.805231481485</v>
      </c>
      <c r="C908">
        <v>80</v>
      </c>
      <c r="D908">
        <v>79.958328246999997</v>
      </c>
      <c r="E908">
        <v>50</v>
      </c>
      <c r="F908">
        <v>48.728065491000002</v>
      </c>
      <c r="G908">
        <v>1346.0637207</v>
      </c>
      <c r="H908">
        <v>1341.8181152</v>
      </c>
      <c r="I908">
        <v>1322.4906006000001</v>
      </c>
      <c r="J908">
        <v>1318.8262939000001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376.07780400000001</v>
      </c>
      <c r="B909" s="1">
        <f>DATE(2011,5,12) + TIME(1,52,2)</f>
        <v>40675.077800925923</v>
      </c>
      <c r="C909">
        <v>80</v>
      </c>
      <c r="D909">
        <v>79.958282471000004</v>
      </c>
      <c r="E909">
        <v>50</v>
      </c>
      <c r="F909">
        <v>48.703014373999999</v>
      </c>
      <c r="G909">
        <v>1346.0478516000001</v>
      </c>
      <c r="H909">
        <v>1341.8089600000001</v>
      </c>
      <c r="I909">
        <v>1322.4881591999999</v>
      </c>
      <c r="J909">
        <v>1318.8233643000001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376.352081</v>
      </c>
      <c r="B910" s="1">
        <f>DATE(2011,5,12) + TIME(8,26,59)</f>
        <v>40675.352071759262</v>
      </c>
      <c r="C910">
        <v>80</v>
      </c>
      <c r="D910">
        <v>79.958229064999998</v>
      </c>
      <c r="E910">
        <v>50</v>
      </c>
      <c r="F910">
        <v>48.677860260000003</v>
      </c>
      <c r="G910">
        <v>1346.0321045000001</v>
      </c>
      <c r="H910">
        <v>1341.7999268000001</v>
      </c>
      <c r="I910">
        <v>1322.4858397999999</v>
      </c>
      <c r="J910">
        <v>1318.8204346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376.62862999999999</v>
      </c>
      <c r="B911" s="1">
        <f>DATE(2011,5,12) + TIME(15,5,13)</f>
        <v>40675.628622685188</v>
      </c>
      <c r="C911">
        <v>80</v>
      </c>
      <c r="D911">
        <v>79.958175659000005</v>
      </c>
      <c r="E911">
        <v>50</v>
      </c>
      <c r="F911">
        <v>48.652584075999997</v>
      </c>
      <c r="G911">
        <v>1346.0164795000001</v>
      </c>
      <c r="H911">
        <v>1341.7908935999999</v>
      </c>
      <c r="I911">
        <v>1322.4833983999999</v>
      </c>
      <c r="J911">
        <v>1318.8175048999999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376.90803799999998</v>
      </c>
      <c r="B912" s="1">
        <f>DATE(2011,5,12) + TIME(21,47,34)</f>
        <v>40675.908032407409</v>
      </c>
      <c r="C912">
        <v>80</v>
      </c>
      <c r="D912">
        <v>79.958122252999999</v>
      </c>
      <c r="E912">
        <v>50</v>
      </c>
      <c r="F912">
        <v>48.627159118999998</v>
      </c>
      <c r="G912">
        <v>1346.0009766000001</v>
      </c>
      <c r="H912">
        <v>1341.7821045000001</v>
      </c>
      <c r="I912">
        <v>1322.480957</v>
      </c>
      <c r="J912">
        <v>1318.8144531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377.19126599999998</v>
      </c>
      <c r="B913" s="1">
        <f>DATE(2011,5,13) + TIME(4,35,25)</f>
        <v>40676.191261574073</v>
      </c>
      <c r="C913">
        <v>80</v>
      </c>
      <c r="D913">
        <v>79.958076477000006</v>
      </c>
      <c r="E913">
        <v>50</v>
      </c>
      <c r="F913">
        <v>48.601531981999997</v>
      </c>
      <c r="G913">
        <v>1345.9855957</v>
      </c>
      <c r="H913">
        <v>1341.7733154</v>
      </c>
      <c r="I913">
        <v>1322.4785156</v>
      </c>
      <c r="J913">
        <v>1318.8114014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377.47911199999999</v>
      </c>
      <c r="B914" s="1">
        <f>DATE(2011,5,13) + TIME(11,29,55)</f>
        <v>40676.479108796295</v>
      </c>
      <c r="C914">
        <v>80</v>
      </c>
      <c r="D914">
        <v>79.958023071</v>
      </c>
      <c r="E914">
        <v>50</v>
      </c>
      <c r="F914">
        <v>48.575649261000002</v>
      </c>
      <c r="G914">
        <v>1345.9703368999999</v>
      </c>
      <c r="H914">
        <v>1341.7646483999999</v>
      </c>
      <c r="I914">
        <v>1322.4759521000001</v>
      </c>
      <c r="J914">
        <v>1318.8083495999999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377.77226200000001</v>
      </c>
      <c r="B915" s="1">
        <f>DATE(2011,5,13) + TIME(18,32,3)</f>
        <v>40676.772256944445</v>
      </c>
      <c r="C915">
        <v>80</v>
      </c>
      <c r="D915">
        <v>79.957969665999997</v>
      </c>
      <c r="E915">
        <v>50</v>
      </c>
      <c r="F915">
        <v>48.549468994000001</v>
      </c>
      <c r="G915">
        <v>1345.9550781</v>
      </c>
      <c r="H915">
        <v>1341.7559814000001</v>
      </c>
      <c r="I915">
        <v>1322.4733887</v>
      </c>
      <c r="J915">
        <v>1318.8050536999999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378.07144499999998</v>
      </c>
      <c r="B916" s="1">
        <f>DATE(2011,5,14) + TIME(1,42,52)</f>
        <v>40677.071435185186</v>
      </c>
      <c r="C916">
        <v>80</v>
      </c>
      <c r="D916">
        <v>79.957916260000005</v>
      </c>
      <c r="E916">
        <v>50</v>
      </c>
      <c r="F916">
        <v>48.522945403999998</v>
      </c>
      <c r="G916">
        <v>1345.9398193</v>
      </c>
      <c r="H916">
        <v>1341.7474365</v>
      </c>
      <c r="I916">
        <v>1322.4708252</v>
      </c>
      <c r="J916">
        <v>1318.8018798999999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378.37745000000001</v>
      </c>
      <c r="B917" s="1">
        <f>DATE(2011,5,14) + TIME(9,3,31)</f>
        <v>40677.377442129633</v>
      </c>
      <c r="C917">
        <v>80</v>
      </c>
      <c r="D917">
        <v>79.957862853999998</v>
      </c>
      <c r="E917">
        <v>50</v>
      </c>
      <c r="F917">
        <v>48.496013640999998</v>
      </c>
      <c r="G917">
        <v>1345.9245605000001</v>
      </c>
      <c r="H917">
        <v>1341.7387695</v>
      </c>
      <c r="I917">
        <v>1322.4680175999999</v>
      </c>
      <c r="J917">
        <v>1318.7984618999999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378.69118400000002</v>
      </c>
      <c r="B918" s="1">
        <f>DATE(2011,5,14) + TIME(16,35,18)</f>
        <v>40677.691180555557</v>
      </c>
      <c r="C918">
        <v>80</v>
      </c>
      <c r="D918">
        <v>79.957809448000006</v>
      </c>
      <c r="E918">
        <v>50</v>
      </c>
      <c r="F918">
        <v>48.468624114999997</v>
      </c>
      <c r="G918">
        <v>1345.9091797000001</v>
      </c>
      <c r="H918">
        <v>1341.7301024999999</v>
      </c>
      <c r="I918">
        <v>1322.465332</v>
      </c>
      <c r="J918">
        <v>1318.7950439000001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379.01211000000001</v>
      </c>
      <c r="B919" s="1">
        <f>DATE(2011,5,15) + TIME(0,17,26)</f>
        <v>40678.012106481481</v>
      </c>
      <c r="C919">
        <v>80</v>
      </c>
      <c r="D919">
        <v>79.957756042</v>
      </c>
      <c r="E919">
        <v>50</v>
      </c>
      <c r="F919">
        <v>48.440795897999998</v>
      </c>
      <c r="G919">
        <v>1345.8936768000001</v>
      </c>
      <c r="H919">
        <v>1341.7213135</v>
      </c>
      <c r="I919">
        <v>1322.4624022999999</v>
      </c>
      <c r="J919">
        <v>1318.7915039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379.33518299999997</v>
      </c>
      <c r="B920" s="1">
        <f>DATE(2011,5,15) + TIME(8,2,39)</f>
        <v>40678.335173611114</v>
      </c>
      <c r="C920">
        <v>80</v>
      </c>
      <c r="D920">
        <v>79.957702636999997</v>
      </c>
      <c r="E920">
        <v>50</v>
      </c>
      <c r="F920">
        <v>48.412845611999998</v>
      </c>
      <c r="G920">
        <v>1345.8781738</v>
      </c>
      <c r="H920">
        <v>1341.7126464999999</v>
      </c>
      <c r="I920">
        <v>1322.4594727000001</v>
      </c>
      <c r="J920">
        <v>1318.7878418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379.66101600000002</v>
      </c>
      <c r="B921" s="1">
        <f>DATE(2011,5,15) + TIME(15,51,51)</f>
        <v>40678.661006944443</v>
      </c>
      <c r="C921">
        <v>80</v>
      </c>
      <c r="D921">
        <v>79.957649231000005</v>
      </c>
      <c r="E921">
        <v>50</v>
      </c>
      <c r="F921">
        <v>48.384769439999999</v>
      </c>
      <c r="G921">
        <v>1345.862793</v>
      </c>
      <c r="H921">
        <v>1341.7039795000001</v>
      </c>
      <c r="I921">
        <v>1322.456543</v>
      </c>
      <c r="J921">
        <v>1318.7840576000001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379.99018999999998</v>
      </c>
      <c r="B922" s="1">
        <f>DATE(2011,5,15) + TIME(23,45,52)</f>
        <v>40678.990185185183</v>
      </c>
      <c r="C922">
        <v>80</v>
      </c>
      <c r="D922">
        <v>79.957595824999999</v>
      </c>
      <c r="E922">
        <v>50</v>
      </c>
      <c r="F922">
        <v>48.356548308999997</v>
      </c>
      <c r="G922">
        <v>1345.8475341999999</v>
      </c>
      <c r="H922">
        <v>1341.6955565999999</v>
      </c>
      <c r="I922">
        <v>1322.4534911999999</v>
      </c>
      <c r="J922">
        <v>1318.7803954999999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380.32330200000001</v>
      </c>
      <c r="B923" s="1">
        <f>DATE(2011,5,16) + TIME(7,45,33)</f>
        <v>40679.323298611111</v>
      </c>
      <c r="C923">
        <v>80</v>
      </c>
      <c r="D923">
        <v>79.957542419000006</v>
      </c>
      <c r="E923">
        <v>50</v>
      </c>
      <c r="F923">
        <v>48.328159331999998</v>
      </c>
      <c r="G923">
        <v>1345.8323975000001</v>
      </c>
      <c r="H923">
        <v>1341.6870117000001</v>
      </c>
      <c r="I923">
        <v>1322.4504394999999</v>
      </c>
      <c r="J923">
        <v>1318.7764893000001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380.66110900000001</v>
      </c>
      <c r="B924" s="1">
        <f>DATE(2011,5,16) + TIME(15,51,59)</f>
        <v>40679.661099537036</v>
      </c>
      <c r="C924">
        <v>80</v>
      </c>
      <c r="D924">
        <v>79.957489014000004</v>
      </c>
      <c r="E924">
        <v>50</v>
      </c>
      <c r="F924">
        <v>48.299556731999999</v>
      </c>
      <c r="G924">
        <v>1345.8173827999999</v>
      </c>
      <c r="H924">
        <v>1341.6785889</v>
      </c>
      <c r="I924">
        <v>1322.4472656</v>
      </c>
      <c r="J924">
        <v>1318.7725829999999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381.00414699999999</v>
      </c>
      <c r="B925" s="1">
        <f>DATE(2011,5,17) + TIME(0,5,58)</f>
        <v>40680.004143518519</v>
      </c>
      <c r="C925">
        <v>80</v>
      </c>
      <c r="D925">
        <v>79.957435607999997</v>
      </c>
      <c r="E925">
        <v>50</v>
      </c>
      <c r="F925">
        <v>48.270713806000003</v>
      </c>
      <c r="G925">
        <v>1345.8023682</v>
      </c>
      <c r="H925">
        <v>1341.6702881000001</v>
      </c>
      <c r="I925">
        <v>1322.4440918</v>
      </c>
      <c r="J925">
        <v>1318.7685547000001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381.35395599999998</v>
      </c>
      <c r="B926" s="1">
        <f>DATE(2011,5,17) + TIME(8,29,41)</f>
        <v>40680.353946759256</v>
      </c>
      <c r="C926">
        <v>80</v>
      </c>
      <c r="D926">
        <v>79.957389832000004</v>
      </c>
      <c r="E926">
        <v>50</v>
      </c>
      <c r="F926">
        <v>48.241535186999997</v>
      </c>
      <c r="G926">
        <v>1345.7874756000001</v>
      </c>
      <c r="H926">
        <v>1341.6618652</v>
      </c>
      <c r="I926">
        <v>1322.4407959</v>
      </c>
      <c r="J926">
        <v>1318.7645264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381.711524</v>
      </c>
      <c r="B927" s="1">
        <f>DATE(2011,5,17) + TIME(17,4,35)</f>
        <v>40680.711516203701</v>
      </c>
      <c r="C927">
        <v>80</v>
      </c>
      <c r="D927">
        <v>79.957336425999998</v>
      </c>
      <c r="E927">
        <v>50</v>
      </c>
      <c r="F927">
        <v>48.211959839000002</v>
      </c>
      <c r="G927">
        <v>1345.7724608999999</v>
      </c>
      <c r="H927">
        <v>1341.6535644999999</v>
      </c>
      <c r="I927">
        <v>1322.4375</v>
      </c>
      <c r="J927">
        <v>1318.7602539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382.077811</v>
      </c>
      <c r="B928" s="1">
        <f>DATE(2011,5,18) + TIME(1,52,2)</f>
        <v>40681.077800925923</v>
      </c>
      <c r="C928">
        <v>80</v>
      </c>
      <c r="D928">
        <v>79.957283020000006</v>
      </c>
      <c r="E928">
        <v>50</v>
      </c>
      <c r="F928">
        <v>48.181919098000002</v>
      </c>
      <c r="G928">
        <v>1345.7573242000001</v>
      </c>
      <c r="H928">
        <v>1341.6451416</v>
      </c>
      <c r="I928">
        <v>1322.4339600000001</v>
      </c>
      <c r="J928">
        <v>1318.7559814000001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382.45386000000002</v>
      </c>
      <c r="B929" s="1">
        <f>DATE(2011,5,18) + TIME(10,53,33)</f>
        <v>40681.45385416667</v>
      </c>
      <c r="C929">
        <v>80</v>
      </c>
      <c r="D929">
        <v>79.957229613999999</v>
      </c>
      <c r="E929">
        <v>50</v>
      </c>
      <c r="F929">
        <v>48.151348114000001</v>
      </c>
      <c r="G929">
        <v>1345.7421875</v>
      </c>
      <c r="H929">
        <v>1341.6367187999999</v>
      </c>
      <c r="I929">
        <v>1322.4304199000001</v>
      </c>
      <c r="J929">
        <v>1318.7514647999999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382.83232800000002</v>
      </c>
      <c r="B930" s="1">
        <f>DATE(2011,5,18) + TIME(19,58,33)</f>
        <v>40681.832326388889</v>
      </c>
      <c r="C930">
        <v>80</v>
      </c>
      <c r="D930">
        <v>79.957176208000007</v>
      </c>
      <c r="E930">
        <v>50</v>
      </c>
      <c r="F930">
        <v>48.120651244999998</v>
      </c>
      <c r="G930">
        <v>1345.7268065999999</v>
      </c>
      <c r="H930">
        <v>1341.6282959</v>
      </c>
      <c r="I930">
        <v>1322.4267577999999</v>
      </c>
      <c r="J930">
        <v>1318.7468262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383.21338300000002</v>
      </c>
      <c r="B931" s="1">
        <f>DATE(2011,5,19) + TIME(5,7,16)</f>
        <v>40682.213379629633</v>
      </c>
      <c r="C931">
        <v>80</v>
      </c>
      <c r="D931">
        <v>79.957122803000004</v>
      </c>
      <c r="E931">
        <v>50</v>
      </c>
      <c r="F931">
        <v>48.089851379000002</v>
      </c>
      <c r="G931">
        <v>1345.7116699000001</v>
      </c>
      <c r="H931">
        <v>1341.6198730000001</v>
      </c>
      <c r="I931">
        <v>1322.4229736</v>
      </c>
      <c r="J931">
        <v>1318.7421875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383.59871199999998</v>
      </c>
      <c r="B932" s="1">
        <f>DATE(2011,5,19) + TIME(14,22,8)</f>
        <v>40682.598703703705</v>
      </c>
      <c r="C932">
        <v>80</v>
      </c>
      <c r="D932">
        <v>79.957069396999998</v>
      </c>
      <c r="E932">
        <v>50</v>
      </c>
      <c r="F932">
        <v>48.058895110999998</v>
      </c>
      <c r="G932">
        <v>1345.6966553</v>
      </c>
      <c r="H932">
        <v>1341.6115723</v>
      </c>
      <c r="I932">
        <v>1322.4191894999999</v>
      </c>
      <c r="J932">
        <v>1318.7374268000001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383.98952600000001</v>
      </c>
      <c r="B933" s="1">
        <f>DATE(2011,5,19) + TIME(23,44,55)</f>
        <v>40682.989525462966</v>
      </c>
      <c r="C933">
        <v>80</v>
      </c>
      <c r="D933">
        <v>79.957015991000006</v>
      </c>
      <c r="E933">
        <v>50</v>
      </c>
      <c r="F933">
        <v>48.027725220000001</v>
      </c>
      <c r="G933">
        <v>1345.6817627</v>
      </c>
      <c r="H933">
        <v>1341.6032714999999</v>
      </c>
      <c r="I933">
        <v>1322.4154053</v>
      </c>
      <c r="J933">
        <v>1318.7325439000001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384.38662099999999</v>
      </c>
      <c r="B934" s="1">
        <f>DATE(2011,5,20) + TIME(9,16,44)</f>
        <v>40683.386620370373</v>
      </c>
      <c r="C934">
        <v>80</v>
      </c>
      <c r="D934">
        <v>79.956970214999998</v>
      </c>
      <c r="E934">
        <v>50</v>
      </c>
      <c r="F934">
        <v>47.996295928999999</v>
      </c>
      <c r="G934">
        <v>1345.6668701000001</v>
      </c>
      <c r="H934">
        <v>1341.5950928</v>
      </c>
      <c r="I934">
        <v>1322.411499</v>
      </c>
      <c r="J934">
        <v>1318.7275391000001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384.79103800000001</v>
      </c>
      <c r="B935" s="1">
        <f>DATE(2011,5,20) + TIME(18,59,5)</f>
        <v>40683.791030092594</v>
      </c>
      <c r="C935">
        <v>80</v>
      </c>
      <c r="D935">
        <v>79.956916809000006</v>
      </c>
      <c r="E935">
        <v>50</v>
      </c>
      <c r="F935">
        <v>47.964546204000001</v>
      </c>
      <c r="G935">
        <v>1345.6519774999999</v>
      </c>
      <c r="H935">
        <v>1341.5867920000001</v>
      </c>
      <c r="I935">
        <v>1322.4073486</v>
      </c>
      <c r="J935">
        <v>1318.7224120999999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385.20388800000001</v>
      </c>
      <c r="B936" s="1">
        <f>DATE(2011,5,21) + TIME(4,53,35)</f>
        <v>40684.203877314816</v>
      </c>
      <c r="C936">
        <v>80</v>
      </c>
      <c r="D936">
        <v>79.956863403</v>
      </c>
      <c r="E936">
        <v>50</v>
      </c>
      <c r="F936">
        <v>47.932418822999999</v>
      </c>
      <c r="G936">
        <v>1345.6370850000001</v>
      </c>
      <c r="H936">
        <v>1341.5786132999999</v>
      </c>
      <c r="I936">
        <v>1322.4031981999999</v>
      </c>
      <c r="J936">
        <v>1318.7171631000001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385.626352</v>
      </c>
      <c r="B937" s="1">
        <f>DATE(2011,5,21) + TIME(15,1,56)</f>
        <v>40684.626342592594</v>
      </c>
      <c r="C937">
        <v>80</v>
      </c>
      <c r="D937">
        <v>79.956809997999997</v>
      </c>
      <c r="E937">
        <v>50</v>
      </c>
      <c r="F937">
        <v>47.899837494000003</v>
      </c>
      <c r="G937">
        <v>1345.6220702999999</v>
      </c>
      <c r="H937">
        <v>1341.5703125</v>
      </c>
      <c r="I937">
        <v>1322.3989257999999</v>
      </c>
      <c r="J937">
        <v>1318.7117920000001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386.05971299999999</v>
      </c>
      <c r="B938" s="1">
        <f>DATE(2011,5,22) + TIME(1,25,59)</f>
        <v>40685.059710648151</v>
      </c>
      <c r="C938">
        <v>80</v>
      </c>
      <c r="D938">
        <v>79.956764221</v>
      </c>
      <c r="E938">
        <v>50</v>
      </c>
      <c r="F938">
        <v>47.866725922000001</v>
      </c>
      <c r="G938">
        <v>1345.6069336</v>
      </c>
      <c r="H938">
        <v>1341.5620117000001</v>
      </c>
      <c r="I938">
        <v>1322.3945312000001</v>
      </c>
      <c r="J938">
        <v>1318.7061768000001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386.50402000000003</v>
      </c>
      <c r="B939" s="1">
        <f>DATE(2011,5,22) + TIME(12,5,47)</f>
        <v>40685.504016203704</v>
      </c>
      <c r="C939">
        <v>80</v>
      </c>
      <c r="D939">
        <v>79.956710814999994</v>
      </c>
      <c r="E939">
        <v>50</v>
      </c>
      <c r="F939">
        <v>47.833068848000003</v>
      </c>
      <c r="G939">
        <v>1345.5917969</v>
      </c>
      <c r="H939">
        <v>1341.5535889</v>
      </c>
      <c r="I939">
        <v>1322.3900146000001</v>
      </c>
      <c r="J939">
        <v>1318.7003173999999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386.94942099999997</v>
      </c>
      <c r="B940" s="1">
        <f>DATE(2011,5,22) + TIME(22,47,9)</f>
        <v>40685.94940972222</v>
      </c>
      <c r="C940">
        <v>80</v>
      </c>
      <c r="D940">
        <v>79.956657410000005</v>
      </c>
      <c r="E940">
        <v>50</v>
      </c>
      <c r="F940">
        <v>47.799350738999998</v>
      </c>
      <c r="G940">
        <v>1345.5764160000001</v>
      </c>
      <c r="H940">
        <v>1341.5451660000001</v>
      </c>
      <c r="I940">
        <v>1322.3852539</v>
      </c>
      <c r="J940">
        <v>1318.6943358999999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387.39678400000003</v>
      </c>
      <c r="B941" s="1">
        <f>DATE(2011,5,23) + TIME(9,31,22)</f>
        <v>40686.396782407406</v>
      </c>
      <c r="C941">
        <v>80</v>
      </c>
      <c r="D941">
        <v>79.956604003999999</v>
      </c>
      <c r="E941">
        <v>50</v>
      </c>
      <c r="F941">
        <v>47.765602112000003</v>
      </c>
      <c r="G941">
        <v>1345.5614014</v>
      </c>
      <c r="H941">
        <v>1341.5368652</v>
      </c>
      <c r="I941">
        <v>1322.3804932</v>
      </c>
      <c r="J941">
        <v>1318.6883545000001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387.84696100000002</v>
      </c>
      <c r="B942" s="1">
        <f>DATE(2011,5,23) + TIME(20,19,37)</f>
        <v>40686.846956018519</v>
      </c>
      <c r="C942">
        <v>80</v>
      </c>
      <c r="D942">
        <v>79.956550598000007</v>
      </c>
      <c r="E942">
        <v>50</v>
      </c>
      <c r="F942">
        <v>47.731830596999998</v>
      </c>
      <c r="G942">
        <v>1345.5463867000001</v>
      </c>
      <c r="H942">
        <v>1341.5285644999999</v>
      </c>
      <c r="I942">
        <v>1322.3757324000001</v>
      </c>
      <c r="J942">
        <v>1318.6821289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388.30080500000003</v>
      </c>
      <c r="B943" s="1">
        <f>DATE(2011,5,24) + TIME(7,13,9)</f>
        <v>40687.300798611112</v>
      </c>
      <c r="C943">
        <v>80</v>
      </c>
      <c r="D943">
        <v>79.956504821999999</v>
      </c>
      <c r="E943">
        <v>50</v>
      </c>
      <c r="F943">
        <v>47.698013306</v>
      </c>
      <c r="G943">
        <v>1345.5316161999999</v>
      </c>
      <c r="H943">
        <v>1341.5203856999999</v>
      </c>
      <c r="I943">
        <v>1322.3707274999999</v>
      </c>
      <c r="J943">
        <v>1318.6757812000001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388.75918000000001</v>
      </c>
      <c r="B944" s="1">
        <f>DATE(2011,5,24) + TIME(18,13,13)</f>
        <v>40687.75917824074</v>
      </c>
      <c r="C944">
        <v>80</v>
      </c>
      <c r="D944">
        <v>79.956451415999993</v>
      </c>
      <c r="E944">
        <v>50</v>
      </c>
      <c r="F944">
        <v>47.664119720000002</v>
      </c>
      <c r="G944">
        <v>1345.5168457</v>
      </c>
      <c r="H944">
        <v>1341.5123291</v>
      </c>
      <c r="I944">
        <v>1322.3657227000001</v>
      </c>
      <c r="J944">
        <v>1318.6694336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389.22302200000001</v>
      </c>
      <c r="B945" s="1">
        <f>DATE(2011,5,25) + TIME(5,21,9)</f>
        <v>40688.223020833335</v>
      </c>
      <c r="C945">
        <v>80</v>
      </c>
      <c r="D945">
        <v>79.95640564</v>
      </c>
      <c r="E945">
        <v>50</v>
      </c>
      <c r="F945">
        <v>47.630104064999998</v>
      </c>
      <c r="G945">
        <v>1345.5023193</v>
      </c>
      <c r="H945">
        <v>1341.5042725000001</v>
      </c>
      <c r="I945">
        <v>1322.3607178</v>
      </c>
      <c r="J945">
        <v>1318.6628418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389.69501700000001</v>
      </c>
      <c r="B946" s="1">
        <f>DATE(2011,5,25) + TIME(16,40,49)</f>
        <v>40688.695011574076</v>
      </c>
      <c r="C946">
        <v>80</v>
      </c>
      <c r="D946">
        <v>79.956359863000003</v>
      </c>
      <c r="E946">
        <v>50</v>
      </c>
      <c r="F946">
        <v>47.595836638999998</v>
      </c>
      <c r="G946">
        <v>1345.4876709</v>
      </c>
      <c r="H946">
        <v>1341.4962158000001</v>
      </c>
      <c r="I946">
        <v>1322.3554687999999</v>
      </c>
      <c r="J946">
        <v>1318.6561279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390.17628300000001</v>
      </c>
      <c r="B947" s="1">
        <f>DATE(2011,5,26) + TIME(4,13,50)</f>
        <v>40689.17627314815</v>
      </c>
      <c r="C947">
        <v>80</v>
      </c>
      <c r="D947">
        <v>79.956306458</v>
      </c>
      <c r="E947">
        <v>50</v>
      </c>
      <c r="F947">
        <v>47.561241150000001</v>
      </c>
      <c r="G947">
        <v>1345.4731445</v>
      </c>
      <c r="H947">
        <v>1341.4881591999999</v>
      </c>
      <c r="I947">
        <v>1322.3500977000001</v>
      </c>
      <c r="J947">
        <v>1318.6491699000001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390.66810400000003</v>
      </c>
      <c r="B948" s="1">
        <f>DATE(2011,5,26) + TIME(16,2,4)</f>
        <v>40689.66810185185</v>
      </c>
      <c r="C948">
        <v>80</v>
      </c>
      <c r="D948">
        <v>79.956260681000003</v>
      </c>
      <c r="E948">
        <v>50</v>
      </c>
      <c r="F948">
        <v>47.526237488</v>
      </c>
      <c r="G948">
        <v>1345.4584961</v>
      </c>
      <c r="H948">
        <v>1341.4801024999999</v>
      </c>
      <c r="I948">
        <v>1322.3446045000001</v>
      </c>
      <c r="J948">
        <v>1318.6420897999999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391.16661499999998</v>
      </c>
      <c r="B949" s="1">
        <f>DATE(2011,5,27) + TIME(3,59,55)</f>
        <v>40690.166608796295</v>
      </c>
      <c r="C949">
        <v>80</v>
      </c>
      <c r="D949">
        <v>79.956207274999997</v>
      </c>
      <c r="E949">
        <v>50</v>
      </c>
      <c r="F949">
        <v>47.490982056</v>
      </c>
      <c r="G949">
        <v>1345.4437256000001</v>
      </c>
      <c r="H949">
        <v>1341.4720459</v>
      </c>
      <c r="I949">
        <v>1322.3388672000001</v>
      </c>
      <c r="J949">
        <v>1318.6346435999999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391.671628</v>
      </c>
      <c r="B950" s="1">
        <f>DATE(2011,5,27) + TIME(16,7,8)</f>
        <v>40690.671620370369</v>
      </c>
      <c r="C950">
        <v>80</v>
      </c>
      <c r="D950">
        <v>79.956161499000004</v>
      </c>
      <c r="E950">
        <v>50</v>
      </c>
      <c r="F950">
        <v>47.455501556000002</v>
      </c>
      <c r="G950">
        <v>1345.4290771000001</v>
      </c>
      <c r="H950">
        <v>1341.4638672000001</v>
      </c>
      <c r="I950">
        <v>1322.3330077999999</v>
      </c>
      <c r="J950">
        <v>1318.6270752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392.18451700000003</v>
      </c>
      <c r="B951" s="1">
        <f>DATE(2011,5,28) + TIME(4,25,42)</f>
        <v>40691.184513888889</v>
      </c>
      <c r="C951">
        <v>80</v>
      </c>
      <c r="D951">
        <v>79.956115722999996</v>
      </c>
      <c r="E951">
        <v>50</v>
      </c>
      <c r="F951">
        <v>47.419754028</v>
      </c>
      <c r="G951">
        <v>1345.4143065999999</v>
      </c>
      <c r="H951">
        <v>1341.4558105000001</v>
      </c>
      <c r="I951">
        <v>1322.3270264</v>
      </c>
      <c r="J951">
        <v>1318.6193848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392.70665200000002</v>
      </c>
      <c r="B952" s="1">
        <f>DATE(2011,5,28) + TIME(16,57,34)</f>
        <v>40691.706643518519</v>
      </c>
      <c r="C952">
        <v>80</v>
      </c>
      <c r="D952">
        <v>79.956069946</v>
      </c>
      <c r="E952">
        <v>50</v>
      </c>
      <c r="F952">
        <v>47.383689879999999</v>
      </c>
      <c r="G952">
        <v>1345.3996582</v>
      </c>
      <c r="H952">
        <v>1341.4477539</v>
      </c>
      <c r="I952">
        <v>1322.3209228999999</v>
      </c>
      <c r="J952">
        <v>1318.6113281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393.23951699999998</v>
      </c>
      <c r="B953" s="1">
        <f>DATE(2011,5,29) + TIME(5,44,54)</f>
        <v>40692.23951388889</v>
      </c>
      <c r="C953">
        <v>80</v>
      </c>
      <c r="D953">
        <v>79.956016540999997</v>
      </c>
      <c r="E953">
        <v>50</v>
      </c>
      <c r="F953">
        <v>47.347236633000001</v>
      </c>
      <c r="G953">
        <v>1345.3848877</v>
      </c>
      <c r="H953">
        <v>1341.4395752</v>
      </c>
      <c r="I953">
        <v>1322.3146973</v>
      </c>
      <c r="J953">
        <v>1318.6031493999999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393.78471300000001</v>
      </c>
      <c r="B954" s="1">
        <f>DATE(2011,5,29) + TIME(18,49,59)</f>
        <v>40692.784710648149</v>
      </c>
      <c r="C954">
        <v>80</v>
      </c>
      <c r="D954">
        <v>79.955970764</v>
      </c>
      <c r="E954">
        <v>50</v>
      </c>
      <c r="F954">
        <v>47.310310364000003</v>
      </c>
      <c r="G954">
        <v>1345.3701172000001</v>
      </c>
      <c r="H954">
        <v>1341.4313964999999</v>
      </c>
      <c r="I954">
        <v>1322.3081055</v>
      </c>
      <c r="J954">
        <v>1318.5946045000001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394.343999</v>
      </c>
      <c r="B955" s="1">
        <f>DATE(2011,5,30) + TIME(8,15,21)</f>
        <v>40693.343993055554</v>
      </c>
      <c r="C955">
        <v>80</v>
      </c>
      <c r="D955">
        <v>79.955924988000007</v>
      </c>
      <c r="E955">
        <v>50</v>
      </c>
      <c r="F955">
        <v>47.272823334000002</v>
      </c>
      <c r="G955">
        <v>1345.3552245999999</v>
      </c>
      <c r="H955">
        <v>1341.4230957</v>
      </c>
      <c r="I955">
        <v>1322.3013916</v>
      </c>
      <c r="J955">
        <v>1318.5858154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394.916808</v>
      </c>
      <c r="B956" s="1">
        <f>DATE(2011,5,30) + TIME(22,0,12)</f>
        <v>40693.916805555556</v>
      </c>
      <c r="C956">
        <v>80</v>
      </c>
      <c r="D956">
        <v>79.955879210999996</v>
      </c>
      <c r="E956">
        <v>50</v>
      </c>
      <c r="F956">
        <v>47.234779357999997</v>
      </c>
      <c r="G956">
        <v>1345.3402100000001</v>
      </c>
      <c r="H956">
        <v>1341.4147949000001</v>
      </c>
      <c r="I956">
        <v>1322.2944336</v>
      </c>
      <c r="J956">
        <v>1318.5766602000001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395.49702600000001</v>
      </c>
      <c r="B957" s="1">
        <f>DATE(2011,5,31) + TIME(11,55,43)</f>
        <v>40694.497025462966</v>
      </c>
      <c r="C957">
        <v>80</v>
      </c>
      <c r="D957">
        <v>79.955833435000002</v>
      </c>
      <c r="E957">
        <v>50</v>
      </c>
      <c r="F957">
        <v>47.196414947999997</v>
      </c>
      <c r="G957">
        <v>1345.3249512</v>
      </c>
      <c r="H957">
        <v>1341.4063721</v>
      </c>
      <c r="I957">
        <v>1322.2872314000001</v>
      </c>
      <c r="J957">
        <v>1318.5671387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396</v>
      </c>
      <c r="B958" s="1">
        <f>DATE(2011,6,1) + TIME(0,0,0)</f>
        <v>40695</v>
      </c>
      <c r="C958">
        <v>80</v>
      </c>
      <c r="D958">
        <v>79.955787658999995</v>
      </c>
      <c r="E958">
        <v>50</v>
      </c>
      <c r="F958">
        <v>47.161308288999997</v>
      </c>
      <c r="G958">
        <v>1345.3100586</v>
      </c>
      <c r="H958">
        <v>1341.3981934000001</v>
      </c>
      <c r="I958">
        <v>1322.2797852000001</v>
      </c>
      <c r="J958">
        <v>1318.5576172000001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396.580376</v>
      </c>
      <c r="B959" s="1">
        <f>DATE(2011,6,1) + TIME(13,55,44)</f>
        <v>40695.580370370371</v>
      </c>
      <c r="C959">
        <v>80</v>
      </c>
      <c r="D959">
        <v>79.955741881999998</v>
      </c>
      <c r="E959">
        <v>50</v>
      </c>
      <c r="F959">
        <v>47.123851776000002</v>
      </c>
      <c r="G959">
        <v>1345.2967529</v>
      </c>
      <c r="H959">
        <v>1341.390625</v>
      </c>
      <c r="I959">
        <v>1322.2731934000001</v>
      </c>
      <c r="J959">
        <v>1318.5485839999999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397.16443700000002</v>
      </c>
      <c r="B960" s="1">
        <f>DATE(2011,6,2) + TIME(3,56,47)</f>
        <v>40696.16443287037</v>
      </c>
      <c r="C960">
        <v>80</v>
      </c>
      <c r="D960">
        <v>79.955696106000005</v>
      </c>
      <c r="E960">
        <v>50</v>
      </c>
      <c r="F960">
        <v>47.086154938</v>
      </c>
      <c r="G960">
        <v>1345.2821045000001</v>
      </c>
      <c r="H960">
        <v>1341.3825684000001</v>
      </c>
      <c r="I960">
        <v>1322.265625</v>
      </c>
      <c r="J960">
        <v>1318.5385742000001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397.75217300000003</v>
      </c>
      <c r="B961" s="1">
        <f>DATE(2011,6,2) + TIME(18,3,7)</f>
        <v>40696.752164351848</v>
      </c>
      <c r="C961">
        <v>80</v>
      </c>
      <c r="D961">
        <v>79.955650329999997</v>
      </c>
      <c r="E961">
        <v>50</v>
      </c>
      <c r="F961">
        <v>47.048347473</v>
      </c>
      <c r="G961">
        <v>1345.2675781</v>
      </c>
      <c r="H961">
        <v>1341.3745117000001</v>
      </c>
      <c r="I961">
        <v>1322.2579346</v>
      </c>
      <c r="J961">
        <v>1318.5284423999999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398.34481499999998</v>
      </c>
      <c r="B962" s="1">
        <f>DATE(2011,6,3) + TIME(8,16,31)</f>
        <v>40697.34480324074</v>
      </c>
      <c r="C962">
        <v>80</v>
      </c>
      <c r="D962">
        <v>79.955612183</v>
      </c>
      <c r="E962">
        <v>50</v>
      </c>
      <c r="F962">
        <v>47.010459900000001</v>
      </c>
      <c r="G962">
        <v>1345.2530518000001</v>
      </c>
      <c r="H962">
        <v>1341.3664550999999</v>
      </c>
      <c r="I962">
        <v>1322.25</v>
      </c>
      <c r="J962">
        <v>1318.5179443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398.94475299999999</v>
      </c>
      <c r="B963" s="1">
        <f>DATE(2011,6,3) + TIME(22,40,26)</f>
        <v>40697.944745370369</v>
      </c>
      <c r="C963">
        <v>80</v>
      </c>
      <c r="D963">
        <v>79.955566406000003</v>
      </c>
      <c r="E963">
        <v>50</v>
      </c>
      <c r="F963">
        <v>46.972434997999997</v>
      </c>
      <c r="G963">
        <v>1345.2386475000001</v>
      </c>
      <c r="H963">
        <v>1341.3583983999999</v>
      </c>
      <c r="I963">
        <v>1322.2419434000001</v>
      </c>
      <c r="J963">
        <v>1318.5072021000001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399.555162</v>
      </c>
      <c r="B964" s="1">
        <f>DATE(2011,6,4) + TIME(13,19,26)</f>
        <v>40698.555162037039</v>
      </c>
      <c r="C964">
        <v>80</v>
      </c>
      <c r="D964">
        <v>79.955520629999995</v>
      </c>
      <c r="E964">
        <v>50</v>
      </c>
      <c r="F964">
        <v>46.934154509999999</v>
      </c>
      <c r="G964">
        <v>1345.2242432</v>
      </c>
      <c r="H964">
        <v>1341.3503418</v>
      </c>
      <c r="I964">
        <v>1322.2337646000001</v>
      </c>
      <c r="J964">
        <v>1318.4962158000001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400.17777999999998</v>
      </c>
      <c r="B965" s="1">
        <f>DATE(2011,6,5) + TIME(4,16,0)</f>
        <v>40699.177777777775</v>
      </c>
      <c r="C965">
        <v>80</v>
      </c>
      <c r="D965">
        <v>79.955482482999997</v>
      </c>
      <c r="E965">
        <v>50</v>
      </c>
      <c r="F965">
        <v>46.895530700999998</v>
      </c>
      <c r="G965">
        <v>1345.2098389</v>
      </c>
      <c r="H965">
        <v>1341.3422852000001</v>
      </c>
      <c r="I965">
        <v>1322.2252197</v>
      </c>
      <c r="J965">
        <v>1318.4848632999999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400.812702</v>
      </c>
      <c r="B966" s="1">
        <f>DATE(2011,6,5) + TIME(19,30,17)</f>
        <v>40699.812696759262</v>
      </c>
      <c r="C966">
        <v>80</v>
      </c>
      <c r="D966">
        <v>79.955436707000004</v>
      </c>
      <c r="E966">
        <v>50</v>
      </c>
      <c r="F966">
        <v>46.856525421000001</v>
      </c>
      <c r="G966">
        <v>1345.1953125</v>
      </c>
      <c r="H966">
        <v>1341.3342285000001</v>
      </c>
      <c r="I966">
        <v>1322.2165527</v>
      </c>
      <c r="J966">
        <v>1318.4731445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401.45496600000001</v>
      </c>
      <c r="B967" s="1">
        <f>DATE(2011,6,6) + TIME(10,55,9)</f>
        <v>40700.454965277779</v>
      </c>
      <c r="C967">
        <v>80</v>
      </c>
      <c r="D967">
        <v>79.955398560000006</v>
      </c>
      <c r="E967">
        <v>50</v>
      </c>
      <c r="F967">
        <v>46.817302703999999</v>
      </c>
      <c r="G967">
        <v>1345.1807861</v>
      </c>
      <c r="H967">
        <v>1341.3260498</v>
      </c>
      <c r="I967">
        <v>1322.2075195</v>
      </c>
      <c r="J967">
        <v>1318.4610596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402.10680500000001</v>
      </c>
      <c r="B968" s="1">
        <f>DATE(2011,6,7) + TIME(2,33,47)</f>
        <v>40701.106793981482</v>
      </c>
      <c r="C968">
        <v>80</v>
      </c>
      <c r="D968">
        <v>79.955352782999995</v>
      </c>
      <c r="E968">
        <v>50</v>
      </c>
      <c r="F968">
        <v>46.777828217</v>
      </c>
      <c r="G968">
        <v>1345.1662598</v>
      </c>
      <c r="H968">
        <v>1341.3178711</v>
      </c>
      <c r="I968">
        <v>1322.1982422000001</v>
      </c>
      <c r="J968">
        <v>1318.4486084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402.77013699999998</v>
      </c>
      <c r="B969" s="1">
        <f>DATE(2011,6,7) + TIME(18,28,59)</f>
        <v>40701.770127314812</v>
      </c>
      <c r="C969">
        <v>80</v>
      </c>
      <c r="D969">
        <v>79.955314635999997</v>
      </c>
      <c r="E969">
        <v>50</v>
      </c>
      <c r="F969">
        <v>46.738044739000003</v>
      </c>
      <c r="G969">
        <v>1345.1517334</v>
      </c>
      <c r="H969">
        <v>1341.3096923999999</v>
      </c>
      <c r="I969">
        <v>1322.1887207</v>
      </c>
      <c r="J969">
        <v>1318.4357910000001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403.446866</v>
      </c>
      <c r="B970" s="1">
        <f>DATE(2011,6,8) + TIME(10,43,29)</f>
        <v>40702.446863425925</v>
      </c>
      <c r="C970">
        <v>80</v>
      </c>
      <c r="D970">
        <v>79.955276488999999</v>
      </c>
      <c r="E970">
        <v>50</v>
      </c>
      <c r="F970">
        <v>46.697875977000002</v>
      </c>
      <c r="G970">
        <v>1345.1370850000001</v>
      </c>
      <c r="H970">
        <v>1341.3015137</v>
      </c>
      <c r="I970">
        <v>1322.1789550999999</v>
      </c>
      <c r="J970">
        <v>1318.4224853999999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404.139163</v>
      </c>
      <c r="B971" s="1">
        <f>DATE(2011,6,9) + TIME(3,20,23)</f>
        <v>40703.139155092591</v>
      </c>
      <c r="C971">
        <v>80</v>
      </c>
      <c r="D971">
        <v>79.955230713000006</v>
      </c>
      <c r="E971">
        <v>50</v>
      </c>
      <c r="F971">
        <v>46.657234191999997</v>
      </c>
      <c r="G971">
        <v>1345.1224365</v>
      </c>
      <c r="H971">
        <v>1341.2932129000001</v>
      </c>
      <c r="I971">
        <v>1322.1688231999999</v>
      </c>
      <c r="J971">
        <v>1318.4088135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404.849403</v>
      </c>
      <c r="B972" s="1">
        <f>DATE(2011,6,9) + TIME(20,23,8)</f>
        <v>40703.849398148152</v>
      </c>
      <c r="C972">
        <v>80</v>
      </c>
      <c r="D972">
        <v>79.955192565999994</v>
      </c>
      <c r="E972">
        <v>50</v>
      </c>
      <c r="F972">
        <v>46.616004943999997</v>
      </c>
      <c r="G972">
        <v>1345.1076660000001</v>
      </c>
      <c r="H972">
        <v>1341.2847899999999</v>
      </c>
      <c r="I972">
        <v>1322.1583252</v>
      </c>
      <c r="J972">
        <v>1318.3946533000001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405.58019899999999</v>
      </c>
      <c r="B973" s="1">
        <f>DATE(2011,6,10) + TIME(13,55,29)</f>
        <v>40704.580196759256</v>
      </c>
      <c r="C973">
        <v>80</v>
      </c>
      <c r="D973">
        <v>79.955154418999996</v>
      </c>
      <c r="E973">
        <v>50</v>
      </c>
      <c r="F973">
        <v>46.574073792</v>
      </c>
      <c r="G973">
        <v>1345.0926514</v>
      </c>
      <c r="H973">
        <v>1341.2763672000001</v>
      </c>
      <c r="I973">
        <v>1322.1474608999999</v>
      </c>
      <c r="J973">
        <v>1318.3797606999999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405.95315799999997</v>
      </c>
      <c r="B974" s="1">
        <f>DATE(2011,6,10) + TIME(22,52,32)</f>
        <v>40704.953148148146</v>
      </c>
      <c r="C974">
        <v>80</v>
      </c>
      <c r="D974">
        <v>79.955116271999998</v>
      </c>
      <c r="E974">
        <v>50</v>
      </c>
      <c r="F974">
        <v>46.546405792000002</v>
      </c>
      <c r="G974">
        <v>1345.0788574000001</v>
      </c>
      <c r="H974">
        <v>1341.2689209</v>
      </c>
      <c r="I974">
        <v>1322.1368408000001</v>
      </c>
      <c r="J974">
        <v>1318.3659668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406.32611800000001</v>
      </c>
      <c r="B975" s="1">
        <f>DATE(2011,6,11) + TIME(7,49,36)</f>
        <v>40705.326111111113</v>
      </c>
      <c r="C975">
        <v>80</v>
      </c>
      <c r="D975">
        <v>79.955085753999995</v>
      </c>
      <c r="E975">
        <v>50</v>
      </c>
      <c r="F975">
        <v>46.520648956000002</v>
      </c>
      <c r="G975">
        <v>1345.0703125</v>
      </c>
      <c r="H975">
        <v>1341.2639160000001</v>
      </c>
      <c r="I975">
        <v>1322.1304932</v>
      </c>
      <c r="J975">
        <v>1318.3570557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406.69907799999999</v>
      </c>
      <c r="B976" s="1">
        <f>DATE(2011,6,11) + TIME(16,46,40)</f>
        <v>40705.699074074073</v>
      </c>
      <c r="C976">
        <v>80</v>
      </c>
      <c r="D976">
        <v>79.955062866000006</v>
      </c>
      <c r="E976">
        <v>50</v>
      </c>
      <c r="F976">
        <v>46.496242522999999</v>
      </c>
      <c r="G976">
        <v>1345.0625</v>
      </c>
      <c r="H976">
        <v>1341.2593993999999</v>
      </c>
      <c r="I976">
        <v>1322.1242675999999</v>
      </c>
      <c r="J976">
        <v>1318.3485106999999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407.07203700000002</v>
      </c>
      <c r="B977" s="1">
        <f>DATE(2011,6,12) + TIME(1,43,44)</f>
        <v>40706.07203703704</v>
      </c>
      <c r="C977">
        <v>80</v>
      </c>
      <c r="D977">
        <v>79.955039978000002</v>
      </c>
      <c r="E977">
        <v>50</v>
      </c>
      <c r="F977">
        <v>46.472812652999998</v>
      </c>
      <c r="G977">
        <v>1345.0548096</v>
      </c>
      <c r="H977">
        <v>1341.2548827999999</v>
      </c>
      <c r="I977">
        <v>1322.1181641000001</v>
      </c>
      <c r="J977">
        <v>1318.3399658000001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407.81795699999998</v>
      </c>
      <c r="B978" s="1">
        <f>DATE(2011,6,12) + TIME(19,37,51)</f>
        <v>40706.81795138889</v>
      </c>
      <c r="C978">
        <v>80</v>
      </c>
      <c r="D978">
        <v>79.955024718999994</v>
      </c>
      <c r="E978">
        <v>50</v>
      </c>
      <c r="F978">
        <v>46.437900542999998</v>
      </c>
      <c r="G978">
        <v>1345.0463867000001</v>
      </c>
      <c r="H978">
        <v>1341.2497559000001</v>
      </c>
      <c r="I978">
        <v>1322.1114502</v>
      </c>
      <c r="J978">
        <v>1318.3300781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408.56480800000003</v>
      </c>
      <c r="B979" s="1">
        <f>DATE(2011,6,13) + TIME(13,33,19)</f>
        <v>40707.564803240741</v>
      </c>
      <c r="C979">
        <v>80</v>
      </c>
      <c r="D979">
        <v>79.954994201999995</v>
      </c>
      <c r="E979">
        <v>50</v>
      </c>
      <c r="F979">
        <v>46.399707794000001</v>
      </c>
      <c r="G979">
        <v>1345.0321045000001</v>
      </c>
      <c r="H979">
        <v>1341.2418213000001</v>
      </c>
      <c r="I979">
        <v>1322.0999756000001</v>
      </c>
      <c r="J979">
        <v>1318.3145752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409.315924</v>
      </c>
      <c r="B980" s="1">
        <f>DATE(2011,6,14) + TIME(7,34,55)</f>
        <v>40708.31591435185</v>
      </c>
      <c r="C980">
        <v>80</v>
      </c>
      <c r="D980">
        <v>79.954956054999997</v>
      </c>
      <c r="E980">
        <v>50</v>
      </c>
      <c r="F980">
        <v>46.359806061</v>
      </c>
      <c r="G980">
        <v>1345.0175781</v>
      </c>
      <c r="H980">
        <v>1341.2336425999999</v>
      </c>
      <c r="I980">
        <v>1322.0878906</v>
      </c>
      <c r="J980">
        <v>1318.2982178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410.07303999999999</v>
      </c>
      <c r="B981" s="1">
        <f>DATE(2011,6,15) + TIME(1,45,10)</f>
        <v>40709.07303240741</v>
      </c>
      <c r="C981">
        <v>80</v>
      </c>
      <c r="D981">
        <v>79.954925536999994</v>
      </c>
      <c r="E981">
        <v>50</v>
      </c>
      <c r="F981">
        <v>46.3189888</v>
      </c>
      <c r="G981">
        <v>1345.0031738</v>
      </c>
      <c r="H981">
        <v>1341.2253418</v>
      </c>
      <c r="I981">
        <v>1322.0756836</v>
      </c>
      <c r="J981">
        <v>1318.2813721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410.84053499999999</v>
      </c>
      <c r="B982" s="1">
        <f>DATE(2011,6,15) + TIME(20,10,22)</f>
        <v>40709.840532407405</v>
      </c>
      <c r="C982">
        <v>80</v>
      </c>
      <c r="D982">
        <v>79.954887389999996</v>
      </c>
      <c r="E982">
        <v>50</v>
      </c>
      <c r="F982">
        <v>46.277568817000002</v>
      </c>
      <c r="G982">
        <v>1344.9886475000001</v>
      </c>
      <c r="H982">
        <v>1341.2171631000001</v>
      </c>
      <c r="I982">
        <v>1322.0629882999999</v>
      </c>
      <c r="J982">
        <v>1318.2639160000001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411.61269900000002</v>
      </c>
      <c r="B983" s="1">
        <f>DATE(2011,6,16) + TIME(14,42,17)</f>
        <v>40710.612696759257</v>
      </c>
      <c r="C983">
        <v>80</v>
      </c>
      <c r="D983">
        <v>79.954856872999997</v>
      </c>
      <c r="E983">
        <v>50</v>
      </c>
      <c r="F983">
        <v>46.235889434999997</v>
      </c>
      <c r="G983">
        <v>1344.9742432</v>
      </c>
      <c r="H983">
        <v>1341.2088623</v>
      </c>
      <c r="I983">
        <v>1322.0500488</v>
      </c>
      <c r="J983">
        <v>1318.2460937999999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412.39596899999998</v>
      </c>
      <c r="B984" s="1">
        <f>DATE(2011,6,17) + TIME(9,30,11)</f>
        <v>40711.395960648151</v>
      </c>
      <c r="C984">
        <v>80</v>
      </c>
      <c r="D984">
        <v>79.954818725999999</v>
      </c>
      <c r="E984">
        <v>50</v>
      </c>
      <c r="F984">
        <v>46.193931579999997</v>
      </c>
      <c r="G984">
        <v>1344.9598389</v>
      </c>
      <c r="H984">
        <v>1341.2005615</v>
      </c>
      <c r="I984">
        <v>1322.0367432</v>
      </c>
      <c r="J984">
        <v>1318.2276611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413.19319899999999</v>
      </c>
      <c r="B985" s="1">
        <f>DATE(2011,6,18) + TIME(4,38,12)</f>
        <v>40712.193194444444</v>
      </c>
      <c r="C985">
        <v>80</v>
      </c>
      <c r="D985">
        <v>79.954788207999997</v>
      </c>
      <c r="E985">
        <v>50</v>
      </c>
      <c r="F985">
        <v>46.151638030999997</v>
      </c>
      <c r="G985">
        <v>1344.9455565999999</v>
      </c>
      <c r="H985">
        <v>1341.1922606999999</v>
      </c>
      <c r="I985">
        <v>1322.0231934000001</v>
      </c>
      <c r="J985">
        <v>1318.2087402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414.00670300000002</v>
      </c>
      <c r="B986" s="1">
        <f>DATE(2011,6,19) + TIME(0,9,39)</f>
        <v>40713.006701388891</v>
      </c>
      <c r="C986">
        <v>80</v>
      </c>
      <c r="D986">
        <v>79.954757689999994</v>
      </c>
      <c r="E986">
        <v>50</v>
      </c>
      <c r="F986">
        <v>46.108917236000003</v>
      </c>
      <c r="G986">
        <v>1344.9311522999999</v>
      </c>
      <c r="H986">
        <v>1341.1839600000001</v>
      </c>
      <c r="I986">
        <v>1322.0091553</v>
      </c>
      <c r="J986">
        <v>1318.1893310999999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414.83923600000003</v>
      </c>
      <c r="B987" s="1">
        <f>DATE(2011,6,19) + TIME(20,8,29)</f>
        <v>40713.839224537034</v>
      </c>
      <c r="C987">
        <v>80</v>
      </c>
      <c r="D987">
        <v>79.954719542999996</v>
      </c>
      <c r="E987">
        <v>50</v>
      </c>
      <c r="F987">
        <v>46.065666198999999</v>
      </c>
      <c r="G987">
        <v>1344.9165039</v>
      </c>
      <c r="H987">
        <v>1341.1755370999999</v>
      </c>
      <c r="I987">
        <v>1321.994751</v>
      </c>
      <c r="J987">
        <v>1318.1691894999999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415.69244900000001</v>
      </c>
      <c r="B988" s="1">
        <f>DATE(2011,6,20) + TIME(16,37,7)</f>
        <v>40714.692442129628</v>
      </c>
      <c r="C988">
        <v>80</v>
      </c>
      <c r="D988">
        <v>79.954689025999997</v>
      </c>
      <c r="E988">
        <v>50</v>
      </c>
      <c r="F988">
        <v>46.021789550999998</v>
      </c>
      <c r="G988">
        <v>1344.9018555</v>
      </c>
      <c r="H988">
        <v>1341.1669922000001</v>
      </c>
      <c r="I988">
        <v>1321.9797363</v>
      </c>
      <c r="J988">
        <v>1318.1481934000001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416.563175</v>
      </c>
      <c r="B989" s="1">
        <f>DATE(2011,6,21) + TIME(13,30,58)</f>
        <v>40715.563171296293</v>
      </c>
      <c r="C989">
        <v>80</v>
      </c>
      <c r="D989">
        <v>79.954658507999994</v>
      </c>
      <c r="E989">
        <v>50</v>
      </c>
      <c r="F989">
        <v>45.977336884000003</v>
      </c>
      <c r="G989">
        <v>1344.8870850000001</v>
      </c>
      <c r="H989">
        <v>1341.1583252</v>
      </c>
      <c r="I989">
        <v>1321.9642334</v>
      </c>
      <c r="J989">
        <v>1318.1265868999999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417.454251</v>
      </c>
      <c r="B990" s="1">
        <f>DATE(2011,6,22) + TIME(10,54,7)</f>
        <v>40716.454247685186</v>
      </c>
      <c r="C990">
        <v>80</v>
      </c>
      <c r="D990">
        <v>79.954627990999995</v>
      </c>
      <c r="E990">
        <v>50</v>
      </c>
      <c r="F990">
        <v>45.932254790999998</v>
      </c>
      <c r="G990">
        <v>1344.8721923999999</v>
      </c>
      <c r="H990">
        <v>1341.1496582</v>
      </c>
      <c r="I990">
        <v>1321.9482422000001</v>
      </c>
      <c r="J990">
        <v>1318.104126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418.36896100000001</v>
      </c>
      <c r="B991" s="1">
        <f>DATE(2011,6,23) + TIME(8,51,18)</f>
        <v>40717.368958333333</v>
      </c>
      <c r="C991">
        <v>80</v>
      </c>
      <c r="D991">
        <v>79.954597473000007</v>
      </c>
      <c r="E991">
        <v>50</v>
      </c>
      <c r="F991">
        <v>45.886447906000001</v>
      </c>
      <c r="G991">
        <v>1344.8570557</v>
      </c>
      <c r="H991">
        <v>1341.1408690999999</v>
      </c>
      <c r="I991">
        <v>1321.9316406</v>
      </c>
      <c r="J991">
        <v>1318.0806885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418.83202899999998</v>
      </c>
      <c r="B992" s="1">
        <f>DATE(2011,6,23) + TIME(19,58,7)</f>
        <v>40717.832025462965</v>
      </c>
      <c r="C992">
        <v>80</v>
      </c>
      <c r="D992">
        <v>79.954559325999995</v>
      </c>
      <c r="E992">
        <v>50</v>
      </c>
      <c r="F992">
        <v>45.855175017999997</v>
      </c>
      <c r="G992">
        <v>1344.8433838000001</v>
      </c>
      <c r="H992">
        <v>1341.1331786999999</v>
      </c>
      <c r="I992">
        <v>1321.9155272999999</v>
      </c>
      <c r="J992">
        <v>1318.0589600000001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419.295096</v>
      </c>
      <c r="B993" s="1">
        <f>DATE(2011,6,24) + TIME(7,4,56)</f>
        <v>40718.295092592591</v>
      </c>
      <c r="C993">
        <v>80</v>
      </c>
      <c r="D993">
        <v>79.954536438000005</v>
      </c>
      <c r="E993">
        <v>50</v>
      </c>
      <c r="F993">
        <v>45.826725005999997</v>
      </c>
      <c r="G993">
        <v>1344.8348389</v>
      </c>
      <c r="H993">
        <v>1341.1279297000001</v>
      </c>
      <c r="I993">
        <v>1321.9057617000001</v>
      </c>
      <c r="J993">
        <v>1318.0447998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419.75816300000002</v>
      </c>
      <c r="B994" s="1">
        <f>DATE(2011,6,24) + TIME(18,11,45)</f>
        <v>40718.758159722223</v>
      </c>
      <c r="C994">
        <v>80</v>
      </c>
      <c r="D994">
        <v>79.954521178999997</v>
      </c>
      <c r="E994">
        <v>50</v>
      </c>
      <c r="F994">
        <v>45.800132751</v>
      </c>
      <c r="G994">
        <v>1344.8269043</v>
      </c>
      <c r="H994">
        <v>1341.1231689000001</v>
      </c>
      <c r="I994">
        <v>1321.8963623</v>
      </c>
      <c r="J994">
        <v>1318.03125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420.22122999999999</v>
      </c>
      <c r="B995" s="1">
        <f>DATE(2011,6,25) + TIME(5,18,34)</f>
        <v>40719.221226851849</v>
      </c>
      <c r="C995">
        <v>80</v>
      </c>
      <c r="D995">
        <v>79.954498290999993</v>
      </c>
      <c r="E995">
        <v>50</v>
      </c>
      <c r="F995">
        <v>45.774776459000002</v>
      </c>
      <c r="G995">
        <v>1344.8193358999999</v>
      </c>
      <c r="H995">
        <v>1341.1186522999999</v>
      </c>
      <c r="I995">
        <v>1321.8869629000001</v>
      </c>
      <c r="J995">
        <v>1318.0178223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420.68429800000001</v>
      </c>
      <c r="B996" s="1">
        <f>DATE(2011,6,25) + TIME(16,25,23)</f>
        <v>40719.684293981481</v>
      </c>
      <c r="C996">
        <v>80</v>
      </c>
      <c r="D996">
        <v>79.954483031999999</v>
      </c>
      <c r="E996">
        <v>50</v>
      </c>
      <c r="F996">
        <v>45.750247954999999</v>
      </c>
      <c r="G996">
        <v>1344.8117675999999</v>
      </c>
      <c r="H996">
        <v>1341.1141356999999</v>
      </c>
      <c r="I996">
        <v>1321.8778076000001</v>
      </c>
      <c r="J996">
        <v>1318.0046387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421.14736499999998</v>
      </c>
      <c r="B997" s="1">
        <f>DATE(2011,6,26) + TIME(3,32,12)</f>
        <v>40720.147361111114</v>
      </c>
      <c r="C997">
        <v>80</v>
      </c>
      <c r="D997">
        <v>79.954475403000004</v>
      </c>
      <c r="E997">
        <v>50</v>
      </c>
      <c r="F997">
        <v>45.726291656000001</v>
      </c>
      <c r="G997">
        <v>1344.8043213000001</v>
      </c>
      <c r="H997">
        <v>1341.1097411999999</v>
      </c>
      <c r="I997">
        <v>1321.8685303</v>
      </c>
      <c r="J997">
        <v>1317.9914550999999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421.610432</v>
      </c>
      <c r="B998" s="1">
        <f>DATE(2011,6,26) + TIME(14,39,1)</f>
        <v>40720.61042824074</v>
      </c>
      <c r="C998">
        <v>80</v>
      </c>
      <c r="D998">
        <v>79.954460143999995</v>
      </c>
      <c r="E998">
        <v>50</v>
      </c>
      <c r="F998">
        <v>45.702728270999998</v>
      </c>
      <c r="G998">
        <v>1344.7969971</v>
      </c>
      <c r="H998">
        <v>1341.1053466999999</v>
      </c>
      <c r="I998">
        <v>1321.8592529</v>
      </c>
      <c r="J998">
        <v>1317.9783935999999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422.07349900000003</v>
      </c>
      <c r="B999" s="1">
        <f>DATE(2011,6,27) + TIME(1,45,50)</f>
        <v>40721.073495370372</v>
      </c>
      <c r="C999">
        <v>80</v>
      </c>
      <c r="D999">
        <v>79.954444885000001</v>
      </c>
      <c r="E999">
        <v>50</v>
      </c>
      <c r="F999">
        <v>45.679447174000003</v>
      </c>
      <c r="G999">
        <v>1344.7896728999999</v>
      </c>
      <c r="H999">
        <v>1341.1009521000001</v>
      </c>
      <c r="I999">
        <v>1321.8500977000001</v>
      </c>
      <c r="J999">
        <v>1317.9652100000001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422.53656599999999</v>
      </c>
      <c r="B1000" s="1">
        <f>DATE(2011,6,27) + TIME(12,52,39)</f>
        <v>40721.536562499998</v>
      </c>
      <c r="C1000">
        <v>80</v>
      </c>
      <c r="D1000">
        <v>79.954429626000007</v>
      </c>
      <c r="E1000">
        <v>50</v>
      </c>
      <c r="F1000">
        <v>45.656379700000002</v>
      </c>
      <c r="G1000">
        <v>1344.7824707</v>
      </c>
      <c r="H1000">
        <v>1341.0966797000001</v>
      </c>
      <c r="I1000">
        <v>1321.8408202999999</v>
      </c>
      <c r="J1000">
        <v>1317.9520264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423.46270099999998</v>
      </c>
      <c r="B1001" s="1">
        <f>DATE(2011,6,28) + TIME(11,6,17)</f>
        <v>40722.462696759256</v>
      </c>
      <c r="C1001">
        <v>80</v>
      </c>
      <c r="D1001">
        <v>79.954429626000007</v>
      </c>
      <c r="E1001">
        <v>50</v>
      </c>
      <c r="F1001">
        <v>45.622501372999999</v>
      </c>
      <c r="G1001">
        <v>1344.7742920000001</v>
      </c>
      <c r="H1001">
        <v>1341.0915527</v>
      </c>
      <c r="I1001">
        <v>1321.8305664</v>
      </c>
      <c r="J1001">
        <v>1317.9367675999999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424.39149200000003</v>
      </c>
      <c r="B1002" s="1">
        <f>DATE(2011,6,29) + TIME(9,23,44)</f>
        <v>40723.391481481478</v>
      </c>
      <c r="C1002">
        <v>80</v>
      </c>
      <c r="D1002">
        <v>79.954414368000002</v>
      </c>
      <c r="E1002">
        <v>50</v>
      </c>
      <c r="F1002">
        <v>45.582782745000003</v>
      </c>
      <c r="G1002">
        <v>1344.7607422000001</v>
      </c>
      <c r="H1002">
        <v>1341.0836182</v>
      </c>
      <c r="I1002">
        <v>1321.8132324000001</v>
      </c>
      <c r="J1002">
        <v>1317.9125977000001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425.33776</v>
      </c>
      <c r="B1003" s="1">
        <f>DATE(2011,6,30) + TIME(8,6,22)</f>
        <v>40724.337754629632</v>
      </c>
      <c r="C1003">
        <v>80</v>
      </c>
      <c r="D1003">
        <v>79.954391478999995</v>
      </c>
      <c r="E1003">
        <v>50</v>
      </c>
      <c r="F1003">
        <v>45.540023804</v>
      </c>
      <c r="G1003">
        <v>1344.7467041</v>
      </c>
      <c r="H1003">
        <v>1341.0753173999999</v>
      </c>
      <c r="I1003">
        <v>1321.7949219</v>
      </c>
      <c r="J1003">
        <v>1317.8867187999999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426</v>
      </c>
      <c r="B1004" s="1">
        <f>DATE(2011,7,1) + TIME(0,0,0)</f>
        <v>40725</v>
      </c>
      <c r="C1004">
        <v>80</v>
      </c>
      <c r="D1004">
        <v>79.954360961999996</v>
      </c>
      <c r="E1004">
        <v>50</v>
      </c>
      <c r="F1004">
        <v>45.503322601000001</v>
      </c>
      <c r="G1004">
        <v>1344.7331543</v>
      </c>
      <c r="H1004">
        <v>1341.0675048999999</v>
      </c>
      <c r="I1004">
        <v>1321.7766113</v>
      </c>
      <c r="J1004">
        <v>1317.8609618999999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426.96713299999999</v>
      </c>
      <c r="B1005" s="1">
        <f>DATE(2011,7,1) + TIME(23,12,40)</f>
        <v>40725.967129629629</v>
      </c>
      <c r="C1005">
        <v>80</v>
      </c>
      <c r="D1005">
        <v>79.954353333</v>
      </c>
      <c r="E1005">
        <v>50</v>
      </c>
      <c r="F1005">
        <v>45.461444855000003</v>
      </c>
      <c r="G1005">
        <v>1344.7222899999999</v>
      </c>
      <c r="H1005">
        <v>1341.0606689000001</v>
      </c>
      <c r="I1005">
        <v>1321.7614745999999</v>
      </c>
      <c r="J1005">
        <v>1317.8387451000001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427.96328299999999</v>
      </c>
      <c r="B1006" s="1">
        <f>DATE(2011,7,2) + TIME(23,7,7)</f>
        <v>40726.963275462964</v>
      </c>
      <c r="C1006">
        <v>80</v>
      </c>
      <c r="D1006">
        <v>79.954330443999993</v>
      </c>
      <c r="E1006">
        <v>50</v>
      </c>
      <c r="F1006">
        <v>45.416793822999999</v>
      </c>
      <c r="G1006">
        <v>1344.7082519999999</v>
      </c>
      <c r="H1006">
        <v>1341.0522461</v>
      </c>
      <c r="I1006">
        <v>1321.7418213000001</v>
      </c>
      <c r="J1006">
        <v>1317.8106689000001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428.98231099999998</v>
      </c>
      <c r="B1007" s="1">
        <f>DATE(2011,7,3) + TIME(23,34,31)</f>
        <v>40727.982303240744</v>
      </c>
      <c r="C1007">
        <v>80</v>
      </c>
      <c r="D1007">
        <v>79.954315186000002</v>
      </c>
      <c r="E1007">
        <v>50</v>
      </c>
      <c r="F1007">
        <v>45.370365143000001</v>
      </c>
      <c r="G1007">
        <v>1344.6938477000001</v>
      </c>
      <c r="H1007">
        <v>1341.0435791</v>
      </c>
      <c r="I1007">
        <v>1321.7211914</v>
      </c>
      <c r="J1007">
        <v>1317.7810059000001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430.02813800000001</v>
      </c>
      <c r="B1008" s="1">
        <f>DATE(2011,7,5) + TIME(0,40,31)</f>
        <v>40729.028136574074</v>
      </c>
      <c r="C1008">
        <v>80</v>
      </c>
      <c r="D1008">
        <v>79.954292296999995</v>
      </c>
      <c r="E1008">
        <v>50</v>
      </c>
      <c r="F1008">
        <v>45.322586059999999</v>
      </c>
      <c r="G1008">
        <v>1344.6793213000001</v>
      </c>
      <c r="H1008">
        <v>1341.0347899999999</v>
      </c>
      <c r="I1008">
        <v>1321.699707</v>
      </c>
      <c r="J1008">
        <v>1317.7501221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431.10520600000001</v>
      </c>
      <c r="B1009" s="1">
        <f>DATE(2011,7,6) + TIME(2,31,29)</f>
        <v>40730.105196759258</v>
      </c>
      <c r="C1009">
        <v>80</v>
      </c>
      <c r="D1009">
        <v>79.954269409000005</v>
      </c>
      <c r="E1009">
        <v>50</v>
      </c>
      <c r="F1009">
        <v>45.273555756</v>
      </c>
      <c r="G1009">
        <v>1344.6644286999999</v>
      </c>
      <c r="H1009">
        <v>1341.0257568</v>
      </c>
      <c r="I1009">
        <v>1321.6773682</v>
      </c>
      <c r="J1009">
        <v>1317.7178954999999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431.66029099999997</v>
      </c>
      <c r="B1010" s="1">
        <f>DATE(2011,7,6) + TIME(15,50,49)</f>
        <v>40730.66028935185</v>
      </c>
      <c r="C1010">
        <v>80</v>
      </c>
      <c r="D1010">
        <v>79.954238892000006</v>
      </c>
      <c r="E1010">
        <v>50</v>
      </c>
      <c r="F1010">
        <v>45.238410950000002</v>
      </c>
      <c r="G1010">
        <v>1344.6508789</v>
      </c>
      <c r="H1010">
        <v>1341.0179443</v>
      </c>
      <c r="I1010">
        <v>1321.6558838000001</v>
      </c>
      <c r="J1010">
        <v>1317.6876221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432.21496000000002</v>
      </c>
      <c r="B1011" s="1">
        <f>DATE(2011,7,7) + TIME(5,9,32)</f>
        <v>40731.214953703704</v>
      </c>
      <c r="C1011">
        <v>80</v>
      </c>
      <c r="D1011">
        <v>79.954223632999998</v>
      </c>
      <c r="E1011">
        <v>50</v>
      </c>
      <c r="F1011">
        <v>45.207012177000003</v>
      </c>
      <c r="G1011">
        <v>1344.6422118999999</v>
      </c>
      <c r="H1011">
        <v>1341.0124512</v>
      </c>
      <c r="I1011">
        <v>1321.6422118999999</v>
      </c>
      <c r="J1011">
        <v>1317.6674805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432.76962800000001</v>
      </c>
      <c r="B1012" s="1">
        <f>DATE(2011,7,7) + TIME(18,28,15)</f>
        <v>40731.769618055558</v>
      </c>
      <c r="C1012">
        <v>80</v>
      </c>
      <c r="D1012">
        <v>79.954208374000004</v>
      </c>
      <c r="E1012">
        <v>50</v>
      </c>
      <c r="F1012">
        <v>45.177883147999999</v>
      </c>
      <c r="G1012">
        <v>1344.6343993999999</v>
      </c>
      <c r="H1012">
        <v>1341.0075684000001</v>
      </c>
      <c r="I1012">
        <v>1321.6292725000001</v>
      </c>
      <c r="J1012">
        <v>1317.6483154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433.324297</v>
      </c>
      <c r="B1013" s="1">
        <f>DATE(2011,7,8) + TIME(7,46,59)</f>
        <v>40732.324293981481</v>
      </c>
      <c r="C1013">
        <v>80</v>
      </c>
      <c r="D1013">
        <v>79.954200744999994</v>
      </c>
      <c r="E1013">
        <v>50</v>
      </c>
      <c r="F1013">
        <v>45.150142670000001</v>
      </c>
      <c r="G1013">
        <v>1344.6267089999999</v>
      </c>
      <c r="H1013">
        <v>1341.0028076000001</v>
      </c>
      <c r="I1013">
        <v>1321.6165771000001</v>
      </c>
      <c r="J1013">
        <v>1317.6296387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433.87896599999999</v>
      </c>
      <c r="B1014" s="1">
        <f>DATE(2011,7,8) + TIME(21,5,42)</f>
        <v>40732.878958333335</v>
      </c>
      <c r="C1014">
        <v>80</v>
      </c>
      <c r="D1014">
        <v>79.954185486</v>
      </c>
      <c r="E1014">
        <v>50</v>
      </c>
      <c r="F1014">
        <v>45.123260498</v>
      </c>
      <c r="G1014">
        <v>1344.6191406</v>
      </c>
      <c r="H1014">
        <v>1340.9981689000001</v>
      </c>
      <c r="I1014">
        <v>1321.6038818</v>
      </c>
      <c r="J1014">
        <v>1317.6110839999999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434.43363399999998</v>
      </c>
      <c r="B1015" s="1">
        <f>DATE(2011,7,9) + TIME(10,24,26)</f>
        <v>40733.433634259258</v>
      </c>
      <c r="C1015">
        <v>80</v>
      </c>
      <c r="D1015">
        <v>79.954177856000001</v>
      </c>
      <c r="E1015">
        <v>50</v>
      </c>
      <c r="F1015">
        <v>45.096904754999997</v>
      </c>
      <c r="G1015">
        <v>1344.6116943</v>
      </c>
      <c r="H1015">
        <v>1340.9935303</v>
      </c>
      <c r="I1015">
        <v>1321.5914307</v>
      </c>
      <c r="J1015">
        <v>1317.5927733999999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434.98830299999997</v>
      </c>
      <c r="B1016" s="1">
        <f>DATE(2011,7,9) + TIME(23,43,9)</f>
        <v>40733.988298611112</v>
      </c>
      <c r="C1016">
        <v>80</v>
      </c>
      <c r="D1016">
        <v>79.954170227000006</v>
      </c>
      <c r="E1016">
        <v>50</v>
      </c>
      <c r="F1016">
        <v>45.070892334</v>
      </c>
      <c r="G1016">
        <v>1344.6042480000001</v>
      </c>
      <c r="H1016">
        <v>1340.9890137</v>
      </c>
      <c r="I1016">
        <v>1321.5788574000001</v>
      </c>
      <c r="J1016">
        <v>1317.5744629000001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435.54297200000002</v>
      </c>
      <c r="B1017" s="1">
        <f>DATE(2011,7,10) + TIME(13,1,52)</f>
        <v>40734.542962962965</v>
      </c>
      <c r="C1017">
        <v>80</v>
      </c>
      <c r="D1017">
        <v>79.954162597999996</v>
      </c>
      <c r="E1017">
        <v>50</v>
      </c>
      <c r="F1017">
        <v>45.045093536000003</v>
      </c>
      <c r="G1017">
        <v>1344.5969238</v>
      </c>
      <c r="H1017">
        <v>1340.984375</v>
      </c>
      <c r="I1017">
        <v>1321.5664062000001</v>
      </c>
      <c r="J1017">
        <v>1317.5561522999999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436.652309</v>
      </c>
      <c r="B1018" s="1">
        <f>DATE(2011,7,11) + TIME(15,39,19)</f>
        <v>40735.652303240742</v>
      </c>
      <c r="C1018">
        <v>80</v>
      </c>
      <c r="D1018">
        <v>79.954170227000006</v>
      </c>
      <c r="E1018">
        <v>50</v>
      </c>
      <c r="F1018">
        <v>45.008430480999998</v>
      </c>
      <c r="G1018">
        <v>1344.5887451000001</v>
      </c>
      <c r="H1018">
        <v>1340.979126</v>
      </c>
      <c r="I1018">
        <v>1321.5526123</v>
      </c>
      <c r="J1018">
        <v>1317.5352783000001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437.76203299999997</v>
      </c>
      <c r="B1019" s="1">
        <f>DATE(2011,7,12) + TIME(18,17,19)</f>
        <v>40736.762025462966</v>
      </c>
      <c r="C1019">
        <v>80</v>
      </c>
      <c r="D1019">
        <v>79.954162597999996</v>
      </c>
      <c r="E1019">
        <v>50</v>
      </c>
      <c r="F1019">
        <v>44.963764191000003</v>
      </c>
      <c r="G1019">
        <v>1344.5749512</v>
      </c>
      <c r="H1019">
        <v>1340.9708252</v>
      </c>
      <c r="I1019">
        <v>1321.5296631000001</v>
      </c>
      <c r="J1019">
        <v>1317.5021973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438.88457399999999</v>
      </c>
      <c r="B1020" s="1">
        <f>DATE(2011,7,13) + TIME(21,13,47)</f>
        <v>40737.884571759256</v>
      </c>
      <c r="C1020">
        <v>80</v>
      </c>
      <c r="D1020">
        <v>79.954154967999997</v>
      </c>
      <c r="E1020">
        <v>50</v>
      </c>
      <c r="F1020">
        <v>44.915493011000002</v>
      </c>
      <c r="G1020">
        <v>1344.5606689000001</v>
      </c>
      <c r="H1020">
        <v>1340.9620361</v>
      </c>
      <c r="I1020">
        <v>1321.505249</v>
      </c>
      <c r="J1020">
        <v>1317.4666748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440.020712</v>
      </c>
      <c r="B1021" s="1">
        <f>DATE(2011,7,15) + TIME(0,29,49)</f>
        <v>40739.02070601852</v>
      </c>
      <c r="C1021">
        <v>80</v>
      </c>
      <c r="D1021">
        <v>79.954139709000003</v>
      </c>
      <c r="E1021">
        <v>50</v>
      </c>
      <c r="F1021">
        <v>44.865386962999999</v>
      </c>
      <c r="G1021">
        <v>1344.5463867000001</v>
      </c>
      <c r="H1021">
        <v>1340.9532471</v>
      </c>
      <c r="I1021">
        <v>1321.4799805</v>
      </c>
      <c r="J1021">
        <v>1317.4295654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441.169803</v>
      </c>
      <c r="B1022" s="1">
        <f>DATE(2011,7,16) + TIME(4,4,30)</f>
        <v>40740.169791666667</v>
      </c>
      <c r="C1022">
        <v>80</v>
      </c>
      <c r="D1022">
        <v>79.954124450999998</v>
      </c>
      <c r="E1022">
        <v>50</v>
      </c>
      <c r="F1022">
        <v>44.814208983999997</v>
      </c>
      <c r="G1022">
        <v>1344.5321045000001</v>
      </c>
      <c r="H1022">
        <v>1340.9443358999999</v>
      </c>
      <c r="I1022">
        <v>1321.4539795000001</v>
      </c>
      <c r="J1022">
        <v>1317.3913574000001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442.34280899999999</v>
      </c>
      <c r="B1023" s="1">
        <f>DATE(2011,7,17) + TIME(8,13,38)</f>
        <v>40741.342800925922</v>
      </c>
      <c r="C1023">
        <v>80</v>
      </c>
      <c r="D1023">
        <v>79.954116821</v>
      </c>
      <c r="E1023">
        <v>50</v>
      </c>
      <c r="F1023">
        <v>44.762088775999999</v>
      </c>
      <c r="G1023">
        <v>1344.5178223</v>
      </c>
      <c r="H1023">
        <v>1340.9353027</v>
      </c>
      <c r="I1023">
        <v>1321.4274902</v>
      </c>
      <c r="J1023">
        <v>1317.3520507999999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443.54773699999998</v>
      </c>
      <c r="B1024" s="1">
        <f>DATE(2011,7,18) + TIME(13,8,44)</f>
        <v>40742.547731481478</v>
      </c>
      <c r="C1024">
        <v>80</v>
      </c>
      <c r="D1024">
        <v>79.954109192000004</v>
      </c>
      <c r="E1024">
        <v>50</v>
      </c>
      <c r="F1024">
        <v>44.708843231000003</v>
      </c>
      <c r="G1024">
        <v>1344.503418</v>
      </c>
      <c r="H1024">
        <v>1340.9262695</v>
      </c>
      <c r="I1024">
        <v>1321.4001464999999</v>
      </c>
      <c r="J1024">
        <v>1317.3116454999999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444.78979800000002</v>
      </c>
      <c r="B1025" s="1">
        <f>DATE(2011,7,19) + TIME(18,57,18)</f>
        <v>40743.78979166667</v>
      </c>
      <c r="C1025">
        <v>80</v>
      </c>
      <c r="D1025">
        <v>79.954093932999996</v>
      </c>
      <c r="E1025">
        <v>50</v>
      </c>
      <c r="F1025">
        <v>44.654247284</v>
      </c>
      <c r="G1025">
        <v>1344.4888916</v>
      </c>
      <c r="H1025">
        <v>1340.9171143000001</v>
      </c>
      <c r="I1025">
        <v>1321.3720702999999</v>
      </c>
      <c r="J1025">
        <v>1317.2697754000001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446.04535900000002</v>
      </c>
      <c r="B1026" s="1">
        <f>DATE(2011,7,21) + TIME(1,5,19)</f>
        <v>40745.045358796298</v>
      </c>
      <c r="C1026">
        <v>80</v>
      </c>
      <c r="D1026">
        <v>79.954086304</v>
      </c>
      <c r="E1026">
        <v>50</v>
      </c>
      <c r="F1026">
        <v>44.598560333000002</v>
      </c>
      <c r="G1026">
        <v>1344.473999</v>
      </c>
      <c r="H1026">
        <v>1340.9077147999999</v>
      </c>
      <c r="I1026">
        <v>1321.3430175999999</v>
      </c>
      <c r="J1026">
        <v>1317.2265625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447.31908299999998</v>
      </c>
      <c r="B1027" s="1">
        <f>DATE(2011,7,22) + TIME(7,39,28)</f>
        <v>40746.319074074076</v>
      </c>
      <c r="C1027">
        <v>80</v>
      </c>
      <c r="D1027">
        <v>79.954078674000002</v>
      </c>
      <c r="E1027">
        <v>50</v>
      </c>
      <c r="F1027">
        <v>44.54202652</v>
      </c>
      <c r="G1027">
        <v>1344.4592285000001</v>
      </c>
      <c r="H1027">
        <v>1340.8983154</v>
      </c>
      <c r="I1027">
        <v>1321.3133545000001</v>
      </c>
      <c r="J1027">
        <v>1317.182251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448.615408</v>
      </c>
      <c r="B1028" s="1">
        <f>DATE(2011,7,23) + TIME(14,46,11)</f>
        <v>40747.615405092591</v>
      </c>
      <c r="C1028">
        <v>80</v>
      </c>
      <c r="D1028">
        <v>79.954071045000006</v>
      </c>
      <c r="E1028">
        <v>50</v>
      </c>
      <c r="F1028">
        <v>44.484634399000001</v>
      </c>
      <c r="G1028">
        <v>1344.4443358999999</v>
      </c>
      <c r="H1028">
        <v>1340.8889160000001</v>
      </c>
      <c r="I1028">
        <v>1321.2832031</v>
      </c>
      <c r="J1028">
        <v>1317.1369629000001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449.269136</v>
      </c>
      <c r="B1029" s="1">
        <f>DATE(2011,7,24) + TIME(6,27,33)</f>
        <v>40748.269131944442</v>
      </c>
      <c r="C1029">
        <v>80</v>
      </c>
      <c r="D1029">
        <v>79.954048157000003</v>
      </c>
      <c r="E1029">
        <v>50</v>
      </c>
      <c r="F1029">
        <v>44.442642212000003</v>
      </c>
      <c r="G1029">
        <v>1344.4309082</v>
      </c>
      <c r="H1029">
        <v>1340.8807373</v>
      </c>
      <c r="I1029">
        <v>1321.2545166</v>
      </c>
      <c r="J1029">
        <v>1317.0948486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449.922864</v>
      </c>
      <c r="B1030" s="1">
        <f>DATE(2011,7,24) + TIME(22,8,55)</f>
        <v>40748.922858796293</v>
      </c>
      <c r="C1030">
        <v>80</v>
      </c>
      <c r="D1030">
        <v>79.954040527000004</v>
      </c>
      <c r="E1030">
        <v>50</v>
      </c>
      <c r="F1030">
        <v>44.406269072999997</v>
      </c>
      <c r="G1030">
        <v>1344.4224853999999</v>
      </c>
      <c r="H1030">
        <v>1340.8751221</v>
      </c>
      <c r="I1030">
        <v>1321.2365723</v>
      </c>
      <c r="J1030">
        <v>1317.0671387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450.57659200000001</v>
      </c>
      <c r="B1031" s="1">
        <f>DATE(2011,7,25) + TIME(13,50,17)</f>
        <v>40749.576585648145</v>
      </c>
      <c r="C1031">
        <v>80</v>
      </c>
      <c r="D1031">
        <v>79.954032897999994</v>
      </c>
      <c r="E1031">
        <v>50</v>
      </c>
      <c r="F1031">
        <v>44.373023987000003</v>
      </c>
      <c r="G1031">
        <v>1344.4147949000001</v>
      </c>
      <c r="H1031">
        <v>1340.8701172000001</v>
      </c>
      <c r="I1031">
        <v>1321.2196045000001</v>
      </c>
      <c r="J1031">
        <v>1317.0410156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451.23031900000001</v>
      </c>
      <c r="B1032" s="1">
        <f>DATE(2011,7,26) + TIME(5,31,39)</f>
        <v>40750.230312500003</v>
      </c>
      <c r="C1032">
        <v>80</v>
      </c>
      <c r="D1032">
        <v>79.954025268999999</v>
      </c>
      <c r="E1032">
        <v>50</v>
      </c>
      <c r="F1032">
        <v>44.341537475999999</v>
      </c>
      <c r="G1032">
        <v>1344.4073486</v>
      </c>
      <c r="H1032">
        <v>1340.8652344</v>
      </c>
      <c r="I1032">
        <v>1321.203125</v>
      </c>
      <c r="J1032">
        <v>1317.0159911999999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451.88404700000001</v>
      </c>
      <c r="B1033" s="1">
        <f>DATE(2011,7,26) + TIME(21,13,1)</f>
        <v>40750.884039351855</v>
      </c>
      <c r="C1033">
        <v>80</v>
      </c>
      <c r="D1033">
        <v>79.954025268999999</v>
      </c>
      <c r="E1033">
        <v>50</v>
      </c>
      <c r="F1033">
        <v>44.311042786000002</v>
      </c>
      <c r="G1033">
        <v>1344.4000243999999</v>
      </c>
      <c r="H1033">
        <v>1340.8604736</v>
      </c>
      <c r="I1033">
        <v>1321.1870117000001</v>
      </c>
      <c r="J1033">
        <v>1316.9913329999999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453.19150300000001</v>
      </c>
      <c r="B1034" s="1">
        <f>DATE(2011,7,28) + TIME(4,35,45)</f>
        <v>40752.191493055558</v>
      </c>
      <c r="C1034">
        <v>80</v>
      </c>
      <c r="D1034">
        <v>79.954048157000003</v>
      </c>
      <c r="E1034">
        <v>50</v>
      </c>
      <c r="F1034">
        <v>44.269680022999999</v>
      </c>
      <c r="G1034">
        <v>1344.3918457</v>
      </c>
      <c r="H1034">
        <v>1340.8549805</v>
      </c>
      <c r="I1034">
        <v>1321.1694336</v>
      </c>
      <c r="J1034">
        <v>1316.9638672000001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454.50157300000001</v>
      </c>
      <c r="B1035" s="1">
        <f>DATE(2011,7,29) + TIME(12,2,15)</f>
        <v>40753.501562500001</v>
      </c>
      <c r="C1035">
        <v>80</v>
      </c>
      <c r="D1035">
        <v>79.954048157000003</v>
      </c>
      <c r="E1035">
        <v>50</v>
      </c>
      <c r="F1035">
        <v>44.217880248999997</v>
      </c>
      <c r="G1035">
        <v>1344.3781738</v>
      </c>
      <c r="H1035">
        <v>1340.8463135</v>
      </c>
      <c r="I1035">
        <v>1321.1408690999999</v>
      </c>
      <c r="J1035">
        <v>1316.9208983999999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455.82575200000002</v>
      </c>
      <c r="B1036" s="1">
        <f>DATE(2011,7,30) + TIME(19,49,5)</f>
        <v>40754.825752314813</v>
      </c>
      <c r="C1036">
        <v>80</v>
      </c>
      <c r="D1036">
        <v>79.954048157000003</v>
      </c>
      <c r="E1036">
        <v>50</v>
      </c>
      <c r="F1036">
        <v>44.161979674999998</v>
      </c>
      <c r="G1036">
        <v>1344.3640137</v>
      </c>
      <c r="H1036">
        <v>1340.8372803</v>
      </c>
      <c r="I1036">
        <v>1321.1104736</v>
      </c>
      <c r="J1036">
        <v>1316.8746338000001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457</v>
      </c>
      <c r="B1037" s="1">
        <f>DATE(2011,8,1) + TIME(0,0,0)</f>
        <v>40756</v>
      </c>
      <c r="C1037">
        <v>80</v>
      </c>
      <c r="D1037">
        <v>79.954048157000003</v>
      </c>
      <c r="E1037">
        <v>50</v>
      </c>
      <c r="F1037">
        <v>44.107200622999997</v>
      </c>
      <c r="G1037">
        <v>1344.3500977000001</v>
      </c>
      <c r="H1037">
        <v>1340.8283690999999</v>
      </c>
      <c r="I1037">
        <v>1321.0794678</v>
      </c>
      <c r="J1037">
        <v>1316.8272704999999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458.34289000000001</v>
      </c>
      <c r="B1038" s="1">
        <f>DATE(2011,8,2) + TIME(8,13,45)</f>
        <v>40757.342881944445</v>
      </c>
      <c r="C1038">
        <v>80</v>
      </c>
      <c r="D1038">
        <v>79.954048157000003</v>
      </c>
      <c r="E1038">
        <v>50</v>
      </c>
      <c r="F1038">
        <v>44.051635742000002</v>
      </c>
      <c r="G1038">
        <v>1344.3372803</v>
      </c>
      <c r="H1038">
        <v>1340.8198242000001</v>
      </c>
      <c r="I1038">
        <v>1321.050293</v>
      </c>
      <c r="J1038">
        <v>1316.7819824000001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459.75158800000003</v>
      </c>
      <c r="B1039" s="1">
        <f>DATE(2011,8,3) + TIME(18,2,17)</f>
        <v>40758.751585648148</v>
      </c>
      <c r="C1039">
        <v>80</v>
      </c>
      <c r="D1039">
        <v>79.954055785999998</v>
      </c>
      <c r="E1039">
        <v>50</v>
      </c>
      <c r="F1039">
        <v>43.993431090999998</v>
      </c>
      <c r="G1039">
        <v>1344.3232422000001</v>
      </c>
      <c r="H1039">
        <v>1340.8106689000001</v>
      </c>
      <c r="I1039">
        <v>1321.0184326000001</v>
      </c>
      <c r="J1039">
        <v>1316.7326660000001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461.176715</v>
      </c>
      <c r="B1040" s="1">
        <f>DATE(2011,8,5) + TIME(4,14,28)</f>
        <v>40760.176712962966</v>
      </c>
      <c r="C1040">
        <v>80</v>
      </c>
      <c r="D1040">
        <v>79.954055785999998</v>
      </c>
      <c r="E1040">
        <v>50</v>
      </c>
      <c r="F1040">
        <v>43.933689117</v>
      </c>
      <c r="G1040">
        <v>1344.3087158000001</v>
      </c>
      <c r="H1040">
        <v>1340.8011475000001</v>
      </c>
      <c r="I1040">
        <v>1320.9851074000001</v>
      </c>
      <c r="J1040">
        <v>1316.6810303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462.62387200000001</v>
      </c>
      <c r="B1041" s="1">
        <f>DATE(2011,8,6) + TIME(14,58,22)</f>
        <v>40761.623865740738</v>
      </c>
      <c r="C1041">
        <v>80</v>
      </c>
      <c r="D1041">
        <v>79.954055785999998</v>
      </c>
      <c r="E1041">
        <v>50</v>
      </c>
      <c r="F1041">
        <v>43.873508452999999</v>
      </c>
      <c r="G1041">
        <v>1344.2940673999999</v>
      </c>
      <c r="H1041">
        <v>1340.7915039</v>
      </c>
      <c r="I1041">
        <v>1320.9511719</v>
      </c>
      <c r="J1041">
        <v>1316.6280518000001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464.09907800000002</v>
      </c>
      <c r="B1042" s="1">
        <f>DATE(2011,8,8) + TIME(2,22,40)</f>
        <v>40763.099074074074</v>
      </c>
      <c r="C1042">
        <v>80</v>
      </c>
      <c r="D1042">
        <v>79.954063415999997</v>
      </c>
      <c r="E1042">
        <v>50</v>
      </c>
      <c r="F1042">
        <v>43.813339233000001</v>
      </c>
      <c r="G1042">
        <v>1344.2794189000001</v>
      </c>
      <c r="H1042">
        <v>1340.7818603999999</v>
      </c>
      <c r="I1042">
        <v>1320.9168701000001</v>
      </c>
      <c r="J1042">
        <v>1316.5742187999999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465.60092100000003</v>
      </c>
      <c r="B1043" s="1">
        <f>DATE(2011,8,9) + TIME(14,25,19)</f>
        <v>40764.600914351853</v>
      </c>
      <c r="C1043">
        <v>80</v>
      </c>
      <c r="D1043">
        <v>79.954071045000006</v>
      </c>
      <c r="E1043">
        <v>50</v>
      </c>
      <c r="F1043">
        <v>43.753574370999999</v>
      </c>
      <c r="G1043">
        <v>1344.2646483999999</v>
      </c>
      <c r="H1043">
        <v>1340.7720947</v>
      </c>
      <c r="I1043">
        <v>1320.8820800999999</v>
      </c>
      <c r="J1043">
        <v>1316.5191649999999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466.36426899999998</v>
      </c>
      <c r="B1044" s="1">
        <f>DATE(2011,8,10) + TIME(8,44,32)</f>
        <v>40765.364259259259</v>
      </c>
      <c r="C1044">
        <v>80</v>
      </c>
      <c r="D1044">
        <v>79.954048157000003</v>
      </c>
      <c r="E1044">
        <v>50</v>
      </c>
      <c r="F1044">
        <v>43.7096138</v>
      </c>
      <c r="G1044">
        <v>1344.2513428</v>
      </c>
      <c r="H1044">
        <v>1340.7635498</v>
      </c>
      <c r="I1044">
        <v>1320.8492432</v>
      </c>
      <c r="J1044">
        <v>1316.4681396000001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467.12761799999998</v>
      </c>
      <c r="B1045" s="1">
        <f>DATE(2011,8,11) + TIME(3,3,46)</f>
        <v>40766.127615740741</v>
      </c>
      <c r="C1045">
        <v>80</v>
      </c>
      <c r="D1045">
        <v>79.954048157000003</v>
      </c>
      <c r="E1045">
        <v>50</v>
      </c>
      <c r="F1045">
        <v>43.673454284999998</v>
      </c>
      <c r="G1045">
        <v>1344.2427978999999</v>
      </c>
      <c r="H1045">
        <v>1340.7576904</v>
      </c>
      <c r="I1045">
        <v>1320.8283690999999</v>
      </c>
      <c r="J1045">
        <v>1316.434082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468.654315</v>
      </c>
      <c r="B1046" s="1">
        <f>DATE(2011,8,12) + TIME(15,42,12)</f>
        <v>40767.654305555552</v>
      </c>
      <c r="C1046">
        <v>80</v>
      </c>
      <c r="D1046">
        <v>79.954078674000002</v>
      </c>
      <c r="E1046">
        <v>50</v>
      </c>
      <c r="F1046">
        <v>43.630897521999998</v>
      </c>
      <c r="G1046">
        <v>1344.2341309000001</v>
      </c>
      <c r="H1046">
        <v>1340.7514647999999</v>
      </c>
      <c r="I1046">
        <v>1320.8068848</v>
      </c>
      <c r="J1046">
        <v>1316.3988036999999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470.18165800000003</v>
      </c>
      <c r="B1047" s="1">
        <f>DATE(2011,8,14) + TIME(4,21,35)</f>
        <v>40769.181655092594</v>
      </c>
      <c r="C1047">
        <v>80</v>
      </c>
      <c r="D1047">
        <v>79.954093932999996</v>
      </c>
      <c r="E1047">
        <v>50</v>
      </c>
      <c r="F1047">
        <v>43.581550598</v>
      </c>
      <c r="G1047">
        <v>1344.2200928</v>
      </c>
      <c r="H1047">
        <v>1340.7421875</v>
      </c>
      <c r="I1047">
        <v>1320.7744141000001</v>
      </c>
      <c r="J1047">
        <v>1316.3469238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471.721183</v>
      </c>
      <c r="B1048" s="1">
        <f>DATE(2011,8,15) + TIME(17,18,30)</f>
        <v>40770.721180555556</v>
      </c>
      <c r="C1048">
        <v>80</v>
      </c>
      <c r="D1048">
        <v>79.954101562000005</v>
      </c>
      <c r="E1048">
        <v>50</v>
      </c>
      <c r="F1048">
        <v>43.532375336000001</v>
      </c>
      <c r="G1048">
        <v>1344.2055664</v>
      </c>
      <c r="H1048">
        <v>1340.7325439000001</v>
      </c>
      <c r="I1048">
        <v>1320.7402344</v>
      </c>
      <c r="J1048">
        <v>1316.2918701000001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473.27915200000001</v>
      </c>
      <c r="B1049" s="1">
        <f>DATE(2011,8,17) + TIME(6,41,58)</f>
        <v>40772.279143518521</v>
      </c>
      <c r="C1049">
        <v>80</v>
      </c>
      <c r="D1049">
        <v>79.954109192000004</v>
      </c>
      <c r="E1049">
        <v>50</v>
      </c>
      <c r="F1049">
        <v>43.486087799000003</v>
      </c>
      <c r="G1049">
        <v>1344.1911620999999</v>
      </c>
      <c r="H1049">
        <v>1340.7227783000001</v>
      </c>
      <c r="I1049">
        <v>1320.7056885</v>
      </c>
      <c r="J1049">
        <v>1316.2355957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474.86182200000002</v>
      </c>
      <c r="B1050" s="1">
        <f>DATE(2011,8,18) + TIME(20,41,1)</f>
        <v>40773.861817129633</v>
      </c>
      <c r="C1050">
        <v>80</v>
      </c>
      <c r="D1050">
        <v>79.954124450999998</v>
      </c>
      <c r="E1050">
        <v>50</v>
      </c>
      <c r="F1050">
        <v>43.444087981999999</v>
      </c>
      <c r="G1050">
        <v>1344.1766356999999</v>
      </c>
      <c r="H1050">
        <v>1340.7128906</v>
      </c>
      <c r="I1050">
        <v>1320.6710204999999</v>
      </c>
      <c r="J1050">
        <v>1316.1787108999999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476.46788400000003</v>
      </c>
      <c r="B1051" s="1">
        <f>DATE(2011,8,20) + TIME(11,13,45)</f>
        <v>40775.467881944445</v>
      </c>
      <c r="C1051">
        <v>80</v>
      </c>
      <c r="D1051">
        <v>79.954139709000003</v>
      </c>
      <c r="E1051">
        <v>50</v>
      </c>
      <c r="F1051">
        <v>43.407676696999999</v>
      </c>
      <c r="G1051">
        <v>1344.1619873</v>
      </c>
      <c r="H1051">
        <v>1340.7030029</v>
      </c>
      <c r="I1051">
        <v>1320.6362305</v>
      </c>
      <c r="J1051">
        <v>1316.1212158000001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478.09377599999999</v>
      </c>
      <c r="B1052" s="1">
        <f>DATE(2011,8,22) + TIME(2,15,2)</f>
        <v>40777.093773148146</v>
      </c>
      <c r="C1052">
        <v>80</v>
      </c>
      <c r="D1052">
        <v>79.954147339000002</v>
      </c>
      <c r="E1052">
        <v>50</v>
      </c>
      <c r="F1052">
        <v>43.378238678000002</v>
      </c>
      <c r="G1052">
        <v>1344.1473389</v>
      </c>
      <c r="H1052">
        <v>1340.6929932</v>
      </c>
      <c r="I1052">
        <v>1320.6014404</v>
      </c>
      <c r="J1052">
        <v>1316.0634766000001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479.74624699999998</v>
      </c>
      <c r="B1053" s="1">
        <f>DATE(2011,8,23) + TIME(17,54,35)</f>
        <v>40778.746238425927</v>
      </c>
      <c r="C1053">
        <v>80</v>
      </c>
      <c r="D1053">
        <v>79.954162597999996</v>
      </c>
      <c r="E1053">
        <v>50</v>
      </c>
      <c r="F1053">
        <v>43.357261657999999</v>
      </c>
      <c r="G1053">
        <v>1344.1326904</v>
      </c>
      <c r="H1053">
        <v>1340.6829834</v>
      </c>
      <c r="I1053">
        <v>1320.5668945</v>
      </c>
      <c r="J1053">
        <v>1316.0056152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481.43241</v>
      </c>
      <c r="B1054" s="1">
        <f>DATE(2011,8,25) + TIME(10,22,40)</f>
        <v>40780.43240740741</v>
      </c>
      <c r="C1054">
        <v>80</v>
      </c>
      <c r="D1054">
        <v>79.954177856000001</v>
      </c>
      <c r="E1054">
        <v>50</v>
      </c>
      <c r="F1054">
        <v>43.346385955999999</v>
      </c>
      <c r="G1054">
        <v>1344.1179199000001</v>
      </c>
      <c r="H1054">
        <v>1340.6727295000001</v>
      </c>
      <c r="I1054">
        <v>1320.5325928</v>
      </c>
      <c r="J1054">
        <v>1315.9476318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483.16283600000003</v>
      </c>
      <c r="B1055" s="1">
        <f>DATE(2011,8,27) + TIME(3,54,29)</f>
        <v>40782.162835648145</v>
      </c>
      <c r="C1055">
        <v>80</v>
      </c>
      <c r="D1055">
        <v>79.954200744999994</v>
      </c>
      <c r="E1055">
        <v>50</v>
      </c>
      <c r="F1055">
        <v>43.347702026</v>
      </c>
      <c r="G1055">
        <v>1344.1030272999999</v>
      </c>
      <c r="H1055">
        <v>1340.6624756000001</v>
      </c>
      <c r="I1055">
        <v>1320.4984131000001</v>
      </c>
      <c r="J1055">
        <v>1315.8894043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484.91484400000002</v>
      </c>
      <c r="B1056" s="1">
        <f>DATE(2011,8,28) + TIME(21,57,22)</f>
        <v>40783.914837962962</v>
      </c>
      <c r="C1056">
        <v>80</v>
      </c>
      <c r="D1056">
        <v>79.954216002999999</v>
      </c>
      <c r="E1056">
        <v>50</v>
      </c>
      <c r="F1056">
        <v>43.363822937000002</v>
      </c>
      <c r="G1056">
        <v>1344.0880127</v>
      </c>
      <c r="H1056">
        <v>1340.6520995999999</v>
      </c>
      <c r="I1056">
        <v>1320.4642334</v>
      </c>
      <c r="J1056">
        <v>1315.8310547000001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486.68961300000001</v>
      </c>
      <c r="B1057" s="1">
        <f>DATE(2011,8,30) + TIME(16,33,2)</f>
        <v>40785.689606481479</v>
      </c>
      <c r="C1057">
        <v>80</v>
      </c>
      <c r="D1057">
        <v>79.954238892000006</v>
      </c>
      <c r="E1057">
        <v>50</v>
      </c>
      <c r="F1057">
        <v>43.397323608000001</v>
      </c>
      <c r="G1057">
        <v>1344.072876</v>
      </c>
      <c r="H1057">
        <v>1340.6414795000001</v>
      </c>
      <c r="I1057">
        <v>1320.4306641000001</v>
      </c>
      <c r="J1057">
        <v>1315.7730713000001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488</v>
      </c>
      <c r="B1058" s="1">
        <f>DATE(2011,9,1) + TIME(0,0,0)</f>
        <v>40787</v>
      </c>
      <c r="C1058">
        <v>80</v>
      </c>
      <c r="D1058">
        <v>79.954238892000006</v>
      </c>
      <c r="E1058">
        <v>50</v>
      </c>
      <c r="F1058">
        <v>43.445724487</v>
      </c>
      <c r="G1058">
        <v>1344.0584716999999</v>
      </c>
      <c r="H1058">
        <v>1340.6315918</v>
      </c>
      <c r="I1058">
        <v>1320.3992920000001</v>
      </c>
      <c r="J1058">
        <v>1315.7180175999999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489.78103499999997</v>
      </c>
      <c r="B1059" s="1">
        <f>DATE(2011,9,2) + TIME(18,44,41)</f>
        <v>40788.781030092592</v>
      </c>
      <c r="C1059">
        <v>80</v>
      </c>
      <c r="D1059">
        <v>79.954269409000005</v>
      </c>
      <c r="E1059">
        <v>50</v>
      </c>
      <c r="F1059">
        <v>43.509052277000002</v>
      </c>
      <c r="G1059">
        <v>1344.0463867000001</v>
      </c>
      <c r="H1059">
        <v>1340.6228027</v>
      </c>
      <c r="I1059">
        <v>1320.3720702999999</v>
      </c>
      <c r="J1059">
        <v>1315.6715088000001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491.59317499999997</v>
      </c>
      <c r="B1060" s="1">
        <f>DATE(2011,9,4) + TIME(14,14,10)</f>
        <v>40790.593171296299</v>
      </c>
      <c r="C1060">
        <v>80</v>
      </c>
      <c r="D1060">
        <v>79.954299926999994</v>
      </c>
      <c r="E1060">
        <v>50</v>
      </c>
      <c r="F1060">
        <v>43.600845337000003</v>
      </c>
      <c r="G1060">
        <v>1344.0317382999999</v>
      </c>
      <c r="H1060">
        <v>1340.6125488</v>
      </c>
      <c r="I1060">
        <v>1320.3421631000001</v>
      </c>
      <c r="J1060">
        <v>1315.6191406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493.41999900000002</v>
      </c>
      <c r="B1061" s="1">
        <f>DATE(2011,9,6) + TIME(10,4,47)</f>
        <v>40792.419988425929</v>
      </c>
      <c r="C1061">
        <v>80</v>
      </c>
      <c r="D1061">
        <v>79.954322814999998</v>
      </c>
      <c r="E1061">
        <v>50</v>
      </c>
      <c r="F1061">
        <v>43.720890044999997</v>
      </c>
      <c r="G1061">
        <v>1344.0168457</v>
      </c>
      <c r="H1061">
        <v>1340.6020507999999</v>
      </c>
      <c r="I1061">
        <v>1320.3121338000001</v>
      </c>
      <c r="J1061">
        <v>1315.5665283000001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495.26203600000002</v>
      </c>
      <c r="B1062" s="1">
        <f>DATE(2011,9,8) + TIME(6,17,19)</f>
        <v>40794.262025462966</v>
      </c>
      <c r="C1062">
        <v>80</v>
      </c>
      <c r="D1062">
        <v>79.954345703000001</v>
      </c>
      <c r="E1062">
        <v>50</v>
      </c>
      <c r="F1062">
        <v>43.870227814000003</v>
      </c>
      <c r="G1062">
        <v>1344.0018310999999</v>
      </c>
      <c r="H1062">
        <v>1340.5914307</v>
      </c>
      <c r="I1062">
        <v>1320.2828368999999</v>
      </c>
      <c r="J1062">
        <v>1315.5150146000001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497.12789500000002</v>
      </c>
      <c r="B1063" s="1">
        <f>DATE(2011,9,10) + TIME(3,4,10)</f>
        <v>40796.127893518518</v>
      </c>
      <c r="C1063">
        <v>80</v>
      </c>
      <c r="D1063">
        <v>79.954368591000005</v>
      </c>
      <c r="E1063">
        <v>50</v>
      </c>
      <c r="F1063">
        <v>44.050605773999997</v>
      </c>
      <c r="G1063">
        <v>1343.9869385</v>
      </c>
      <c r="H1063">
        <v>1340.5808105000001</v>
      </c>
      <c r="I1063">
        <v>1320.2542725000001</v>
      </c>
      <c r="J1063">
        <v>1315.465332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499.026363</v>
      </c>
      <c r="B1064" s="1">
        <f>DATE(2011,9,12) + TIME(0,37,57)</f>
        <v>40798.026354166665</v>
      </c>
      <c r="C1064">
        <v>80</v>
      </c>
      <c r="D1064">
        <v>79.954399108999993</v>
      </c>
      <c r="E1064">
        <v>50</v>
      </c>
      <c r="F1064">
        <v>44.264102936</v>
      </c>
      <c r="G1064">
        <v>1343.9719238</v>
      </c>
      <c r="H1064">
        <v>1340.5700684000001</v>
      </c>
      <c r="I1064">
        <v>1320.2266846</v>
      </c>
      <c r="J1064">
        <v>1315.4174805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500.96648499999998</v>
      </c>
      <c r="B1065" s="1">
        <f>DATE(2011,9,13) + TIME(23,11,44)</f>
        <v>40799.966481481482</v>
      </c>
      <c r="C1065">
        <v>80</v>
      </c>
      <c r="D1065">
        <v>79.954429626000007</v>
      </c>
      <c r="E1065">
        <v>50</v>
      </c>
      <c r="F1065">
        <v>44.512916564999998</v>
      </c>
      <c r="G1065">
        <v>1343.9569091999999</v>
      </c>
      <c r="H1065">
        <v>1340.5592041</v>
      </c>
      <c r="I1065">
        <v>1320.1999512</v>
      </c>
      <c r="J1065">
        <v>1315.3714600000001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502.950604</v>
      </c>
      <c r="B1066" s="1">
        <f>DATE(2011,9,15) + TIME(22,48,52)</f>
        <v>40801.950601851851</v>
      </c>
      <c r="C1066">
        <v>80</v>
      </c>
      <c r="D1066">
        <v>79.954460143999995</v>
      </c>
      <c r="E1066">
        <v>50</v>
      </c>
      <c r="F1066">
        <v>44.798694611000002</v>
      </c>
      <c r="G1066">
        <v>1343.9417725000001</v>
      </c>
      <c r="H1066">
        <v>1340.5483397999999</v>
      </c>
      <c r="I1066">
        <v>1320.1738281</v>
      </c>
      <c r="J1066">
        <v>1315.3271483999999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504.96189800000002</v>
      </c>
      <c r="B1067" s="1">
        <f>DATE(2011,9,17) + TIME(23,5,7)</f>
        <v>40803.961886574078</v>
      </c>
      <c r="C1067">
        <v>80</v>
      </c>
      <c r="D1067">
        <v>79.954490661999998</v>
      </c>
      <c r="E1067">
        <v>50</v>
      </c>
      <c r="F1067">
        <v>45.121276854999998</v>
      </c>
      <c r="G1067">
        <v>1343.9263916</v>
      </c>
      <c r="H1067">
        <v>1340.5372314000001</v>
      </c>
      <c r="I1067">
        <v>1320.1485596</v>
      </c>
      <c r="J1067">
        <v>1315.2850341999999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507.00972899999999</v>
      </c>
      <c r="B1068" s="1">
        <f>DATE(2011,9,20) + TIME(0,14,0)</f>
        <v>40806.009722222225</v>
      </c>
      <c r="C1068">
        <v>80</v>
      </c>
      <c r="D1068">
        <v>79.954521178999997</v>
      </c>
      <c r="E1068">
        <v>50</v>
      </c>
      <c r="F1068">
        <v>45.478145599000001</v>
      </c>
      <c r="G1068">
        <v>1343.9110106999999</v>
      </c>
      <c r="H1068">
        <v>1340.5261230000001</v>
      </c>
      <c r="I1068">
        <v>1320.1242675999999</v>
      </c>
      <c r="J1068">
        <v>1315.2449951000001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509.09723400000001</v>
      </c>
      <c r="B1069" s="1">
        <f>DATE(2011,9,22) + TIME(2,20,0)</f>
        <v>40808.097222222219</v>
      </c>
      <c r="C1069">
        <v>80</v>
      </c>
      <c r="D1069">
        <v>79.954559325999995</v>
      </c>
      <c r="E1069">
        <v>50</v>
      </c>
      <c r="F1069">
        <v>45.866752624999997</v>
      </c>
      <c r="G1069">
        <v>1343.8956298999999</v>
      </c>
      <c r="H1069">
        <v>1340.5148925999999</v>
      </c>
      <c r="I1069">
        <v>1320.1007079999999</v>
      </c>
      <c r="J1069">
        <v>1315.2073975000001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511.20850999999999</v>
      </c>
      <c r="B1070" s="1">
        <f>DATE(2011,9,24) + TIME(5,0,15)</f>
        <v>40810.208506944444</v>
      </c>
      <c r="C1070">
        <v>80</v>
      </c>
      <c r="D1070">
        <v>79.954597473000007</v>
      </c>
      <c r="E1070">
        <v>50</v>
      </c>
      <c r="F1070">
        <v>46.283275604000004</v>
      </c>
      <c r="G1070">
        <v>1343.8801269999999</v>
      </c>
      <c r="H1070">
        <v>1340.5035399999999</v>
      </c>
      <c r="I1070">
        <v>1320.0782471</v>
      </c>
      <c r="J1070">
        <v>1315.1719971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513.32116499999995</v>
      </c>
      <c r="B1071" s="1">
        <f>DATE(2011,9,26) + TIME(7,42,28)</f>
        <v>40812.321157407408</v>
      </c>
      <c r="C1071">
        <v>80</v>
      </c>
      <c r="D1071">
        <v>79.954627990999995</v>
      </c>
      <c r="E1071">
        <v>50</v>
      </c>
      <c r="F1071">
        <v>46.720661163000003</v>
      </c>
      <c r="G1071">
        <v>1343.864624</v>
      </c>
      <c r="H1071">
        <v>1340.4921875</v>
      </c>
      <c r="I1071">
        <v>1320.0567627</v>
      </c>
      <c r="J1071">
        <v>1315.1390381000001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515.44712100000004</v>
      </c>
      <c r="B1072" s="1">
        <f>DATE(2011,9,28) + TIME(10,43,51)</f>
        <v>40814.447118055556</v>
      </c>
      <c r="C1072">
        <v>80</v>
      </c>
      <c r="D1072">
        <v>79.954666137999993</v>
      </c>
      <c r="E1072">
        <v>50</v>
      </c>
      <c r="F1072">
        <v>47.171566009999999</v>
      </c>
      <c r="G1072">
        <v>1343.8493652</v>
      </c>
      <c r="H1072">
        <v>1340.4810791</v>
      </c>
      <c r="I1072">
        <v>1320.0363769999999</v>
      </c>
      <c r="J1072">
        <v>1315.1087646000001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517.59740699999998</v>
      </c>
      <c r="B1073" s="1">
        <f>DATE(2011,9,30) + TIME(14,20,15)</f>
        <v>40816.597395833334</v>
      </c>
      <c r="C1073">
        <v>80</v>
      </c>
      <c r="D1073">
        <v>79.954704285000005</v>
      </c>
      <c r="E1073">
        <v>50</v>
      </c>
      <c r="F1073">
        <v>47.632461548000002</v>
      </c>
      <c r="G1073">
        <v>1343.8343506000001</v>
      </c>
      <c r="H1073">
        <v>1340.4698486</v>
      </c>
      <c r="I1073">
        <v>1320.0172118999999</v>
      </c>
      <c r="J1073">
        <v>1315.0808105000001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518</v>
      </c>
      <c r="B1074" s="1">
        <f>DATE(2011,10,1) + TIME(0,0,0)</f>
        <v>40817</v>
      </c>
      <c r="C1074">
        <v>80</v>
      </c>
      <c r="D1074">
        <v>79.954689025999997</v>
      </c>
      <c r="E1074">
        <v>50</v>
      </c>
      <c r="F1074">
        <v>47.866649627999998</v>
      </c>
      <c r="G1074">
        <v>1343.8240966999999</v>
      </c>
      <c r="H1074">
        <v>1340.4632568</v>
      </c>
      <c r="I1074">
        <v>1320.0136719</v>
      </c>
      <c r="J1074">
        <v>1315.0618896000001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520.18564300000003</v>
      </c>
      <c r="B1075" s="1">
        <f>DATE(2011,10,3) + TIME(4,27,19)</f>
        <v>40819.185636574075</v>
      </c>
      <c r="C1075">
        <v>80</v>
      </c>
      <c r="D1075">
        <v>79.954750060999999</v>
      </c>
      <c r="E1075">
        <v>50</v>
      </c>
      <c r="F1075">
        <v>48.221584319999998</v>
      </c>
      <c r="G1075">
        <v>1343.8156738</v>
      </c>
      <c r="H1075">
        <v>1340.4560547000001</v>
      </c>
      <c r="I1075">
        <v>1319.9935303</v>
      </c>
      <c r="J1075">
        <v>1315.0495605000001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522.42830600000002</v>
      </c>
      <c r="B1076" s="1">
        <f>DATE(2011,10,5) + TIME(10,16,45)</f>
        <v>40821.428298611114</v>
      </c>
      <c r="C1076">
        <v>80</v>
      </c>
      <c r="D1076">
        <v>79.954795837000006</v>
      </c>
      <c r="E1076">
        <v>50</v>
      </c>
      <c r="F1076">
        <v>48.669509888</v>
      </c>
      <c r="G1076">
        <v>1343.8013916</v>
      </c>
      <c r="H1076">
        <v>1340.4455565999999</v>
      </c>
      <c r="I1076">
        <v>1319.9777832</v>
      </c>
      <c r="J1076">
        <v>1315.0258789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524.69640600000002</v>
      </c>
      <c r="B1077" s="1">
        <f>DATE(2011,10,7) + TIME(16,42,49)</f>
        <v>40823.696400462963</v>
      </c>
      <c r="C1077">
        <v>80</v>
      </c>
      <c r="D1077">
        <v>79.954833984000004</v>
      </c>
      <c r="E1077">
        <v>50</v>
      </c>
      <c r="F1077">
        <v>49.141494751000003</v>
      </c>
      <c r="G1077">
        <v>1343.7863769999999</v>
      </c>
      <c r="H1077">
        <v>1340.4344481999999</v>
      </c>
      <c r="I1077">
        <v>1319.9619141000001</v>
      </c>
      <c r="J1077">
        <v>1315.0036620999999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526.98976300000004</v>
      </c>
      <c r="B1078" s="1">
        <f>DATE(2011,10,9) + TIME(23,45,15)</f>
        <v>40825.989756944444</v>
      </c>
      <c r="C1078">
        <v>80</v>
      </c>
      <c r="D1078">
        <v>79.954879761000001</v>
      </c>
      <c r="E1078">
        <v>50</v>
      </c>
      <c r="F1078">
        <v>49.615077972000002</v>
      </c>
      <c r="G1078">
        <v>1343.7713623</v>
      </c>
      <c r="H1078">
        <v>1340.4233397999999</v>
      </c>
      <c r="I1078">
        <v>1319.9464111</v>
      </c>
      <c r="J1078">
        <v>1314.9827881000001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529.32135200000005</v>
      </c>
      <c r="B1079" s="1">
        <f>DATE(2011,10,12) + TIME(7,42,44)</f>
        <v>40828.321342592593</v>
      </c>
      <c r="C1079">
        <v>80</v>
      </c>
      <c r="D1079">
        <v>79.954925536999994</v>
      </c>
      <c r="E1079">
        <v>50</v>
      </c>
      <c r="F1079">
        <v>50.083976745999998</v>
      </c>
      <c r="G1079">
        <v>1343.7563477000001</v>
      </c>
      <c r="H1079">
        <v>1340.4122314000001</v>
      </c>
      <c r="I1079">
        <v>1319.9317627</v>
      </c>
      <c r="J1079">
        <v>1314.9632568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531.70444699999996</v>
      </c>
      <c r="B1080" s="1">
        <f>DATE(2011,10,14) + TIME(16,54,24)</f>
        <v>40830.704444444447</v>
      </c>
      <c r="C1080">
        <v>80</v>
      </c>
      <c r="D1080">
        <v>79.954971313000001</v>
      </c>
      <c r="E1080">
        <v>50</v>
      </c>
      <c r="F1080">
        <v>50.547382355000003</v>
      </c>
      <c r="G1080">
        <v>1343.7414550999999</v>
      </c>
      <c r="H1080">
        <v>1340.4012451000001</v>
      </c>
      <c r="I1080">
        <v>1319.9177245999999</v>
      </c>
      <c r="J1080">
        <v>1314.9447021000001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534.13749600000006</v>
      </c>
      <c r="B1081" s="1">
        <f>DATE(2011,10,17) + TIME(3,17,59)</f>
        <v>40833.137488425928</v>
      </c>
      <c r="C1081">
        <v>80</v>
      </c>
      <c r="D1081">
        <v>79.955024718999994</v>
      </c>
      <c r="E1081">
        <v>50</v>
      </c>
      <c r="F1081">
        <v>51.005489349000001</v>
      </c>
      <c r="G1081">
        <v>1343.7264404</v>
      </c>
      <c r="H1081">
        <v>1340.3901367000001</v>
      </c>
      <c r="I1081">
        <v>1319.9044189000001</v>
      </c>
      <c r="J1081">
        <v>1314.9273682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536.58315700000003</v>
      </c>
      <c r="B1082" s="1">
        <f>DATE(2011,10,19) + TIME(13,59,44)</f>
        <v>40835.583148148151</v>
      </c>
      <c r="C1082">
        <v>80</v>
      </c>
      <c r="D1082">
        <v>79.955070496000005</v>
      </c>
      <c r="E1082">
        <v>50</v>
      </c>
      <c r="F1082">
        <v>51.455253601000003</v>
      </c>
      <c r="G1082">
        <v>1343.7115478999999</v>
      </c>
      <c r="H1082">
        <v>1340.3789062000001</v>
      </c>
      <c r="I1082">
        <v>1319.8918457</v>
      </c>
      <c r="J1082">
        <v>1314.9108887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539.06027600000004</v>
      </c>
      <c r="B1083" s="1">
        <f>DATE(2011,10,22) + TIME(1,26,47)</f>
        <v>40838.060266203705</v>
      </c>
      <c r="C1083">
        <v>80</v>
      </c>
      <c r="D1083">
        <v>79.955123900999993</v>
      </c>
      <c r="E1083">
        <v>50</v>
      </c>
      <c r="F1083">
        <v>51.892169952000003</v>
      </c>
      <c r="G1083">
        <v>1343.6967772999999</v>
      </c>
      <c r="H1083">
        <v>1340.3679199000001</v>
      </c>
      <c r="I1083">
        <v>1319.8801269999999</v>
      </c>
      <c r="J1083">
        <v>1314.8956298999999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541.58868900000004</v>
      </c>
      <c r="B1084" s="1">
        <f>DATE(2011,10,24) + TIME(14,7,42)</f>
        <v>40840.588680555556</v>
      </c>
      <c r="C1084">
        <v>80</v>
      </c>
      <c r="D1084">
        <v>79.955177307</v>
      </c>
      <c r="E1084">
        <v>50</v>
      </c>
      <c r="F1084">
        <v>52.317089080999999</v>
      </c>
      <c r="G1084">
        <v>1343.6820068</v>
      </c>
      <c r="H1084">
        <v>1340.3570557</v>
      </c>
      <c r="I1084">
        <v>1319.8688964999999</v>
      </c>
      <c r="J1084">
        <v>1314.8812256000001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544.14192700000001</v>
      </c>
      <c r="B1085" s="1">
        <f>DATE(2011,10,27) + TIME(3,24,22)</f>
        <v>40843.141921296294</v>
      </c>
      <c r="C1085">
        <v>80</v>
      </c>
      <c r="D1085">
        <v>79.955230713000006</v>
      </c>
      <c r="E1085">
        <v>50</v>
      </c>
      <c r="F1085">
        <v>52.731552123999997</v>
      </c>
      <c r="G1085">
        <v>1343.6673584</v>
      </c>
      <c r="H1085">
        <v>1340.3460693</v>
      </c>
      <c r="I1085">
        <v>1319.8583983999999</v>
      </c>
      <c r="J1085">
        <v>1314.8675536999999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546.72124599999995</v>
      </c>
      <c r="B1086" s="1">
        <f>DATE(2011,10,29) + TIME(17,18,35)</f>
        <v>40845.721238425926</v>
      </c>
      <c r="C1086">
        <v>80</v>
      </c>
      <c r="D1086">
        <v>79.955284118999998</v>
      </c>
      <c r="E1086">
        <v>50</v>
      </c>
      <c r="F1086">
        <v>53.132282257</v>
      </c>
      <c r="G1086">
        <v>1343.652832</v>
      </c>
      <c r="H1086">
        <v>1340.3352050999999</v>
      </c>
      <c r="I1086">
        <v>1319.8486327999999</v>
      </c>
      <c r="J1086">
        <v>1314.8548584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549</v>
      </c>
      <c r="B1087" s="1">
        <f>DATE(2011,11,1) + TIME(0,0,0)</f>
        <v>40848</v>
      </c>
      <c r="C1087">
        <v>80</v>
      </c>
      <c r="D1087">
        <v>79.955322265999996</v>
      </c>
      <c r="E1087">
        <v>50</v>
      </c>
      <c r="F1087">
        <v>53.509471892999997</v>
      </c>
      <c r="G1087">
        <v>1343.6386719</v>
      </c>
      <c r="H1087">
        <v>1340.324707</v>
      </c>
      <c r="I1087">
        <v>1319.8400879000001</v>
      </c>
      <c r="J1087">
        <v>1314.8433838000001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549.000001</v>
      </c>
      <c r="B1088" s="1">
        <f>DATE(2011,11,1) + TIME(0,0,0)</f>
        <v>40848</v>
      </c>
      <c r="C1088">
        <v>80</v>
      </c>
      <c r="D1088">
        <v>79.955291747999993</v>
      </c>
      <c r="E1088">
        <v>50</v>
      </c>
      <c r="F1088">
        <v>53.509487151999998</v>
      </c>
      <c r="G1088">
        <v>1340.3146973</v>
      </c>
      <c r="H1088">
        <v>1338.5646973</v>
      </c>
      <c r="I1088">
        <v>1325.0096435999999</v>
      </c>
      <c r="J1088">
        <v>1319.8538818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549.00000399999999</v>
      </c>
      <c r="B1089" s="1">
        <f>DATE(2011,11,1) + TIME(0,0,0)</f>
        <v>40848</v>
      </c>
      <c r="C1089">
        <v>80</v>
      </c>
      <c r="D1089">
        <v>79.955200195000003</v>
      </c>
      <c r="E1089">
        <v>50</v>
      </c>
      <c r="F1089">
        <v>53.509544372999997</v>
      </c>
      <c r="G1089">
        <v>1340.2850341999999</v>
      </c>
      <c r="H1089">
        <v>1338.5350341999999</v>
      </c>
      <c r="I1089">
        <v>1325.0404053</v>
      </c>
      <c r="J1089">
        <v>1319.8948975000001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549.00001299999997</v>
      </c>
      <c r="B1090" s="1">
        <f>DATE(2011,11,1) + TIME(0,0,1)</f>
        <v>40848.000011574077</v>
      </c>
      <c r="C1090">
        <v>80</v>
      </c>
      <c r="D1090">
        <v>79.954917907999999</v>
      </c>
      <c r="E1090">
        <v>50</v>
      </c>
      <c r="F1090">
        <v>53.509708404999998</v>
      </c>
      <c r="G1090">
        <v>1340.1989745999999</v>
      </c>
      <c r="H1090">
        <v>1338.4488524999999</v>
      </c>
      <c r="I1090">
        <v>1325.1311035000001</v>
      </c>
      <c r="J1090">
        <v>1320.0150146000001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549.00004000000001</v>
      </c>
      <c r="B1091" s="1">
        <f>DATE(2011,11,1) + TIME(0,0,3)</f>
        <v>40848.000034722223</v>
      </c>
      <c r="C1091">
        <v>80</v>
      </c>
      <c r="D1091">
        <v>79.954162597999996</v>
      </c>
      <c r="E1091">
        <v>50</v>
      </c>
      <c r="F1091">
        <v>53.510158539000003</v>
      </c>
      <c r="G1091">
        <v>1339.9628906</v>
      </c>
      <c r="H1091">
        <v>1338.2127685999999</v>
      </c>
      <c r="I1091">
        <v>1325.3896483999999</v>
      </c>
      <c r="J1091">
        <v>1320.3509521000001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549.00012100000004</v>
      </c>
      <c r="B1092" s="1">
        <f>DATE(2011,11,1) + TIME(0,0,10)</f>
        <v>40848.000115740739</v>
      </c>
      <c r="C1092">
        <v>80</v>
      </c>
      <c r="D1092">
        <v>79.952346801999994</v>
      </c>
      <c r="E1092">
        <v>50</v>
      </c>
      <c r="F1092">
        <v>53.511249542000002</v>
      </c>
      <c r="G1092">
        <v>1339.4008789</v>
      </c>
      <c r="H1092">
        <v>1337.6505127</v>
      </c>
      <c r="I1092">
        <v>1326.0655518000001</v>
      </c>
      <c r="J1092">
        <v>1321.1899414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549.00036399999999</v>
      </c>
      <c r="B1093" s="1">
        <f>DATE(2011,11,1) + TIME(0,0,31)</f>
        <v>40848.000358796293</v>
      </c>
      <c r="C1093">
        <v>80</v>
      </c>
      <c r="D1093">
        <v>79.949028014999996</v>
      </c>
      <c r="E1093">
        <v>50</v>
      </c>
      <c r="F1093">
        <v>53.513046265</v>
      </c>
      <c r="G1093">
        <v>1338.3735352000001</v>
      </c>
      <c r="H1093">
        <v>1336.6225586</v>
      </c>
      <c r="I1093">
        <v>1327.5291748</v>
      </c>
      <c r="J1093">
        <v>1322.8544922000001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549.00109299999997</v>
      </c>
      <c r="B1094" s="1">
        <f>DATE(2011,11,1) + TIME(0,1,34)</f>
        <v>40848.001087962963</v>
      </c>
      <c r="C1094">
        <v>80</v>
      </c>
      <c r="D1094">
        <v>79.944564818999993</v>
      </c>
      <c r="E1094">
        <v>50</v>
      </c>
      <c r="F1094">
        <v>53.513172150000003</v>
      </c>
      <c r="G1094">
        <v>1337.0146483999999</v>
      </c>
      <c r="H1094">
        <v>1335.2614745999999</v>
      </c>
      <c r="I1094">
        <v>1329.8829346</v>
      </c>
      <c r="J1094">
        <v>1325.2696533000001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549.00328000000002</v>
      </c>
      <c r="B1095" s="1">
        <f>DATE(2011,11,1) + TIME(0,4,43)</f>
        <v>40848.003275462965</v>
      </c>
      <c r="C1095">
        <v>80</v>
      </c>
      <c r="D1095">
        <v>79.939537048000005</v>
      </c>
      <c r="E1095">
        <v>50</v>
      </c>
      <c r="F1095">
        <v>53.505542755</v>
      </c>
      <c r="G1095">
        <v>1335.5601807</v>
      </c>
      <c r="H1095">
        <v>1333.7946777</v>
      </c>
      <c r="I1095">
        <v>1332.7203368999999</v>
      </c>
      <c r="J1095">
        <v>1328.050293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549.00984100000005</v>
      </c>
      <c r="B1096" s="1">
        <f>DATE(2011,11,1) + TIME(0,14,10)</f>
        <v>40848.009837962964</v>
      </c>
      <c r="C1096">
        <v>80</v>
      </c>
      <c r="D1096">
        <v>79.933570861999996</v>
      </c>
      <c r="E1096">
        <v>50</v>
      </c>
      <c r="F1096">
        <v>53.472900391000003</v>
      </c>
      <c r="G1096">
        <v>1334.0618896000001</v>
      </c>
      <c r="H1096">
        <v>1332.2557373</v>
      </c>
      <c r="I1096">
        <v>1335.6632079999999</v>
      </c>
      <c r="J1096">
        <v>1330.9310303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549.02952400000004</v>
      </c>
      <c r="B1097" s="1">
        <f>DATE(2011,11,1) + TIME(0,42,30)</f>
        <v>40848.029513888891</v>
      </c>
      <c r="C1097">
        <v>80</v>
      </c>
      <c r="D1097">
        <v>79.924842834000003</v>
      </c>
      <c r="E1097">
        <v>50</v>
      </c>
      <c r="F1097">
        <v>53.367141724</v>
      </c>
      <c r="G1097">
        <v>1332.4542236</v>
      </c>
      <c r="H1097">
        <v>1330.5617675999999</v>
      </c>
      <c r="I1097">
        <v>1338.6275635</v>
      </c>
      <c r="J1097">
        <v>1333.8353271000001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549.06937300000004</v>
      </c>
      <c r="B1098" s="1">
        <f>DATE(2011,11,1) + TIME(1,39,53)</f>
        <v>40848.069363425922</v>
      </c>
      <c r="C1098">
        <v>80</v>
      </c>
      <c r="D1098">
        <v>79.913002014</v>
      </c>
      <c r="E1098">
        <v>50</v>
      </c>
      <c r="F1098">
        <v>53.159107208000002</v>
      </c>
      <c r="G1098">
        <v>1331.041626</v>
      </c>
      <c r="H1098">
        <v>1329.0556641000001</v>
      </c>
      <c r="I1098">
        <v>1340.9962158000001</v>
      </c>
      <c r="J1098">
        <v>1336.1523437999999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549.11091899999997</v>
      </c>
      <c r="B1099" s="1">
        <f>DATE(2011,11,1) + TIME(2,39,43)</f>
        <v>40848.110914351855</v>
      </c>
      <c r="C1099">
        <v>80</v>
      </c>
      <c r="D1099">
        <v>79.902519225999995</v>
      </c>
      <c r="E1099">
        <v>50</v>
      </c>
      <c r="F1099">
        <v>52.953933716000002</v>
      </c>
      <c r="G1099">
        <v>1330.1826172000001</v>
      </c>
      <c r="H1099">
        <v>1328.1414795000001</v>
      </c>
      <c r="I1099">
        <v>1342.338501</v>
      </c>
      <c r="J1099">
        <v>1337.4619141000001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549.15421600000002</v>
      </c>
      <c r="B1100" s="1">
        <f>DATE(2011,11,1) + TIME(3,42,4)</f>
        <v>40848.15421296296</v>
      </c>
      <c r="C1100">
        <v>80</v>
      </c>
      <c r="D1100">
        <v>79.892532349000007</v>
      </c>
      <c r="E1100">
        <v>50</v>
      </c>
      <c r="F1100">
        <v>52.753681182999998</v>
      </c>
      <c r="G1100">
        <v>1329.5878906</v>
      </c>
      <c r="H1100">
        <v>1327.5125731999999</v>
      </c>
      <c r="I1100">
        <v>1343.2158202999999</v>
      </c>
      <c r="J1100">
        <v>1338.3195800999999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549.19928500000003</v>
      </c>
      <c r="B1101" s="1">
        <f>DATE(2011,11,1) + TIME(4,46,58)</f>
        <v>40848.199282407404</v>
      </c>
      <c r="C1101">
        <v>80</v>
      </c>
      <c r="D1101">
        <v>79.882736206000004</v>
      </c>
      <c r="E1101">
        <v>50</v>
      </c>
      <c r="F1101">
        <v>52.559612274000003</v>
      </c>
      <c r="G1101">
        <v>1329.1469727000001</v>
      </c>
      <c r="H1101">
        <v>1327.0496826000001</v>
      </c>
      <c r="I1101">
        <v>1343.8352050999999</v>
      </c>
      <c r="J1101">
        <v>1338.9274902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549.24618699999996</v>
      </c>
      <c r="B1102" s="1">
        <f>DATE(2011,11,1) + TIME(5,54,30)</f>
        <v>40848.246180555558</v>
      </c>
      <c r="C1102">
        <v>80</v>
      </c>
      <c r="D1102">
        <v>79.872985839999998</v>
      </c>
      <c r="E1102">
        <v>50</v>
      </c>
      <c r="F1102">
        <v>52.372425079000003</v>
      </c>
      <c r="G1102">
        <v>1328.8056641000001</v>
      </c>
      <c r="H1102">
        <v>1326.6937256000001</v>
      </c>
      <c r="I1102">
        <v>1344.2932129000001</v>
      </c>
      <c r="J1102">
        <v>1339.3797606999999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549.29500700000006</v>
      </c>
      <c r="B1103" s="1">
        <f>DATE(2011,11,1) + TIME(7,4,48)</f>
        <v>40848.294999999998</v>
      </c>
      <c r="C1103">
        <v>80</v>
      </c>
      <c r="D1103">
        <v>79.863182068</v>
      </c>
      <c r="E1103">
        <v>50</v>
      </c>
      <c r="F1103">
        <v>52.192535399999997</v>
      </c>
      <c r="G1103">
        <v>1328.5334473</v>
      </c>
      <c r="H1103">
        <v>1326.411499</v>
      </c>
      <c r="I1103">
        <v>1344.6420897999999</v>
      </c>
      <c r="J1103">
        <v>1339.7269286999999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549.34582399999999</v>
      </c>
      <c r="B1104" s="1">
        <f>DATE(2011,11,1) + TIME(8,17,59)</f>
        <v>40848.345821759256</v>
      </c>
      <c r="C1104">
        <v>80</v>
      </c>
      <c r="D1104">
        <v>79.853271484000004</v>
      </c>
      <c r="E1104">
        <v>50</v>
      </c>
      <c r="F1104">
        <v>52.020263671999999</v>
      </c>
      <c r="G1104">
        <v>1328.3117675999999</v>
      </c>
      <c r="H1104">
        <v>1326.1826172000001</v>
      </c>
      <c r="I1104">
        <v>1344.9133300999999</v>
      </c>
      <c r="J1104">
        <v>1339.9992675999999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549.39879299999996</v>
      </c>
      <c r="B1105" s="1">
        <f>DATE(2011,11,1) + TIME(9,34,15)</f>
        <v>40848.398784722223</v>
      </c>
      <c r="C1105">
        <v>80</v>
      </c>
      <c r="D1105">
        <v>79.843200683999996</v>
      </c>
      <c r="E1105">
        <v>50</v>
      </c>
      <c r="F1105">
        <v>51.855632782000001</v>
      </c>
      <c r="G1105">
        <v>1328.1280518000001</v>
      </c>
      <c r="H1105">
        <v>1325.9935303</v>
      </c>
      <c r="I1105">
        <v>1345.1269531</v>
      </c>
      <c r="J1105">
        <v>1340.2160644999999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549.45408299999997</v>
      </c>
      <c r="B1106" s="1">
        <f>DATE(2011,11,1) + TIME(10,53,52)</f>
        <v>40848.454074074078</v>
      </c>
      <c r="C1106">
        <v>80</v>
      </c>
      <c r="D1106">
        <v>79.832923889</v>
      </c>
      <c r="E1106">
        <v>50</v>
      </c>
      <c r="F1106">
        <v>51.698631286999998</v>
      </c>
      <c r="G1106">
        <v>1327.973999</v>
      </c>
      <c r="H1106">
        <v>1325.8355713000001</v>
      </c>
      <c r="I1106">
        <v>1345.2963867000001</v>
      </c>
      <c r="J1106">
        <v>1340.3902588000001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549.51188500000001</v>
      </c>
      <c r="B1107" s="1">
        <f>DATE(2011,11,1) + TIME(12,17,6)</f>
        <v>40848.511874999997</v>
      </c>
      <c r="C1107">
        <v>80</v>
      </c>
      <c r="D1107">
        <v>79.822402953999998</v>
      </c>
      <c r="E1107">
        <v>50</v>
      </c>
      <c r="F1107">
        <v>51.549221039000003</v>
      </c>
      <c r="G1107">
        <v>1327.8439940999999</v>
      </c>
      <c r="H1107">
        <v>1325.7021483999999</v>
      </c>
      <c r="I1107">
        <v>1345.4311522999999</v>
      </c>
      <c r="J1107">
        <v>1340.5308838000001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549.57242199999996</v>
      </c>
      <c r="B1108" s="1">
        <f>DATE(2011,11,1) + TIME(13,44,17)</f>
        <v>40848.572418981479</v>
      </c>
      <c r="C1108">
        <v>80</v>
      </c>
      <c r="D1108">
        <v>79.811599731000001</v>
      </c>
      <c r="E1108">
        <v>50</v>
      </c>
      <c r="F1108">
        <v>51.407325745000001</v>
      </c>
      <c r="G1108">
        <v>1327.7336425999999</v>
      </c>
      <c r="H1108">
        <v>1325.5891113</v>
      </c>
      <c r="I1108">
        <v>1345.5380858999999</v>
      </c>
      <c r="J1108">
        <v>1340.6442870999999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549.63594399999999</v>
      </c>
      <c r="B1109" s="1">
        <f>DATE(2011,11,1) + TIME(15,15,45)</f>
        <v>40848.635937500003</v>
      </c>
      <c r="C1109">
        <v>80</v>
      </c>
      <c r="D1109">
        <v>79.800483704000001</v>
      </c>
      <c r="E1109">
        <v>50</v>
      </c>
      <c r="F1109">
        <v>51.272865295000003</v>
      </c>
      <c r="G1109">
        <v>1327.6396483999999</v>
      </c>
      <c r="H1109">
        <v>1325.4929199000001</v>
      </c>
      <c r="I1109">
        <v>1345.6219481999999</v>
      </c>
      <c r="J1109">
        <v>1340.7353516000001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549.70275300000003</v>
      </c>
      <c r="B1110" s="1">
        <f>DATE(2011,11,1) + TIME(16,51,57)</f>
        <v>40848.702743055554</v>
      </c>
      <c r="C1110">
        <v>80</v>
      </c>
      <c r="D1110">
        <v>79.789009093999994</v>
      </c>
      <c r="E1110">
        <v>50</v>
      </c>
      <c r="F1110">
        <v>51.145725249999998</v>
      </c>
      <c r="G1110">
        <v>1327.5596923999999</v>
      </c>
      <c r="H1110">
        <v>1325.4108887</v>
      </c>
      <c r="I1110">
        <v>1345.6868896000001</v>
      </c>
      <c r="J1110">
        <v>1340.8077393000001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549.77320599999996</v>
      </c>
      <c r="B1111" s="1">
        <f>DATE(2011,11,1) + TIME(18,33,25)</f>
        <v>40848.773206018515</v>
      </c>
      <c r="C1111">
        <v>80</v>
      </c>
      <c r="D1111">
        <v>79.777114867999998</v>
      </c>
      <c r="E1111">
        <v>50</v>
      </c>
      <c r="F1111">
        <v>51.025775908999996</v>
      </c>
      <c r="G1111">
        <v>1327.4916992000001</v>
      </c>
      <c r="H1111">
        <v>1325.3410644999999</v>
      </c>
      <c r="I1111">
        <v>1345.7358397999999</v>
      </c>
      <c r="J1111">
        <v>1340.864624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549.847712</v>
      </c>
      <c r="B1112" s="1">
        <f>DATE(2011,11,1) + TIME(20,20,42)</f>
        <v>40848.847708333335</v>
      </c>
      <c r="C1112">
        <v>80</v>
      </c>
      <c r="D1112">
        <v>79.764762877999999</v>
      </c>
      <c r="E1112">
        <v>50</v>
      </c>
      <c r="F1112">
        <v>50.912910461000003</v>
      </c>
      <c r="G1112">
        <v>1327.4339600000001</v>
      </c>
      <c r="H1112">
        <v>1325.2817382999999</v>
      </c>
      <c r="I1112">
        <v>1345.7712402</v>
      </c>
      <c r="J1112">
        <v>1340.9082031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549.92675299999996</v>
      </c>
      <c r="B1113" s="1">
        <f>DATE(2011,11,1) + TIME(22,14,31)</f>
        <v>40848.926747685182</v>
      </c>
      <c r="C1113">
        <v>80</v>
      </c>
      <c r="D1113">
        <v>79.751876831000004</v>
      </c>
      <c r="E1113">
        <v>50</v>
      </c>
      <c r="F1113">
        <v>50.807014465000002</v>
      </c>
      <c r="G1113">
        <v>1327.3851318</v>
      </c>
      <c r="H1113">
        <v>1325.2312012</v>
      </c>
      <c r="I1113">
        <v>1345.7952881000001</v>
      </c>
      <c r="J1113">
        <v>1340.9405518000001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550.01090099999999</v>
      </c>
      <c r="B1114" s="1">
        <f>DATE(2011,11,2) + TIME(0,15,41)</f>
        <v>40849.010891203703</v>
      </c>
      <c r="C1114">
        <v>80</v>
      </c>
      <c r="D1114">
        <v>79.738395690999994</v>
      </c>
      <c r="E1114">
        <v>50</v>
      </c>
      <c r="F1114">
        <v>50.707977294999999</v>
      </c>
      <c r="G1114">
        <v>1327.34375</v>
      </c>
      <c r="H1114">
        <v>1325.1884766000001</v>
      </c>
      <c r="I1114">
        <v>1345.8098144999999</v>
      </c>
      <c r="J1114">
        <v>1340.963501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550.10083899999995</v>
      </c>
      <c r="B1115" s="1">
        <f>DATE(2011,11,2) + TIME(2,25,12)</f>
        <v>40849.10083333333</v>
      </c>
      <c r="C1115">
        <v>80</v>
      </c>
      <c r="D1115">
        <v>79.724243164000001</v>
      </c>
      <c r="E1115">
        <v>50</v>
      </c>
      <c r="F1115">
        <v>50.615699767999999</v>
      </c>
      <c r="G1115">
        <v>1327.3088379000001</v>
      </c>
      <c r="H1115">
        <v>1325.1522216999999</v>
      </c>
      <c r="I1115">
        <v>1345.8160399999999</v>
      </c>
      <c r="J1115">
        <v>1340.9782714999999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550.19739100000004</v>
      </c>
      <c r="B1116" s="1">
        <f>DATE(2011,11,2) + TIME(4,44,14)</f>
        <v>40849.197384259256</v>
      </c>
      <c r="C1116">
        <v>80</v>
      </c>
      <c r="D1116">
        <v>79.709304810000006</v>
      </c>
      <c r="E1116">
        <v>50</v>
      </c>
      <c r="F1116">
        <v>50.530078887999998</v>
      </c>
      <c r="G1116">
        <v>1327.2795410000001</v>
      </c>
      <c r="H1116">
        <v>1325.1214600000001</v>
      </c>
      <c r="I1116">
        <v>1345.8155518000001</v>
      </c>
      <c r="J1116">
        <v>1340.9864502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550.30156399999998</v>
      </c>
      <c r="B1117" s="1">
        <f>DATE(2011,11,2) + TIME(7,14,15)</f>
        <v>40849.301562499997</v>
      </c>
      <c r="C1117">
        <v>80</v>
      </c>
      <c r="D1117">
        <v>79.693473815999994</v>
      </c>
      <c r="E1117">
        <v>50</v>
      </c>
      <c r="F1117">
        <v>50.451030731000003</v>
      </c>
      <c r="G1117">
        <v>1327.2548827999999</v>
      </c>
      <c r="H1117">
        <v>1325.0952147999999</v>
      </c>
      <c r="I1117">
        <v>1345.8093262</v>
      </c>
      <c r="J1117">
        <v>1340.9891356999999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550.41460600000005</v>
      </c>
      <c r="B1118" s="1">
        <f>DATE(2011,11,2) + TIME(9,57,1)</f>
        <v>40849.414594907408</v>
      </c>
      <c r="C1118">
        <v>80</v>
      </c>
      <c r="D1118">
        <v>79.676605225000003</v>
      </c>
      <c r="E1118">
        <v>50</v>
      </c>
      <c r="F1118">
        <v>50.378456116000002</v>
      </c>
      <c r="G1118">
        <v>1327.2338867000001</v>
      </c>
      <c r="H1118">
        <v>1325.072876</v>
      </c>
      <c r="I1118">
        <v>1345.7984618999999</v>
      </c>
      <c r="J1118">
        <v>1340.9870605000001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550.53808300000003</v>
      </c>
      <c r="B1119" s="1">
        <f>DATE(2011,11,2) + TIME(12,54,50)</f>
        <v>40849.538078703707</v>
      </c>
      <c r="C1119">
        <v>80</v>
      </c>
      <c r="D1119">
        <v>79.658523560000006</v>
      </c>
      <c r="E1119">
        <v>50</v>
      </c>
      <c r="F1119">
        <v>50.312271117999998</v>
      </c>
      <c r="G1119">
        <v>1327.2161865</v>
      </c>
      <c r="H1119">
        <v>1325.0534668</v>
      </c>
      <c r="I1119">
        <v>1345.7836914</v>
      </c>
      <c r="J1119">
        <v>1340.9814452999999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550.67396299999996</v>
      </c>
      <c r="B1120" s="1">
        <f>DATE(2011,11,2) + TIME(16,10,30)</f>
        <v>40849.673958333333</v>
      </c>
      <c r="C1120">
        <v>80</v>
      </c>
      <c r="D1120">
        <v>79.639007567999997</v>
      </c>
      <c r="E1120">
        <v>50</v>
      </c>
      <c r="F1120">
        <v>50.252407073999997</v>
      </c>
      <c r="G1120">
        <v>1327.2008057</v>
      </c>
      <c r="H1120">
        <v>1325.036499</v>
      </c>
      <c r="I1120">
        <v>1345.7657471</v>
      </c>
      <c r="J1120">
        <v>1340.9726562000001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550.82487700000001</v>
      </c>
      <c r="B1121" s="1">
        <f>DATE(2011,11,2) + TIME(19,47,49)</f>
        <v>40849.824872685182</v>
      </c>
      <c r="C1121">
        <v>80</v>
      </c>
      <c r="D1121">
        <v>79.617774963000002</v>
      </c>
      <c r="E1121">
        <v>50</v>
      </c>
      <c r="F1121">
        <v>50.198760986000003</v>
      </c>
      <c r="G1121">
        <v>1327.1872559000001</v>
      </c>
      <c r="H1121">
        <v>1325.0211182</v>
      </c>
      <c r="I1121">
        <v>1345.7452393000001</v>
      </c>
      <c r="J1121">
        <v>1340.9615478999999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550.99072999999999</v>
      </c>
      <c r="B1122" s="1">
        <f>DATE(2011,11,2) + TIME(23,46,39)</f>
        <v>40849.990729166668</v>
      </c>
      <c r="C1122">
        <v>80</v>
      </c>
      <c r="D1122">
        <v>79.594879149999997</v>
      </c>
      <c r="E1122">
        <v>50</v>
      </c>
      <c r="F1122">
        <v>50.152034759999999</v>
      </c>
      <c r="G1122">
        <v>1327.1751709</v>
      </c>
      <c r="H1122">
        <v>1325.0069579999999</v>
      </c>
      <c r="I1122">
        <v>1345.7232666</v>
      </c>
      <c r="J1122">
        <v>1340.9489745999999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551.16229899999996</v>
      </c>
      <c r="B1123" s="1">
        <f>DATE(2011,11,3) + TIME(3,53,42)</f>
        <v>40850.162291666667</v>
      </c>
      <c r="C1123">
        <v>80</v>
      </c>
      <c r="D1123">
        <v>79.571395874000004</v>
      </c>
      <c r="E1123">
        <v>50</v>
      </c>
      <c r="F1123">
        <v>50.113964080999999</v>
      </c>
      <c r="G1123">
        <v>1327.1643065999999</v>
      </c>
      <c r="H1123">
        <v>1324.9938964999999</v>
      </c>
      <c r="I1123">
        <v>1345.7017822</v>
      </c>
      <c r="J1123">
        <v>1340.9364014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551.34027100000003</v>
      </c>
      <c r="B1124" s="1">
        <f>DATE(2011,11,3) + TIME(8,9,59)</f>
        <v>40850.340266203704</v>
      </c>
      <c r="C1124">
        <v>80</v>
      </c>
      <c r="D1124">
        <v>79.547248839999995</v>
      </c>
      <c r="E1124">
        <v>50</v>
      </c>
      <c r="F1124">
        <v>50.083076476999999</v>
      </c>
      <c r="G1124">
        <v>1327.1542969</v>
      </c>
      <c r="H1124">
        <v>1324.9815673999999</v>
      </c>
      <c r="I1124">
        <v>1345.6802978999999</v>
      </c>
      <c r="J1124">
        <v>1340.9237060999999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551.52501700000005</v>
      </c>
      <c r="B1125" s="1">
        <f>DATE(2011,11,3) + TIME(12,36,1)</f>
        <v>40850.525011574071</v>
      </c>
      <c r="C1125">
        <v>80</v>
      </c>
      <c r="D1125">
        <v>79.522407532000003</v>
      </c>
      <c r="E1125">
        <v>50</v>
      </c>
      <c r="F1125">
        <v>50.058181763</v>
      </c>
      <c r="G1125">
        <v>1327.1448975000001</v>
      </c>
      <c r="H1125">
        <v>1324.9697266000001</v>
      </c>
      <c r="I1125">
        <v>1345.6593018000001</v>
      </c>
      <c r="J1125">
        <v>1340.9110106999999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551.71504900000002</v>
      </c>
      <c r="B1126" s="1">
        <f>DATE(2011,11,3) + TIME(17,9,40)</f>
        <v>40850.715046296296</v>
      </c>
      <c r="C1126">
        <v>80</v>
      </c>
      <c r="D1126">
        <v>79.497039795000006</v>
      </c>
      <c r="E1126">
        <v>50</v>
      </c>
      <c r="F1126">
        <v>50.038406371999997</v>
      </c>
      <c r="G1126">
        <v>1327.1357422000001</v>
      </c>
      <c r="H1126">
        <v>1324.9580077999999</v>
      </c>
      <c r="I1126">
        <v>1345.6389160000001</v>
      </c>
      <c r="J1126">
        <v>1340.8988036999999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551.91063799999995</v>
      </c>
      <c r="B1127" s="1">
        <f>DATE(2011,11,3) + TIME(21,51,19)</f>
        <v>40850.910636574074</v>
      </c>
      <c r="C1127">
        <v>80</v>
      </c>
      <c r="D1127">
        <v>79.471122742000006</v>
      </c>
      <c r="E1127">
        <v>50</v>
      </c>
      <c r="F1127">
        <v>50.022777556999998</v>
      </c>
      <c r="G1127">
        <v>1327.1268310999999</v>
      </c>
      <c r="H1127">
        <v>1324.9464111</v>
      </c>
      <c r="I1127">
        <v>1345.6191406</v>
      </c>
      <c r="J1127">
        <v>1340.8869629000001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552.11210600000004</v>
      </c>
      <c r="B1128" s="1">
        <f>DATE(2011,11,4) + TIME(2,41,25)</f>
        <v>40851.11209490741</v>
      </c>
      <c r="C1128">
        <v>80</v>
      </c>
      <c r="D1128">
        <v>79.444633483999993</v>
      </c>
      <c r="E1128">
        <v>50</v>
      </c>
      <c r="F1128">
        <v>50.010494231999999</v>
      </c>
      <c r="G1128">
        <v>1327.1179199000001</v>
      </c>
      <c r="H1128">
        <v>1324.9345702999999</v>
      </c>
      <c r="I1128">
        <v>1345.5999756000001</v>
      </c>
      <c r="J1128">
        <v>1340.8753661999999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552.31665899999996</v>
      </c>
      <c r="B1129" s="1">
        <f>DATE(2011,11,4) + TIME(7,35,59)</f>
        <v>40851.316655092596</v>
      </c>
      <c r="C1129">
        <v>80</v>
      </c>
      <c r="D1129">
        <v>79.417869568</v>
      </c>
      <c r="E1129">
        <v>50</v>
      </c>
      <c r="F1129">
        <v>50.000995635999999</v>
      </c>
      <c r="G1129">
        <v>1327.1088867000001</v>
      </c>
      <c r="H1129">
        <v>1324.9226074000001</v>
      </c>
      <c r="I1129">
        <v>1345.5814209</v>
      </c>
      <c r="J1129">
        <v>1340.8643798999999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552.52396199999998</v>
      </c>
      <c r="B1130" s="1">
        <f>DATE(2011,11,4) + TIME(12,34,30)</f>
        <v>40851.523958333331</v>
      </c>
      <c r="C1130">
        <v>80</v>
      </c>
      <c r="D1130">
        <v>79.390884399000001</v>
      </c>
      <c r="E1130">
        <v>50</v>
      </c>
      <c r="F1130">
        <v>49.993682861000003</v>
      </c>
      <c r="G1130">
        <v>1327.0998535000001</v>
      </c>
      <c r="H1130">
        <v>1324.9105225000001</v>
      </c>
      <c r="I1130">
        <v>1345.5637207</v>
      </c>
      <c r="J1130">
        <v>1340.8538818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552.73441800000001</v>
      </c>
      <c r="B1131" s="1">
        <f>DATE(2011,11,4) + TIME(17,37,33)</f>
        <v>40851.734409722223</v>
      </c>
      <c r="C1131">
        <v>80</v>
      </c>
      <c r="D1131">
        <v>79.363639832000004</v>
      </c>
      <c r="E1131">
        <v>50</v>
      </c>
      <c r="F1131">
        <v>49.988056182999998</v>
      </c>
      <c r="G1131">
        <v>1327.0908202999999</v>
      </c>
      <c r="H1131">
        <v>1324.8981934000001</v>
      </c>
      <c r="I1131">
        <v>1345.5466309000001</v>
      </c>
      <c r="J1131">
        <v>1340.8436279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552.94843900000001</v>
      </c>
      <c r="B1132" s="1">
        <f>DATE(2011,11,4) + TIME(22,45,45)</f>
        <v>40851.948437500003</v>
      </c>
      <c r="C1132">
        <v>80</v>
      </c>
      <c r="D1132">
        <v>79.336120605000005</v>
      </c>
      <c r="E1132">
        <v>50</v>
      </c>
      <c r="F1132">
        <v>49.983734130999999</v>
      </c>
      <c r="G1132">
        <v>1327.081543</v>
      </c>
      <c r="H1132">
        <v>1324.8857422000001</v>
      </c>
      <c r="I1132">
        <v>1345.5300293</v>
      </c>
      <c r="J1132">
        <v>1340.8338623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553.166427</v>
      </c>
      <c r="B1133" s="1">
        <f>DATE(2011,11,5) + TIME(3,59,39)</f>
        <v>40852.16642361111</v>
      </c>
      <c r="C1133">
        <v>80</v>
      </c>
      <c r="D1133">
        <v>79.308273314999994</v>
      </c>
      <c r="E1133">
        <v>50</v>
      </c>
      <c r="F1133">
        <v>49.980415344000001</v>
      </c>
      <c r="G1133">
        <v>1327.0721435999999</v>
      </c>
      <c r="H1133">
        <v>1324.8729248</v>
      </c>
      <c r="I1133">
        <v>1345.5140381000001</v>
      </c>
      <c r="J1133">
        <v>1340.8244629000001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553.38867700000003</v>
      </c>
      <c r="B1134" s="1">
        <f>DATE(2011,11,5) + TIME(9,19,41)</f>
        <v>40852.388668981483</v>
      </c>
      <c r="C1134">
        <v>80</v>
      </c>
      <c r="D1134">
        <v>79.280082703000005</v>
      </c>
      <c r="E1134">
        <v>50</v>
      </c>
      <c r="F1134">
        <v>49.977874755999999</v>
      </c>
      <c r="G1134">
        <v>1327.0626221</v>
      </c>
      <c r="H1134">
        <v>1324.8598632999999</v>
      </c>
      <c r="I1134">
        <v>1345.4985352000001</v>
      </c>
      <c r="J1134">
        <v>1340.8153076000001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553.61564399999997</v>
      </c>
      <c r="B1135" s="1">
        <f>DATE(2011,11,5) + TIME(14,46,31)</f>
        <v>40852.615636574075</v>
      </c>
      <c r="C1135">
        <v>80</v>
      </c>
      <c r="D1135">
        <v>79.251510620000005</v>
      </c>
      <c r="E1135">
        <v>50</v>
      </c>
      <c r="F1135">
        <v>49.975933075</v>
      </c>
      <c r="G1135">
        <v>1327.0528564000001</v>
      </c>
      <c r="H1135">
        <v>1324.8464355000001</v>
      </c>
      <c r="I1135">
        <v>1345.4833983999999</v>
      </c>
      <c r="J1135">
        <v>1340.8063964999999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553.84779400000002</v>
      </c>
      <c r="B1136" s="1">
        <f>DATE(2011,11,5) + TIME(20,20,49)</f>
        <v>40852.84778935185</v>
      </c>
      <c r="C1136">
        <v>80</v>
      </c>
      <c r="D1136">
        <v>79.222518921000002</v>
      </c>
      <c r="E1136">
        <v>50</v>
      </c>
      <c r="F1136">
        <v>49.974452972000002</v>
      </c>
      <c r="G1136">
        <v>1327.0428466999999</v>
      </c>
      <c r="H1136">
        <v>1324.8327637</v>
      </c>
      <c r="I1136">
        <v>1345.4686279</v>
      </c>
      <c r="J1136">
        <v>1340.7976074000001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554.08555000000001</v>
      </c>
      <c r="B1137" s="1">
        <f>DATE(2011,11,6) + TIME(2,3,11)</f>
        <v>40853.085543981484</v>
      </c>
      <c r="C1137">
        <v>80</v>
      </c>
      <c r="D1137">
        <v>79.193054199000002</v>
      </c>
      <c r="E1137">
        <v>50</v>
      </c>
      <c r="F1137">
        <v>49.973323821999998</v>
      </c>
      <c r="G1137">
        <v>1327.0325928</v>
      </c>
      <c r="H1137">
        <v>1324.8186035000001</v>
      </c>
      <c r="I1137">
        <v>1345.4542236</v>
      </c>
      <c r="J1137">
        <v>1340.7890625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554.32935199999997</v>
      </c>
      <c r="B1138" s="1">
        <f>DATE(2011,11,6) + TIME(7,54,15)</f>
        <v>40853.329340277778</v>
      </c>
      <c r="C1138">
        <v>80</v>
      </c>
      <c r="D1138">
        <v>79.163085937999995</v>
      </c>
      <c r="E1138">
        <v>50</v>
      </c>
      <c r="F1138">
        <v>49.972465515000003</v>
      </c>
      <c r="G1138">
        <v>1327.0219727000001</v>
      </c>
      <c r="H1138">
        <v>1324.8040771000001</v>
      </c>
      <c r="I1138">
        <v>1345.4399414</v>
      </c>
      <c r="J1138">
        <v>1340.7807617000001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554.57966099999999</v>
      </c>
      <c r="B1139" s="1">
        <f>DATE(2011,11,6) + TIME(13,54,42)</f>
        <v>40853.579652777778</v>
      </c>
      <c r="C1139">
        <v>80</v>
      </c>
      <c r="D1139">
        <v>79.132575989000003</v>
      </c>
      <c r="E1139">
        <v>50</v>
      </c>
      <c r="F1139">
        <v>49.971813202</v>
      </c>
      <c r="G1139">
        <v>1327.0111084</v>
      </c>
      <c r="H1139">
        <v>1324.7890625</v>
      </c>
      <c r="I1139">
        <v>1345.4260254000001</v>
      </c>
      <c r="J1139">
        <v>1340.7724608999999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554.83696799999996</v>
      </c>
      <c r="B1140" s="1">
        <f>DATE(2011,11,6) + TIME(20,5,14)</f>
        <v>40853.836967592593</v>
      </c>
      <c r="C1140">
        <v>80</v>
      </c>
      <c r="D1140">
        <v>79.101478576999995</v>
      </c>
      <c r="E1140">
        <v>50</v>
      </c>
      <c r="F1140">
        <v>49.971321105999998</v>
      </c>
      <c r="G1140">
        <v>1326.9998779</v>
      </c>
      <c r="H1140">
        <v>1324.7735596</v>
      </c>
      <c r="I1140">
        <v>1345.4122314000001</v>
      </c>
      <c r="J1140">
        <v>1340.7644043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555.10179400000004</v>
      </c>
      <c r="B1141" s="1">
        <f>DATE(2011,11,7) + TIME(2,26,34)</f>
        <v>40854.101782407408</v>
      </c>
      <c r="C1141">
        <v>80</v>
      </c>
      <c r="D1141">
        <v>79.069740295000003</v>
      </c>
      <c r="E1141">
        <v>50</v>
      </c>
      <c r="F1141">
        <v>49.970943450999997</v>
      </c>
      <c r="G1141">
        <v>1326.9882812000001</v>
      </c>
      <c r="H1141">
        <v>1324.7575684000001</v>
      </c>
      <c r="I1141">
        <v>1345.3986815999999</v>
      </c>
      <c r="J1141">
        <v>1340.7563477000001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555.37469099999998</v>
      </c>
      <c r="B1142" s="1">
        <f>DATE(2011,11,7) + TIME(8,59,33)</f>
        <v>40854.3746875</v>
      </c>
      <c r="C1142">
        <v>80</v>
      </c>
      <c r="D1142">
        <v>79.037315368999998</v>
      </c>
      <c r="E1142">
        <v>50</v>
      </c>
      <c r="F1142">
        <v>49.970661163000003</v>
      </c>
      <c r="G1142">
        <v>1326.9763184000001</v>
      </c>
      <c r="H1142">
        <v>1324.7409668</v>
      </c>
      <c r="I1142">
        <v>1345.3852539</v>
      </c>
      <c r="J1142">
        <v>1340.7485352000001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555.65626599999996</v>
      </c>
      <c r="B1143" s="1">
        <f>DATE(2011,11,7) + TIME(15,45,1)</f>
        <v>40854.656261574077</v>
      </c>
      <c r="C1143">
        <v>80</v>
      </c>
      <c r="D1143">
        <v>79.004158020000006</v>
      </c>
      <c r="E1143">
        <v>50</v>
      </c>
      <c r="F1143">
        <v>49.970443725999999</v>
      </c>
      <c r="G1143">
        <v>1326.9638672000001</v>
      </c>
      <c r="H1143">
        <v>1324.7237548999999</v>
      </c>
      <c r="I1143">
        <v>1345.3718262</v>
      </c>
      <c r="J1143">
        <v>1340.7406006000001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555.94712000000004</v>
      </c>
      <c r="B1144" s="1">
        <f>DATE(2011,11,7) + TIME(22,43,51)</f>
        <v>40854.947118055556</v>
      </c>
      <c r="C1144">
        <v>80</v>
      </c>
      <c r="D1144">
        <v>78.970207213999998</v>
      </c>
      <c r="E1144">
        <v>50</v>
      </c>
      <c r="F1144">
        <v>49.970275878999999</v>
      </c>
      <c r="G1144">
        <v>1326.9510498</v>
      </c>
      <c r="H1144">
        <v>1324.7060547000001</v>
      </c>
      <c r="I1144">
        <v>1345.3586425999999</v>
      </c>
      <c r="J1144">
        <v>1340.7327881000001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556.24793599999998</v>
      </c>
      <c r="B1145" s="1">
        <f>DATE(2011,11,8) + TIME(5,57,1)</f>
        <v>40855.247928240744</v>
      </c>
      <c r="C1145">
        <v>80</v>
      </c>
      <c r="D1145">
        <v>78.935417174999998</v>
      </c>
      <c r="E1145">
        <v>50</v>
      </c>
      <c r="F1145">
        <v>49.970149994000003</v>
      </c>
      <c r="G1145">
        <v>1326.9377440999999</v>
      </c>
      <c r="H1145">
        <v>1324.6876221</v>
      </c>
      <c r="I1145">
        <v>1345.3454589999999</v>
      </c>
      <c r="J1145">
        <v>1340.7250977000001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556.55956200000003</v>
      </c>
      <c r="B1146" s="1">
        <f>DATE(2011,11,8) + TIME(13,25,46)</f>
        <v>40855.559560185182</v>
      </c>
      <c r="C1146">
        <v>80</v>
      </c>
      <c r="D1146">
        <v>78.899703978999995</v>
      </c>
      <c r="E1146">
        <v>50</v>
      </c>
      <c r="F1146">
        <v>49.970046996999997</v>
      </c>
      <c r="G1146">
        <v>1326.9239502</v>
      </c>
      <c r="H1146">
        <v>1324.668457</v>
      </c>
      <c r="I1146">
        <v>1345.3323975000001</v>
      </c>
      <c r="J1146">
        <v>1340.7174072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556.88284799999997</v>
      </c>
      <c r="B1147" s="1">
        <f>DATE(2011,11,8) + TIME(21,11,18)</f>
        <v>40855.882847222223</v>
      </c>
      <c r="C1147">
        <v>80</v>
      </c>
      <c r="D1147">
        <v>78.862998962000006</v>
      </c>
      <c r="E1147">
        <v>50</v>
      </c>
      <c r="F1147">
        <v>49.969966888000002</v>
      </c>
      <c r="G1147">
        <v>1326.9095459</v>
      </c>
      <c r="H1147">
        <v>1324.6484375</v>
      </c>
      <c r="I1147">
        <v>1345.3193358999999</v>
      </c>
      <c r="J1147">
        <v>1340.7097168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557.21872099999996</v>
      </c>
      <c r="B1148" s="1">
        <f>DATE(2011,11,9) + TIME(5,14,57)</f>
        <v>40856.218715277777</v>
      </c>
      <c r="C1148">
        <v>80</v>
      </c>
      <c r="D1148">
        <v>78.825241089000002</v>
      </c>
      <c r="E1148">
        <v>50</v>
      </c>
      <c r="F1148">
        <v>49.969902038999997</v>
      </c>
      <c r="G1148">
        <v>1326.8946533000001</v>
      </c>
      <c r="H1148">
        <v>1324.6276855000001</v>
      </c>
      <c r="I1148">
        <v>1345.3062743999999</v>
      </c>
      <c r="J1148">
        <v>1340.7020264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557.56820800000003</v>
      </c>
      <c r="B1149" s="1">
        <f>DATE(2011,11,9) + TIME(13,38,13)</f>
        <v>40856.568206018521</v>
      </c>
      <c r="C1149">
        <v>80</v>
      </c>
      <c r="D1149">
        <v>78.786331176999994</v>
      </c>
      <c r="E1149">
        <v>50</v>
      </c>
      <c r="F1149">
        <v>49.969852447999997</v>
      </c>
      <c r="G1149">
        <v>1326.8790283000001</v>
      </c>
      <c r="H1149">
        <v>1324.6060791</v>
      </c>
      <c r="I1149">
        <v>1345.2932129000001</v>
      </c>
      <c r="J1149">
        <v>1340.6943358999999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557.93243900000004</v>
      </c>
      <c r="B1150" s="1">
        <f>DATE(2011,11,9) + TIME(22,22,42)</f>
        <v>40856.932430555556</v>
      </c>
      <c r="C1150">
        <v>80</v>
      </c>
      <c r="D1150">
        <v>78.746185303000004</v>
      </c>
      <c r="E1150">
        <v>50</v>
      </c>
      <c r="F1150">
        <v>49.969806671000001</v>
      </c>
      <c r="G1150">
        <v>1326.862793</v>
      </c>
      <c r="H1150">
        <v>1324.5834961</v>
      </c>
      <c r="I1150">
        <v>1345.2800293</v>
      </c>
      <c r="J1150">
        <v>1340.6866454999999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558.31267200000002</v>
      </c>
      <c r="B1151" s="1">
        <f>DATE(2011,11,10) + TIME(7,30,14)</f>
        <v>40857.312662037039</v>
      </c>
      <c r="C1151">
        <v>80</v>
      </c>
      <c r="D1151">
        <v>78.704704285000005</v>
      </c>
      <c r="E1151">
        <v>50</v>
      </c>
      <c r="F1151">
        <v>49.969768524000003</v>
      </c>
      <c r="G1151">
        <v>1326.8458252</v>
      </c>
      <c r="H1151">
        <v>1324.5599365</v>
      </c>
      <c r="I1151">
        <v>1345.2668457</v>
      </c>
      <c r="J1151">
        <v>1340.6789550999999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558.71030699999994</v>
      </c>
      <c r="B1152" s="1">
        <f>DATE(2011,11,10) + TIME(17,2,50)</f>
        <v>40857.710300925923</v>
      </c>
      <c r="C1152">
        <v>80</v>
      </c>
      <c r="D1152">
        <v>78.661788939999994</v>
      </c>
      <c r="E1152">
        <v>50</v>
      </c>
      <c r="F1152">
        <v>49.969734191999997</v>
      </c>
      <c r="G1152">
        <v>1326.8280029</v>
      </c>
      <c r="H1152">
        <v>1324.5351562000001</v>
      </c>
      <c r="I1152">
        <v>1345.2536620999999</v>
      </c>
      <c r="J1152">
        <v>1340.6711425999999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559.12690799999996</v>
      </c>
      <c r="B1153" s="1">
        <f>DATE(2011,11,11) + TIME(3,2,44)</f>
        <v>40858.126898148148</v>
      </c>
      <c r="C1153">
        <v>80</v>
      </c>
      <c r="D1153">
        <v>78.617309570000003</v>
      </c>
      <c r="E1153">
        <v>50</v>
      </c>
      <c r="F1153">
        <v>49.969703674000002</v>
      </c>
      <c r="G1153">
        <v>1326.8094481999999</v>
      </c>
      <c r="H1153">
        <v>1324.5092772999999</v>
      </c>
      <c r="I1153">
        <v>1345.2403564000001</v>
      </c>
      <c r="J1153">
        <v>1340.6633300999999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559.56187999999997</v>
      </c>
      <c r="B1154" s="1">
        <f>DATE(2011,11,11) + TIME(13,29,6)</f>
        <v>40858.561874999999</v>
      </c>
      <c r="C1154">
        <v>80</v>
      </c>
      <c r="D1154">
        <v>78.571311950999998</v>
      </c>
      <c r="E1154">
        <v>50</v>
      </c>
      <c r="F1154">
        <v>49.969673157000003</v>
      </c>
      <c r="G1154">
        <v>1326.7897949000001</v>
      </c>
      <c r="H1154">
        <v>1324.4820557</v>
      </c>
      <c r="I1154">
        <v>1345.2269286999999</v>
      </c>
      <c r="J1154">
        <v>1340.6553954999999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560.01528800000006</v>
      </c>
      <c r="B1155" s="1">
        <f>DATE(2011,11,12) + TIME(0,22,0)</f>
        <v>40859.015277777777</v>
      </c>
      <c r="C1155">
        <v>80</v>
      </c>
      <c r="D1155">
        <v>78.523796082000004</v>
      </c>
      <c r="E1155">
        <v>50</v>
      </c>
      <c r="F1155">
        <v>49.969646453999999</v>
      </c>
      <c r="G1155">
        <v>1326.7694091999999</v>
      </c>
      <c r="H1155">
        <v>1324.4536132999999</v>
      </c>
      <c r="I1155">
        <v>1345.213501</v>
      </c>
      <c r="J1155">
        <v>1340.6475829999999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560.48389099999997</v>
      </c>
      <c r="B1156" s="1">
        <f>DATE(2011,11,12) + TIME(11,36,48)</f>
        <v>40859.483888888892</v>
      </c>
      <c r="C1156">
        <v>80</v>
      </c>
      <c r="D1156">
        <v>78.475006104000002</v>
      </c>
      <c r="E1156">
        <v>50</v>
      </c>
      <c r="F1156">
        <v>49.969623566000003</v>
      </c>
      <c r="G1156">
        <v>1326.7480469</v>
      </c>
      <c r="H1156">
        <v>1324.4238281</v>
      </c>
      <c r="I1156">
        <v>1345.1999512</v>
      </c>
      <c r="J1156">
        <v>1340.6396483999999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560.95887900000002</v>
      </c>
      <c r="B1157" s="1">
        <f>DATE(2011,11,12) + TIME(23,0,47)</f>
        <v>40859.958877314813</v>
      </c>
      <c r="C1157">
        <v>80</v>
      </c>
      <c r="D1157">
        <v>78.425590514999996</v>
      </c>
      <c r="E1157">
        <v>50</v>
      </c>
      <c r="F1157">
        <v>49.969600677000003</v>
      </c>
      <c r="G1157">
        <v>1326.7259521000001</v>
      </c>
      <c r="H1157">
        <v>1324.3930664</v>
      </c>
      <c r="I1157">
        <v>1345.1864014</v>
      </c>
      <c r="J1157">
        <v>1340.6317139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561.441326</v>
      </c>
      <c r="B1158" s="1">
        <f>DATE(2011,11,13) + TIME(10,35,30)</f>
        <v>40860.441319444442</v>
      </c>
      <c r="C1158">
        <v>80</v>
      </c>
      <c r="D1158">
        <v>78.375633239999999</v>
      </c>
      <c r="E1158">
        <v>50</v>
      </c>
      <c r="F1158">
        <v>49.969577788999999</v>
      </c>
      <c r="G1158">
        <v>1326.7034911999999</v>
      </c>
      <c r="H1158">
        <v>1324.3618164</v>
      </c>
      <c r="I1158">
        <v>1345.1733397999999</v>
      </c>
      <c r="J1158">
        <v>1340.6240233999999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561.93220299999996</v>
      </c>
      <c r="B1159" s="1">
        <f>DATE(2011,11,13) + TIME(22,22,22)</f>
        <v>40860.932199074072</v>
      </c>
      <c r="C1159">
        <v>80</v>
      </c>
      <c r="D1159">
        <v>78.325172424000002</v>
      </c>
      <c r="E1159">
        <v>50</v>
      </c>
      <c r="F1159">
        <v>49.969558716000002</v>
      </c>
      <c r="G1159">
        <v>1326.6805420000001</v>
      </c>
      <c r="H1159">
        <v>1324.3298339999999</v>
      </c>
      <c r="I1159">
        <v>1345.1604004000001</v>
      </c>
      <c r="J1159">
        <v>1340.6165771000001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562.43251699999996</v>
      </c>
      <c r="B1160" s="1">
        <f>DATE(2011,11,14) + TIME(10,22,49)</f>
        <v>40861.432511574072</v>
      </c>
      <c r="C1160">
        <v>80</v>
      </c>
      <c r="D1160">
        <v>78.274192810000002</v>
      </c>
      <c r="E1160">
        <v>50</v>
      </c>
      <c r="F1160">
        <v>49.969535827999998</v>
      </c>
      <c r="G1160">
        <v>1326.6571045000001</v>
      </c>
      <c r="H1160">
        <v>1324.2971190999999</v>
      </c>
      <c r="I1160">
        <v>1345.1478271000001</v>
      </c>
      <c r="J1160">
        <v>1340.6091309000001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562.94328499999995</v>
      </c>
      <c r="B1161" s="1">
        <f>DATE(2011,11,14) + TIME(22,38,19)</f>
        <v>40861.94327546296</v>
      </c>
      <c r="C1161">
        <v>80</v>
      </c>
      <c r="D1161">
        <v>78.222671508999994</v>
      </c>
      <c r="E1161">
        <v>50</v>
      </c>
      <c r="F1161">
        <v>49.969516753999997</v>
      </c>
      <c r="G1161">
        <v>1326.6333007999999</v>
      </c>
      <c r="H1161">
        <v>1324.2639160000001</v>
      </c>
      <c r="I1161">
        <v>1345.135376</v>
      </c>
      <c r="J1161">
        <v>1340.6019286999999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563.46556499999997</v>
      </c>
      <c r="B1162" s="1">
        <f>DATE(2011,11,15) + TIME(11,10,24)</f>
        <v>40862.465555555558</v>
      </c>
      <c r="C1162">
        <v>80</v>
      </c>
      <c r="D1162">
        <v>78.170547485</v>
      </c>
      <c r="E1162">
        <v>50</v>
      </c>
      <c r="F1162">
        <v>49.969501495000003</v>
      </c>
      <c r="G1162">
        <v>1326.6088867000001</v>
      </c>
      <c r="H1162">
        <v>1324.2298584</v>
      </c>
      <c r="I1162">
        <v>1345.1231689000001</v>
      </c>
      <c r="J1162">
        <v>1340.5948486</v>
      </c>
      <c r="K1162">
        <v>0</v>
      </c>
      <c r="L1162">
        <v>2400</v>
      </c>
      <c r="M1162">
        <v>2400</v>
      </c>
      <c r="N1162">
        <v>0</v>
      </c>
    </row>
    <row r="1163" spans="1:14" x14ac:dyDescent="0.25">
      <c r="A1163">
        <v>564.00048000000004</v>
      </c>
      <c r="B1163" s="1">
        <f>DATE(2011,11,16) + TIME(0,0,41)</f>
        <v>40863.000474537039</v>
      </c>
      <c r="C1163">
        <v>80</v>
      </c>
      <c r="D1163">
        <v>78.117759704999997</v>
      </c>
      <c r="E1163">
        <v>50</v>
      </c>
      <c r="F1163">
        <v>49.969482421999999</v>
      </c>
      <c r="G1163">
        <v>1326.5838623</v>
      </c>
      <c r="H1163">
        <v>1324.1950684000001</v>
      </c>
      <c r="I1163">
        <v>1345.1110839999999</v>
      </c>
      <c r="J1163">
        <v>1340.5877685999999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564.54919700000005</v>
      </c>
      <c r="B1164" s="1">
        <f>DATE(2011,11,16) + TIME(13,10,50)</f>
        <v>40863.549189814818</v>
      </c>
      <c r="C1164">
        <v>80</v>
      </c>
      <c r="D1164">
        <v>78.064231872999997</v>
      </c>
      <c r="E1164">
        <v>50</v>
      </c>
      <c r="F1164">
        <v>49.969467162999997</v>
      </c>
      <c r="G1164">
        <v>1326.5583495999999</v>
      </c>
      <c r="H1164">
        <v>1324.1594238</v>
      </c>
      <c r="I1164">
        <v>1345.0992432</v>
      </c>
      <c r="J1164">
        <v>1340.5809326000001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565.11291900000003</v>
      </c>
      <c r="B1165" s="1">
        <f>DATE(2011,11,17) + TIME(2,42,36)</f>
        <v>40864.112916666665</v>
      </c>
      <c r="C1165">
        <v>80</v>
      </c>
      <c r="D1165">
        <v>78.009895325000002</v>
      </c>
      <c r="E1165">
        <v>50</v>
      </c>
      <c r="F1165">
        <v>49.969451904000003</v>
      </c>
      <c r="G1165">
        <v>1326.5321045000001</v>
      </c>
      <c r="H1165">
        <v>1324.1228027</v>
      </c>
      <c r="I1165">
        <v>1345.0872803</v>
      </c>
      <c r="J1165">
        <v>1340.5739745999999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565.69275900000002</v>
      </c>
      <c r="B1166" s="1">
        <f>DATE(2011,11,17) + TIME(16,37,34)</f>
        <v>40864.692754629628</v>
      </c>
      <c r="C1166">
        <v>80</v>
      </c>
      <c r="D1166">
        <v>77.954666137999993</v>
      </c>
      <c r="E1166">
        <v>50</v>
      </c>
      <c r="F1166">
        <v>49.969436645999998</v>
      </c>
      <c r="G1166">
        <v>1326.505249</v>
      </c>
      <c r="H1166">
        <v>1324.0852050999999</v>
      </c>
      <c r="I1166">
        <v>1345.0755615</v>
      </c>
      <c r="J1166">
        <v>1340.5672606999999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566.29033100000004</v>
      </c>
      <c r="B1167" s="1">
        <f>DATE(2011,11,18) + TIME(6,58,4)</f>
        <v>40865.290324074071</v>
      </c>
      <c r="C1167">
        <v>80</v>
      </c>
      <c r="D1167">
        <v>77.898445128999995</v>
      </c>
      <c r="E1167">
        <v>50</v>
      </c>
      <c r="F1167">
        <v>49.969421386999997</v>
      </c>
      <c r="G1167">
        <v>1326.4775391000001</v>
      </c>
      <c r="H1167">
        <v>1324.0466309000001</v>
      </c>
      <c r="I1167">
        <v>1345.0638428</v>
      </c>
      <c r="J1167">
        <v>1340.5604248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566.90716999999995</v>
      </c>
      <c r="B1168" s="1">
        <f>DATE(2011,11,18) + TIME(21,46,19)</f>
        <v>40865.907164351855</v>
      </c>
      <c r="C1168">
        <v>80</v>
      </c>
      <c r="D1168">
        <v>77.841140746999997</v>
      </c>
      <c r="E1168">
        <v>50</v>
      </c>
      <c r="F1168">
        <v>49.969406128000003</v>
      </c>
      <c r="G1168">
        <v>1326.4490966999999</v>
      </c>
      <c r="H1168">
        <v>1324.0068358999999</v>
      </c>
      <c r="I1168">
        <v>1345.0522461</v>
      </c>
      <c r="J1168">
        <v>1340.5537108999999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567.54494799999998</v>
      </c>
      <c r="B1169" s="1">
        <f>DATE(2011,11,19) + TIME(13,4,43)</f>
        <v>40866.544942129629</v>
      </c>
      <c r="C1169">
        <v>80</v>
      </c>
      <c r="D1169">
        <v>77.782638550000001</v>
      </c>
      <c r="E1169">
        <v>50</v>
      </c>
      <c r="F1169">
        <v>49.969394684000001</v>
      </c>
      <c r="G1169">
        <v>1326.4196777</v>
      </c>
      <c r="H1169">
        <v>1323.9659423999999</v>
      </c>
      <c r="I1169">
        <v>1345.0405272999999</v>
      </c>
      <c r="J1169">
        <v>1340.5469971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568.20548699999995</v>
      </c>
      <c r="B1170" s="1">
        <f>DATE(2011,11,20) + TIME(4,55,54)</f>
        <v>40867.20548611111</v>
      </c>
      <c r="C1170">
        <v>80</v>
      </c>
      <c r="D1170">
        <v>77.722846985000004</v>
      </c>
      <c r="E1170">
        <v>50</v>
      </c>
      <c r="F1170">
        <v>49.969383239999999</v>
      </c>
      <c r="G1170">
        <v>1326.3892822</v>
      </c>
      <c r="H1170">
        <v>1323.9235839999999</v>
      </c>
      <c r="I1170">
        <v>1345.0289307</v>
      </c>
      <c r="J1170">
        <v>1340.5402832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568.89077099999997</v>
      </c>
      <c r="B1171" s="1">
        <f>DATE(2011,11,20) + TIME(21,22,42)</f>
        <v>40867.890763888892</v>
      </c>
      <c r="C1171">
        <v>80</v>
      </c>
      <c r="D1171">
        <v>77.661628723000007</v>
      </c>
      <c r="E1171">
        <v>50</v>
      </c>
      <c r="F1171">
        <v>49.969367980999998</v>
      </c>
      <c r="G1171">
        <v>1326.3579102000001</v>
      </c>
      <c r="H1171">
        <v>1323.8797606999999</v>
      </c>
      <c r="I1171">
        <v>1345.0172118999999</v>
      </c>
      <c r="J1171">
        <v>1340.5335693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569.60299099999997</v>
      </c>
      <c r="B1172" s="1">
        <f>DATE(2011,11,21) + TIME(14,28,18)</f>
        <v>40868.602986111109</v>
      </c>
      <c r="C1172">
        <v>80</v>
      </c>
      <c r="D1172">
        <v>77.598861693999993</v>
      </c>
      <c r="E1172">
        <v>50</v>
      </c>
      <c r="F1172">
        <v>49.969356537000003</v>
      </c>
      <c r="G1172">
        <v>1326.3254394999999</v>
      </c>
      <c r="H1172">
        <v>1323.8344727000001</v>
      </c>
      <c r="I1172">
        <v>1345.0054932</v>
      </c>
      <c r="J1172">
        <v>1340.5268555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570.34457699999996</v>
      </c>
      <c r="B1173" s="1">
        <f>DATE(2011,11,22) + TIME(8,16,11)</f>
        <v>40869.344571759262</v>
      </c>
      <c r="C1173">
        <v>80</v>
      </c>
      <c r="D1173">
        <v>77.534416199000006</v>
      </c>
      <c r="E1173">
        <v>50</v>
      </c>
      <c r="F1173">
        <v>49.969348906999997</v>
      </c>
      <c r="G1173">
        <v>1326.2917480000001</v>
      </c>
      <c r="H1173">
        <v>1323.7874756000001</v>
      </c>
      <c r="I1173">
        <v>1344.9937743999999</v>
      </c>
      <c r="J1173">
        <v>1340.5201416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571.11821099999997</v>
      </c>
      <c r="B1174" s="1">
        <f>DATE(2011,11,23) + TIME(2,50,13)</f>
        <v>40870.118206018517</v>
      </c>
      <c r="C1174">
        <v>80</v>
      </c>
      <c r="D1174">
        <v>77.468139648000005</v>
      </c>
      <c r="E1174">
        <v>50</v>
      </c>
      <c r="F1174">
        <v>49.969337463000002</v>
      </c>
      <c r="G1174">
        <v>1326.2567139</v>
      </c>
      <c r="H1174">
        <v>1323.7386475000001</v>
      </c>
      <c r="I1174">
        <v>1344.9818115</v>
      </c>
      <c r="J1174">
        <v>1340.5134277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571.91389400000003</v>
      </c>
      <c r="B1175" s="1">
        <f>DATE(2011,11,23) + TIME(21,56,0)</f>
        <v>40870.913888888892</v>
      </c>
      <c r="C1175">
        <v>80</v>
      </c>
      <c r="D1175">
        <v>77.400421143000003</v>
      </c>
      <c r="E1175">
        <v>50</v>
      </c>
      <c r="F1175">
        <v>49.969326019</v>
      </c>
      <c r="G1175">
        <v>1326.2203368999999</v>
      </c>
      <c r="H1175">
        <v>1323.6879882999999</v>
      </c>
      <c r="I1175">
        <v>1344.9698486</v>
      </c>
      <c r="J1175">
        <v>1340.5065918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572.72093299999995</v>
      </c>
      <c r="B1176" s="1">
        <f>DATE(2011,11,24) + TIME(17,18,8)</f>
        <v>40871.720925925925</v>
      </c>
      <c r="C1176">
        <v>80</v>
      </c>
      <c r="D1176">
        <v>77.331916809000006</v>
      </c>
      <c r="E1176">
        <v>50</v>
      </c>
      <c r="F1176">
        <v>49.969318389999998</v>
      </c>
      <c r="G1176">
        <v>1326.1829834</v>
      </c>
      <c r="H1176">
        <v>1323.6358643000001</v>
      </c>
      <c r="I1176">
        <v>1344.9580077999999</v>
      </c>
      <c r="J1176">
        <v>1340.4998779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573.54117699999995</v>
      </c>
      <c r="B1177" s="1">
        <f>DATE(2011,11,25) + TIME(12,59,17)</f>
        <v>40872.541168981479</v>
      </c>
      <c r="C1177">
        <v>80</v>
      </c>
      <c r="D1177">
        <v>77.262901306000003</v>
      </c>
      <c r="E1177">
        <v>50</v>
      </c>
      <c r="F1177">
        <v>49.969310759999999</v>
      </c>
      <c r="G1177">
        <v>1326.1448975000001</v>
      </c>
      <c r="H1177">
        <v>1323.5830077999999</v>
      </c>
      <c r="I1177">
        <v>1344.9462891000001</v>
      </c>
      <c r="J1177">
        <v>1340.4931641000001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574.376349</v>
      </c>
      <c r="B1178" s="1">
        <f>DATE(2011,11,26) + TIME(9,1,56)</f>
        <v>40873.376342592594</v>
      </c>
      <c r="C1178">
        <v>80</v>
      </c>
      <c r="D1178">
        <v>77.193443298000005</v>
      </c>
      <c r="E1178">
        <v>50</v>
      </c>
      <c r="F1178">
        <v>49.969303130999997</v>
      </c>
      <c r="G1178">
        <v>1326.1063231999999</v>
      </c>
      <c r="H1178">
        <v>1323.5291748</v>
      </c>
      <c r="I1178">
        <v>1344.9348144999999</v>
      </c>
      <c r="J1178">
        <v>1340.4866943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575.228253</v>
      </c>
      <c r="B1179" s="1">
        <f>DATE(2011,11,27) + TIME(5,28,41)</f>
        <v>40874.228252314817</v>
      </c>
      <c r="C1179">
        <v>80</v>
      </c>
      <c r="D1179">
        <v>77.123527526999993</v>
      </c>
      <c r="E1179">
        <v>50</v>
      </c>
      <c r="F1179">
        <v>49.969295502000001</v>
      </c>
      <c r="G1179">
        <v>1326.0671387</v>
      </c>
      <c r="H1179">
        <v>1323.4744873</v>
      </c>
      <c r="I1179">
        <v>1344.9234618999999</v>
      </c>
      <c r="J1179">
        <v>1340.4803466999999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576.09882300000004</v>
      </c>
      <c r="B1180" s="1">
        <f>DATE(2011,11,28) + TIME(2,22,18)</f>
        <v>40875.098819444444</v>
      </c>
      <c r="C1180">
        <v>80</v>
      </c>
      <c r="D1180">
        <v>77.053070067999997</v>
      </c>
      <c r="E1180">
        <v>50</v>
      </c>
      <c r="F1180">
        <v>49.969287872000002</v>
      </c>
      <c r="G1180">
        <v>1326.0272216999999</v>
      </c>
      <c r="H1180">
        <v>1323.4189452999999</v>
      </c>
      <c r="I1180">
        <v>1344.9123535000001</v>
      </c>
      <c r="J1180">
        <v>1340.473999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576.99001699999997</v>
      </c>
      <c r="B1181" s="1">
        <f>DATE(2011,11,28) + TIME(23,45,37)</f>
        <v>40875.990011574075</v>
      </c>
      <c r="C1181">
        <v>80</v>
      </c>
      <c r="D1181">
        <v>76.981964110999996</v>
      </c>
      <c r="E1181">
        <v>50</v>
      </c>
      <c r="F1181">
        <v>49.969284058</v>
      </c>
      <c r="G1181">
        <v>1325.9865723</v>
      </c>
      <c r="H1181">
        <v>1323.3623047000001</v>
      </c>
      <c r="I1181">
        <v>1344.9012451000001</v>
      </c>
      <c r="J1181">
        <v>1340.4677733999999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577.90385000000003</v>
      </c>
      <c r="B1182" s="1">
        <f>DATE(2011,11,29) + TIME(21,41,32)</f>
        <v>40876.90384259259</v>
      </c>
      <c r="C1182">
        <v>80</v>
      </c>
      <c r="D1182">
        <v>76.910095214999998</v>
      </c>
      <c r="E1182">
        <v>50</v>
      </c>
      <c r="F1182">
        <v>49.969280243</v>
      </c>
      <c r="G1182">
        <v>1325.9451904</v>
      </c>
      <c r="H1182">
        <v>1323.3044434000001</v>
      </c>
      <c r="I1182">
        <v>1344.8902588000001</v>
      </c>
      <c r="J1182">
        <v>1340.4616699000001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578.84214699999995</v>
      </c>
      <c r="B1183" s="1">
        <f>DATE(2011,11,30) + TIME(20,12,41)</f>
        <v>40877.842141203706</v>
      </c>
      <c r="C1183">
        <v>80</v>
      </c>
      <c r="D1183">
        <v>76.837348938000005</v>
      </c>
      <c r="E1183">
        <v>50</v>
      </c>
      <c r="F1183">
        <v>49.969276428000001</v>
      </c>
      <c r="G1183">
        <v>1325.902832</v>
      </c>
      <c r="H1183">
        <v>1323.2454834</v>
      </c>
      <c r="I1183">
        <v>1344.8793945</v>
      </c>
      <c r="J1183">
        <v>1340.4555664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579</v>
      </c>
      <c r="B1184" s="1">
        <f>DATE(2011,12,1) + TIME(0,0,0)</f>
        <v>40878</v>
      </c>
      <c r="C1184">
        <v>80</v>
      </c>
      <c r="D1184">
        <v>76.814712524000001</v>
      </c>
      <c r="E1184">
        <v>50</v>
      </c>
      <c r="F1184">
        <v>49.969264983999999</v>
      </c>
      <c r="G1184">
        <v>1325.8660889</v>
      </c>
      <c r="H1184">
        <v>1323.1955565999999</v>
      </c>
      <c r="I1184">
        <v>1344.8691406</v>
      </c>
      <c r="J1184">
        <v>1340.4498291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579.96535400000005</v>
      </c>
      <c r="B1185" s="1">
        <f>DATE(2011,12,1) + TIME(23,10,6)</f>
        <v>40878.96534722222</v>
      </c>
      <c r="C1185">
        <v>80</v>
      </c>
      <c r="D1185">
        <v>76.746803283999995</v>
      </c>
      <c r="E1185">
        <v>50</v>
      </c>
      <c r="F1185">
        <v>49.969272613999998</v>
      </c>
      <c r="G1185">
        <v>1325.8497314000001</v>
      </c>
      <c r="H1185">
        <v>1323.1711425999999</v>
      </c>
      <c r="I1185">
        <v>1344.8665771000001</v>
      </c>
      <c r="J1185">
        <v>1340.4483643000001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580.96544400000005</v>
      </c>
      <c r="B1186" s="1">
        <f>DATE(2011,12,2) + TIME(23,10,14)</f>
        <v>40879.965439814812</v>
      </c>
      <c r="C1186">
        <v>80</v>
      </c>
      <c r="D1186">
        <v>76.674438476999995</v>
      </c>
      <c r="E1186">
        <v>50</v>
      </c>
      <c r="F1186">
        <v>49.969272613999998</v>
      </c>
      <c r="G1186">
        <v>1325.8067627</v>
      </c>
      <c r="H1186">
        <v>1323.1114502</v>
      </c>
      <c r="I1186">
        <v>1344.855957</v>
      </c>
      <c r="J1186">
        <v>1340.4423827999999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581.99824699999999</v>
      </c>
      <c r="B1187" s="1">
        <f>DATE(2011,12,3) + TIME(23,57,28)</f>
        <v>40880.998240740744</v>
      </c>
      <c r="C1187">
        <v>80</v>
      </c>
      <c r="D1187">
        <v>76.599189757999994</v>
      </c>
      <c r="E1187">
        <v>50</v>
      </c>
      <c r="F1187">
        <v>49.969272613999998</v>
      </c>
      <c r="G1187">
        <v>1325.7614745999999</v>
      </c>
      <c r="H1187">
        <v>1323.0487060999999</v>
      </c>
      <c r="I1187">
        <v>1344.8450928</v>
      </c>
      <c r="J1187">
        <v>1340.4364014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583.06686999999999</v>
      </c>
      <c r="B1188" s="1">
        <f>DATE(2011,12,5) + TIME(1,36,17)</f>
        <v>40882.066863425927</v>
      </c>
      <c r="C1188">
        <v>80</v>
      </c>
      <c r="D1188">
        <v>76.521743774000001</v>
      </c>
      <c r="E1188">
        <v>50</v>
      </c>
      <c r="F1188">
        <v>49.969272613999998</v>
      </c>
      <c r="G1188">
        <v>1325.7147216999999</v>
      </c>
      <c r="H1188">
        <v>1322.9836425999999</v>
      </c>
      <c r="I1188">
        <v>1344.8342285000001</v>
      </c>
      <c r="J1188">
        <v>1340.4304199000001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584.17462699999999</v>
      </c>
      <c r="B1189" s="1">
        <f>DATE(2011,12,6) + TIME(4,11,27)</f>
        <v>40883.174618055556</v>
      </c>
      <c r="C1189">
        <v>80</v>
      </c>
      <c r="D1189">
        <v>76.442321777000004</v>
      </c>
      <c r="E1189">
        <v>50</v>
      </c>
      <c r="F1189">
        <v>49.969272613999998</v>
      </c>
      <c r="G1189">
        <v>1325.6663818</v>
      </c>
      <c r="H1189">
        <v>1322.9163818</v>
      </c>
      <c r="I1189">
        <v>1344.8233643000001</v>
      </c>
      <c r="J1189">
        <v>1340.4243164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585.32516399999997</v>
      </c>
      <c r="B1190" s="1">
        <f>DATE(2011,12,7) + TIME(7,48,14)</f>
        <v>40884.325162037036</v>
      </c>
      <c r="C1190">
        <v>80</v>
      </c>
      <c r="D1190">
        <v>76.360893250000004</v>
      </c>
      <c r="E1190">
        <v>50</v>
      </c>
      <c r="F1190">
        <v>49.969276428000001</v>
      </c>
      <c r="G1190">
        <v>1325.6163329999999</v>
      </c>
      <c r="H1190">
        <v>1322.8469238</v>
      </c>
      <c r="I1190">
        <v>1344.8123779</v>
      </c>
      <c r="J1190">
        <v>1340.4183350000001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586.52250000000004</v>
      </c>
      <c r="B1191" s="1">
        <f>DATE(2011,12,8) + TIME(12,32,24)</f>
        <v>40885.522499999999</v>
      </c>
      <c r="C1191">
        <v>80</v>
      </c>
      <c r="D1191">
        <v>76.277328491000006</v>
      </c>
      <c r="E1191">
        <v>50</v>
      </c>
      <c r="F1191">
        <v>49.969276428000001</v>
      </c>
      <c r="G1191">
        <v>1325.5646973</v>
      </c>
      <c r="H1191">
        <v>1322.7751464999999</v>
      </c>
      <c r="I1191">
        <v>1344.8013916</v>
      </c>
      <c r="J1191">
        <v>1340.4122314000001</v>
      </c>
      <c r="K1191">
        <v>0</v>
      </c>
      <c r="L1191">
        <v>2400</v>
      </c>
      <c r="M1191">
        <v>2400</v>
      </c>
      <c r="N1191">
        <v>0</v>
      </c>
    </row>
    <row r="1192" spans="1:14" x14ac:dyDescent="0.25">
      <c r="A1192">
        <v>587.74485000000004</v>
      </c>
      <c r="B1192" s="1">
        <f>DATE(2011,12,9) + TIME(17,52,35)</f>
        <v>40886.744849537034</v>
      </c>
      <c r="C1192">
        <v>80</v>
      </c>
      <c r="D1192">
        <v>76.192108153999996</v>
      </c>
      <c r="E1192">
        <v>50</v>
      </c>
      <c r="F1192">
        <v>49.969280243</v>
      </c>
      <c r="G1192">
        <v>1325.5113524999999</v>
      </c>
      <c r="H1192">
        <v>1322.7010498</v>
      </c>
      <c r="I1192">
        <v>1344.7902832</v>
      </c>
      <c r="J1192">
        <v>1340.4061279</v>
      </c>
      <c r="K1192">
        <v>0</v>
      </c>
      <c r="L1192">
        <v>2400</v>
      </c>
      <c r="M1192">
        <v>2400</v>
      </c>
      <c r="N1192">
        <v>0</v>
      </c>
    </row>
    <row r="1193" spans="1:14" x14ac:dyDescent="0.25">
      <c r="A1193">
        <v>588.98765000000003</v>
      </c>
      <c r="B1193" s="1">
        <f>DATE(2011,12,10) + TIME(23,42,12)</f>
        <v>40887.987638888888</v>
      </c>
      <c r="C1193">
        <v>80</v>
      </c>
      <c r="D1193">
        <v>76.105911254999995</v>
      </c>
      <c r="E1193">
        <v>50</v>
      </c>
      <c r="F1193">
        <v>49.969287872000002</v>
      </c>
      <c r="G1193">
        <v>1325.4567870999999</v>
      </c>
      <c r="H1193">
        <v>1322.6253661999999</v>
      </c>
      <c r="I1193">
        <v>1344.7791748</v>
      </c>
      <c r="J1193">
        <v>1340.4000243999999</v>
      </c>
      <c r="K1193">
        <v>0</v>
      </c>
      <c r="L1193">
        <v>2400</v>
      </c>
      <c r="M1193">
        <v>2400</v>
      </c>
      <c r="N1193">
        <v>0</v>
      </c>
    </row>
    <row r="1194" spans="1:14" x14ac:dyDescent="0.25">
      <c r="A1194">
        <v>590.25375099999997</v>
      </c>
      <c r="B1194" s="1">
        <f>DATE(2011,12,12) + TIME(6,5,24)</f>
        <v>40889.253750000003</v>
      </c>
      <c r="C1194">
        <v>80</v>
      </c>
      <c r="D1194">
        <v>76.019012450999995</v>
      </c>
      <c r="E1194">
        <v>50</v>
      </c>
      <c r="F1194">
        <v>49.969291687000002</v>
      </c>
      <c r="G1194">
        <v>1325.4016113</v>
      </c>
      <c r="H1194">
        <v>1322.5485839999999</v>
      </c>
      <c r="I1194">
        <v>1344.7683105000001</v>
      </c>
      <c r="J1194">
        <v>1340.394043</v>
      </c>
      <c r="K1194">
        <v>0</v>
      </c>
      <c r="L1194">
        <v>2400</v>
      </c>
      <c r="M1194">
        <v>2400</v>
      </c>
      <c r="N1194">
        <v>0</v>
      </c>
    </row>
    <row r="1195" spans="1:14" x14ac:dyDescent="0.25">
      <c r="A1195">
        <v>591.54603199999997</v>
      </c>
      <c r="B1195" s="1">
        <f>DATE(2011,12,13) + TIME(13,6,17)</f>
        <v>40890.546030092592</v>
      </c>
      <c r="C1195">
        <v>80</v>
      </c>
      <c r="D1195">
        <v>75.931373596</v>
      </c>
      <c r="E1195">
        <v>50</v>
      </c>
      <c r="F1195">
        <v>49.969299315999997</v>
      </c>
      <c r="G1195">
        <v>1325.3455810999999</v>
      </c>
      <c r="H1195">
        <v>1322.4707031</v>
      </c>
      <c r="I1195">
        <v>1344.7575684000001</v>
      </c>
      <c r="J1195">
        <v>1340.3881836</v>
      </c>
      <c r="K1195">
        <v>0</v>
      </c>
      <c r="L1195">
        <v>2400</v>
      </c>
      <c r="M1195">
        <v>2400</v>
      </c>
      <c r="N1195">
        <v>0</v>
      </c>
    </row>
    <row r="1196" spans="1:14" x14ac:dyDescent="0.25">
      <c r="A1196">
        <v>592.86753699999997</v>
      </c>
      <c r="B1196" s="1">
        <f>DATE(2011,12,14) + TIME(20,49,15)</f>
        <v>40891.867534722223</v>
      </c>
      <c r="C1196">
        <v>80</v>
      </c>
      <c r="D1196">
        <v>75.842849731000001</v>
      </c>
      <c r="E1196">
        <v>50</v>
      </c>
      <c r="F1196">
        <v>49.969306946000003</v>
      </c>
      <c r="G1196">
        <v>1325.2888184000001</v>
      </c>
      <c r="H1196">
        <v>1322.3917236</v>
      </c>
      <c r="I1196">
        <v>1344.7469481999999</v>
      </c>
      <c r="J1196">
        <v>1340.3823242000001</v>
      </c>
      <c r="K1196">
        <v>0</v>
      </c>
      <c r="L1196">
        <v>2400</v>
      </c>
      <c r="M1196">
        <v>2400</v>
      </c>
      <c r="N1196">
        <v>0</v>
      </c>
    </row>
    <row r="1197" spans="1:14" x14ac:dyDescent="0.25">
      <c r="A1197">
        <v>594.22162500000002</v>
      </c>
      <c r="B1197" s="1">
        <f>DATE(2011,12,16) + TIME(5,19,8)</f>
        <v>40893.221620370372</v>
      </c>
      <c r="C1197">
        <v>80</v>
      </c>
      <c r="D1197">
        <v>75.753234863000003</v>
      </c>
      <c r="E1197">
        <v>50</v>
      </c>
      <c r="F1197">
        <v>49.969314574999999</v>
      </c>
      <c r="G1197">
        <v>1325.230957</v>
      </c>
      <c r="H1197">
        <v>1322.3115233999999</v>
      </c>
      <c r="I1197">
        <v>1344.7363281</v>
      </c>
      <c r="J1197">
        <v>1340.3765868999999</v>
      </c>
      <c r="K1197">
        <v>0</v>
      </c>
      <c r="L1197">
        <v>2400</v>
      </c>
      <c r="M1197">
        <v>2400</v>
      </c>
      <c r="N1197">
        <v>0</v>
      </c>
    </row>
    <row r="1198" spans="1:14" x14ac:dyDescent="0.25">
      <c r="A1198">
        <v>595.61128399999996</v>
      </c>
      <c r="B1198" s="1">
        <f>DATE(2011,12,17) + TIME(14,40,14)</f>
        <v>40894.611273148148</v>
      </c>
      <c r="C1198">
        <v>80</v>
      </c>
      <c r="D1198">
        <v>75.662300110000004</v>
      </c>
      <c r="E1198">
        <v>50</v>
      </c>
      <c r="F1198">
        <v>49.969322204999997</v>
      </c>
      <c r="G1198">
        <v>1325.1722411999999</v>
      </c>
      <c r="H1198">
        <v>1322.2298584</v>
      </c>
      <c r="I1198">
        <v>1344.7258300999999</v>
      </c>
      <c r="J1198">
        <v>1340.3708495999999</v>
      </c>
      <c r="K1198">
        <v>0</v>
      </c>
      <c r="L1198">
        <v>2400</v>
      </c>
      <c r="M1198">
        <v>2400</v>
      </c>
      <c r="N1198">
        <v>0</v>
      </c>
    </row>
    <row r="1199" spans="1:14" x14ac:dyDescent="0.25">
      <c r="A1199">
        <v>597.03992900000003</v>
      </c>
      <c r="B1199" s="1">
        <f>DATE(2011,12,19) + TIME(0,57,29)</f>
        <v>40896.039918981478</v>
      </c>
      <c r="C1199">
        <v>80</v>
      </c>
      <c r="D1199">
        <v>75.569831848000007</v>
      </c>
      <c r="E1199">
        <v>50</v>
      </c>
      <c r="F1199">
        <v>49.969333648999999</v>
      </c>
      <c r="G1199">
        <v>1325.1121826000001</v>
      </c>
      <c r="H1199">
        <v>1322.1466064000001</v>
      </c>
      <c r="I1199">
        <v>1344.715332</v>
      </c>
      <c r="J1199">
        <v>1340.3651123</v>
      </c>
      <c r="K1199">
        <v>0</v>
      </c>
      <c r="L1199">
        <v>2400</v>
      </c>
      <c r="M1199">
        <v>2400</v>
      </c>
      <c r="N1199">
        <v>0</v>
      </c>
    </row>
    <row r="1200" spans="1:14" x14ac:dyDescent="0.25">
      <c r="A1200">
        <v>598.511573</v>
      </c>
      <c r="B1200" s="1">
        <f>DATE(2011,12,20) + TIME(12,16,39)</f>
        <v>40897.511562500003</v>
      </c>
      <c r="C1200">
        <v>80</v>
      </c>
      <c r="D1200">
        <v>75.475555420000006</v>
      </c>
      <c r="E1200">
        <v>50</v>
      </c>
      <c r="F1200">
        <v>49.969345093000001</v>
      </c>
      <c r="G1200">
        <v>1325.0510254000001</v>
      </c>
      <c r="H1200">
        <v>1322.0617675999999</v>
      </c>
      <c r="I1200">
        <v>1344.7048339999999</v>
      </c>
      <c r="J1200">
        <v>1340.3594971</v>
      </c>
      <c r="K1200">
        <v>0</v>
      </c>
      <c r="L1200">
        <v>2400</v>
      </c>
      <c r="M1200">
        <v>2400</v>
      </c>
      <c r="N1200">
        <v>0</v>
      </c>
    </row>
    <row r="1201" spans="1:14" x14ac:dyDescent="0.25">
      <c r="A1201">
        <v>600.03048200000001</v>
      </c>
      <c r="B1201" s="1">
        <f>DATE(2011,12,22) + TIME(0,43,53)</f>
        <v>40899.030474537038</v>
      </c>
      <c r="C1201">
        <v>80</v>
      </c>
      <c r="D1201">
        <v>75.379188537999994</v>
      </c>
      <c r="E1201">
        <v>50</v>
      </c>
      <c r="F1201">
        <v>49.969360352000002</v>
      </c>
      <c r="G1201">
        <v>1324.9884033000001</v>
      </c>
      <c r="H1201">
        <v>1321.9748535000001</v>
      </c>
      <c r="I1201">
        <v>1344.6943358999999</v>
      </c>
      <c r="J1201">
        <v>1340.3537598</v>
      </c>
      <c r="K1201">
        <v>0</v>
      </c>
      <c r="L1201">
        <v>2400</v>
      </c>
      <c r="M1201">
        <v>2400</v>
      </c>
      <c r="N1201">
        <v>0</v>
      </c>
    </row>
    <row r="1202" spans="1:14" x14ac:dyDescent="0.25">
      <c r="A1202">
        <v>601.60128199999997</v>
      </c>
      <c r="B1202" s="1">
        <f>DATE(2011,12,23) + TIME(14,25,50)</f>
        <v>40900.601273148146</v>
      </c>
      <c r="C1202">
        <v>80</v>
      </c>
      <c r="D1202">
        <v>75.280426024999997</v>
      </c>
      <c r="E1202">
        <v>50</v>
      </c>
      <c r="F1202">
        <v>49.969371795999997</v>
      </c>
      <c r="G1202">
        <v>1324.9243164</v>
      </c>
      <c r="H1202">
        <v>1321.8859863</v>
      </c>
      <c r="I1202">
        <v>1344.6837158000001</v>
      </c>
      <c r="J1202">
        <v>1340.3480225000001</v>
      </c>
      <c r="K1202">
        <v>0</v>
      </c>
      <c r="L1202">
        <v>2400</v>
      </c>
      <c r="M1202">
        <v>2400</v>
      </c>
      <c r="N1202">
        <v>0</v>
      </c>
    </row>
    <row r="1203" spans="1:14" x14ac:dyDescent="0.25">
      <c r="A1203">
        <v>603.22902299999998</v>
      </c>
      <c r="B1203" s="1">
        <f>DATE(2011,12,25) + TIME(5,29,47)</f>
        <v>40902.229016203702</v>
      </c>
      <c r="C1203">
        <v>80</v>
      </c>
      <c r="D1203">
        <v>75.178932189999998</v>
      </c>
      <c r="E1203">
        <v>50</v>
      </c>
      <c r="F1203">
        <v>49.969387054000002</v>
      </c>
      <c r="G1203">
        <v>1324.8585204999999</v>
      </c>
      <c r="H1203">
        <v>1321.7947998</v>
      </c>
      <c r="I1203">
        <v>1344.6730957</v>
      </c>
      <c r="J1203">
        <v>1340.3422852000001</v>
      </c>
      <c r="K1203">
        <v>0</v>
      </c>
      <c r="L1203">
        <v>2400</v>
      </c>
      <c r="M1203">
        <v>2400</v>
      </c>
      <c r="N1203">
        <v>0</v>
      </c>
    </row>
    <row r="1204" spans="1:14" x14ac:dyDescent="0.25">
      <c r="A1204">
        <v>604.91925700000002</v>
      </c>
      <c r="B1204" s="1">
        <f>DATE(2011,12,26) + TIME(22,3,43)</f>
        <v>40903.919247685182</v>
      </c>
      <c r="C1204">
        <v>80</v>
      </c>
      <c r="D1204">
        <v>75.074356078999998</v>
      </c>
      <c r="E1204">
        <v>50</v>
      </c>
      <c r="F1204">
        <v>49.969406128000003</v>
      </c>
      <c r="G1204">
        <v>1324.7910156</v>
      </c>
      <c r="H1204">
        <v>1321.7010498</v>
      </c>
      <c r="I1204">
        <v>1344.6624756000001</v>
      </c>
      <c r="J1204">
        <v>1340.3365478999999</v>
      </c>
      <c r="K1204">
        <v>0</v>
      </c>
      <c r="L1204">
        <v>2400</v>
      </c>
      <c r="M1204">
        <v>2400</v>
      </c>
      <c r="N1204">
        <v>0</v>
      </c>
    </row>
    <row r="1205" spans="1:14" x14ac:dyDescent="0.25">
      <c r="A1205">
        <v>606.67724299999998</v>
      </c>
      <c r="B1205" s="1">
        <f>DATE(2011,12,28) + TIME(16,15,13)</f>
        <v>40905.677233796298</v>
      </c>
      <c r="C1205">
        <v>80</v>
      </c>
      <c r="D1205">
        <v>74.966255188000005</v>
      </c>
      <c r="E1205">
        <v>50</v>
      </c>
      <c r="F1205">
        <v>49.969425201</v>
      </c>
      <c r="G1205">
        <v>1324.7213135</v>
      </c>
      <c r="H1205">
        <v>1321.6046143000001</v>
      </c>
      <c r="I1205">
        <v>1344.6516113</v>
      </c>
      <c r="J1205">
        <v>1340.3306885</v>
      </c>
      <c r="K1205">
        <v>0</v>
      </c>
      <c r="L1205">
        <v>2400</v>
      </c>
      <c r="M1205">
        <v>2400</v>
      </c>
      <c r="N1205">
        <v>0</v>
      </c>
    </row>
    <row r="1206" spans="1:14" x14ac:dyDescent="0.25">
      <c r="A1206">
        <v>608.47245899999996</v>
      </c>
      <c r="B1206" s="1">
        <f>DATE(2011,12,30) + TIME(11,20,20)</f>
        <v>40907.472453703704</v>
      </c>
      <c r="C1206">
        <v>80</v>
      </c>
      <c r="D1206">
        <v>74.854743958</v>
      </c>
      <c r="E1206">
        <v>50</v>
      </c>
      <c r="F1206">
        <v>49.969444275000001</v>
      </c>
      <c r="G1206">
        <v>1324.6496582</v>
      </c>
      <c r="H1206">
        <v>1321.5053711</v>
      </c>
      <c r="I1206">
        <v>1344.6407471</v>
      </c>
      <c r="J1206">
        <v>1340.3248291</v>
      </c>
      <c r="K1206">
        <v>0</v>
      </c>
      <c r="L1206">
        <v>2400</v>
      </c>
      <c r="M1206">
        <v>2400</v>
      </c>
      <c r="N1206">
        <v>0</v>
      </c>
    </row>
    <row r="1207" spans="1:14" x14ac:dyDescent="0.25">
      <c r="A1207">
        <v>610</v>
      </c>
      <c r="B1207" s="1">
        <f>DATE(2012,1,1) + TIME(0,0,0)</f>
        <v>40909</v>
      </c>
      <c r="C1207">
        <v>80</v>
      </c>
      <c r="D1207">
        <v>74.746513367000006</v>
      </c>
      <c r="E1207">
        <v>50</v>
      </c>
      <c r="F1207">
        <v>49.969455719000003</v>
      </c>
      <c r="G1207">
        <v>1324.5775146000001</v>
      </c>
      <c r="H1207">
        <v>1321.4057617000001</v>
      </c>
      <c r="I1207">
        <v>1344.6298827999999</v>
      </c>
      <c r="J1207">
        <v>1340.3189697</v>
      </c>
      <c r="K1207">
        <v>0</v>
      </c>
      <c r="L1207">
        <v>2400</v>
      </c>
      <c r="M1207">
        <v>2400</v>
      </c>
      <c r="N1207">
        <v>0</v>
      </c>
    </row>
    <row r="1208" spans="1:14" x14ac:dyDescent="0.25">
      <c r="A1208">
        <v>611.82917499999996</v>
      </c>
      <c r="B1208" s="1">
        <f>DATE(2012,1,2) + TIME(19,54,0)</f>
        <v>40910.82916666667</v>
      </c>
      <c r="C1208">
        <v>80</v>
      </c>
      <c r="D1208">
        <v>74.640769958000007</v>
      </c>
      <c r="E1208">
        <v>50</v>
      </c>
      <c r="F1208">
        <v>49.969478606999999</v>
      </c>
      <c r="G1208">
        <v>1324.5124512</v>
      </c>
      <c r="H1208">
        <v>1321.3143310999999</v>
      </c>
      <c r="I1208">
        <v>1344.6208495999999</v>
      </c>
      <c r="J1208">
        <v>1340.3140868999999</v>
      </c>
      <c r="K1208">
        <v>0</v>
      </c>
      <c r="L1208">
        <v>2400</v>
      </c>
      <c r="M1208">
        <v>2400</v>
      </c>
      <c r="N1208">
        <v>0</v>
      </c>
    </row>
    <row r="1209" spans="1:14" x14ac:dyDescent="0.25">
      <c r="A1209">
        <v>613.73109999999997</v>
      </c>
      <c r="B1209" s="1">
        <f>DATE(2012,1,4) + TIME(17,32,47)</f>
        <v>40912.731099537035</v>
      </c>
      <c r="C1209">
        <v>80</v>
      </c>
      <c r="D1209">
        <v>74.526275635000005</v>
      </c>
      <c r="E1209">
        <v>50</v>
      </c>
      <c r="F1209">
        <v>49.969501495000003</v>
      </c>
      <c r="G1209">
        <v>1324.4407959</v>
      </c>
      <c r="H1209">
        <v>1321.2155762</v>
      </c>
      <c r="I1209">
        <v>1344.6103516000001</v>
      </c>
      <c r="J1209">
        <v>1340.3084716999999</v>
      </c>
      <c r="K1209">
        <v>0</v>
      </c>
      <c r="L1209">
        <v>2400</v>
      </c>
      <c r="M1209">
        <v>2400</v>
      </c>
      <c r="N1209">
        <v>0</v>
      </c>
    </row>
    <row r="1210" spans="1:14" x14ac:dyDescent="0.25">
      <c r="A1210">
        <v>615.68085199999996</v>
      </c>
      <c r="B1210" s="1">
        <f>DATE(2012,1,6) + TIME(16,20,25)</f>
        <v>40914.680844907409</v>
      </c>
      <c r="C1210">
        <v>80</v>
      </c>
      <c r="D1210">
        <v>74.406272888000004</v>
      </c>
      <c r="E1210">
        <v>50</v>
      </c>
      <c r="F1210">
        <v>49.969528197999999</v>
      </c>
      <c r="G1210">
        <v>1324.3662108999999</v>
      </c>
      <c r="H1210">
        <v>1321.1124268000001</v>
      </c>
      <c r="I1210">
        <v>1344.5997314000001</v>
      </c>
      <c r="J1210">
        <v>1340.3027344</v>
      </c>
      <c r="K1210">
        <v>0</v>
      </c>
      <c r="L1210">
        <v>2400</v>
      </c>
      <c r="M1210">
        <v>2400</v>
      </c>
      <c r="N1210">
        <v>0</v>
      </c>
    </row>
    <row r="1211" spans="1:14" x14ac:dyDescent="0.25">
      <c r="A1211">
        <v>617.68396299999995</v>
      </c>
      <c r="B1211" s="1">
        <f>DATE(2012,1,8) + TIME(16,24,54)</f>
        <v>40916.683958333335</v>
      </c>
      <c r="C1211">
        <v>80</v>
      </c>
      <c r="D1211">
        <v>74.282264709000003</v>
      </c>
      <c r="E1211">
        <v>50</v>
      </c>
      <c r="F1211">
        <v>49.969551086000003</v>
      </c>
      <c r="G1211">
        <v>1324.2899170000001</v>
      </c>
      <c r="H1211">
        <v>1321.0068358999999</v>
      </c>
      <c r="I1211">
        <v>1344.5891113</v>
      </c>
      <c r="J1211">
        <v>1340.2969971</v>
      </c>
      <c r="K1211">
        <v>0</v>
      </c>
      <c r="L1211">
        <v>2400</v>
      </c>
      <c r="M1211">
        <v>2400</v>
      </c>
      <c r="N1211">
        <v>0</v>
      </c>
    </row>
    <row r="1212" spans="1:14" x14ac:dyDescent="0.25">
      <c r="A1212">
        <v>619.74510899999996</v>
      </c>
      <c r="B1212" s="1">
        <f>DATE(2012,1,10) + TIME(17,52,57)</f>
        <v>40918.745104166665</v>
      </c>
      <c r="C1212">
        <v>80</v>
      </c>
      <c r="D1212">
        <v>74.154304503999995</v>
      </c>
      <c r="E1212">
        <v>50</v>
      </c>
      <c r="F1212">
        <v>49.969577788999999</v>
      </c>
      <c r="G1212">
        <v>1324.2122803</v>
      </c>
      <c r="H1212">
        <v>1320.8992920000001</v>
      </c>
      <c r="I1212">
        <v>1344.5783690999999</v>
      </c>
      <c r="J1212">
        <v>1340.2912598</v>
      </c>
      <c r="K1212">
        <v>0</v>
      </c>
      <c r="L1212">
        <v>2400</v>
      </c>
      <c r="M1212">
        <v>2400</v>
      </c>
      <c r="N1212">
        <v>0</v>
      </c>
    </row>
    <row r="1213" spans="1:14" x14ac:dyDescent="0.25">
      <c r="A1213">
        <v>621.86990600000001</v>
      </c>
      <c r="B1213" s="1">
        <f>DATE(2012,1,12) + TIME(20,52,39)</f>
        <v>40920.869895833333</v>
      </c>
      <c r="C1213">
        <v>80</v>
      </c>
      <c r="D1213">
        <v>74.022041321000003</v>
      </c>
      <c r="E1213">
        <v>50</v>
      </c>
      <c r="F1213">
        <v>49.969604492000002</v>
      </c>
      <c r="G1213">
        <v>1324.1331786999999</v>
      </c>
      <c r="H1213">
        <v>1320.7897949000001</v>
      </c>
      <c r="I1213">
        <v>1344.567749</v>
      </c>
      <c r="J1213">
        <v>1340.2854004000001</v>
      </c>
      <c r="K1213">
        <v>0</v>
      </c>
      <c r="L1213">
        <v>2400</v>
      </c>
      <c r="M1213">
        <v>2400</v>
      </c>
      <c r="N1213">
        <v>0</v>
      </c>
    </row>
    <row r="1214" spans="1:14" x14ac:dyDescent="0.25">
      <c r="A1214">
        <v>624.05708400000003</v>
      </c>
      <c r="B1214" s="1">
        <f>DATE(2012,1,15) + TIME(1,22,12)</f>
        <v>40923.057083333333</v>
      </c>
      <c r="C1214">
        <v>80</v>
      </c>
      <c r="D1214">
        <v>73.885055542000003</v>
      </c>
      <c r="E1214">
        <v>50</v>
      </c>
      <c r="F1214">
        <v>49.969635009999998</v>
      </c>
      <c r="G1214">
        <v>1324.0524902</v>
      </c>
      <c r="H1214">
        <v>1320.6781006000001</v>
      </c>
      <c r="I1214">
        <v>1344.5570068</v>
      </c>
      <c r="J1214">
        <v>1340.2796631000001</v>
      </c>
      <c r="K1214">
        <v>0</v>
      </c>
      <c r="L1214">
        <v>2400</v>
      </c>
      <c r="M1214">
        <v>2400</v>
      </c>
      <c r="N1214">
        <v>0</v>
      </c>
    </row>
    <row r="1215" spans="1:14" x14ac:dyDescent="0.25">
      <c r="A1215">
        <v>626.294218</v>
      </c>
      <c r="B1215" s="1">
        <f>DATE(2012,1,17) + TIME(7,3,40)</f>
        <v>40925.294212962966</v>
      </c>
      <c r="C1215">
        <v>80</v>
      </c>
      <c r="D1215">
        <v>73.743324279999996</v>
      </c>
      <c r="E1215">
        <v>50</v>
      </c>
      <c r="F1215">
        <v>49.969665526999997</v>
      </c>
      <c r="G1215">
        <v>1323.9704589999999</v>
      </c>
      <c r="H1215">
        <v>1320.5644531</v>
      </c>
      <c r="I1215">
        <v>1344.5461425999999</v>
      </c>
      <c r="J1215">
        <v>1340.2738036999999</v>
      </c>
      <c r="K1215">
        <v>0</v>
      </c>
      <c r="L1215">
        <v>2400</v>
      </c>
      <c r="M1215">
        <v>2400</v>
      </c>
      <c r="N1215">
        <v>0</v>
      </c>
    </row>
    <row r="1216" spans="1:14" x14ac:dyDescent="0.25">
      <c r="A1216">
        <v>628.60061599999995</v>
      </c>
      <c r="B1216" s="1">
        <f>DATE(2012,1,19) + TIME(14,24,53)</f>
        <v>40927.600613425922</v>
      </c>
      <c r="C1216">
        <v>80</v>
      </c>
      <c r="D1216">
        <v>73.596862793</v>
      </c>
      <c r="E1216">
        <v>50</v>
      </c>
      <c r="F1216">
        <v>49.969699859999999</v>
      </c>
      <c r="G1216">
        <v>1323.887207</v>
      </c>
      <c r="H1216">
        <v>1320.4492187999999</v>
      </c>
      <c r="I1216">
        <v>1344.5354004000001</v>
      </c>
      <c r="J1216">
        <v>1340.2679443</v>
      </c>
      <c r="K1216">
        <v>0</v>
      </c>
      <c r="L1216">
        <v>2400</v>
      </c>
      <c r="M1216">
        <v>2400</v>
      </c>
      <c r="N1216">
        <v>0</v>
      </c>
    </row>
    <row r="1217" spans="1:14" x14ac:dyDescent="0.25">
      <c r="A1217">
        <v>630.93219699999997</v>
      </c>
      <c r="B1217" s="1">
        <f>DATE(2012,1,21) + TIME(22,22,21)</f>
        <v>40929.932187500002</v>
      </c>
      <c r="C1217">
        <v>80</v>
      </c>
      <c r="D1217">
        <v>73.445396423000005</v>
      </c>
      <c r="E1217">
        <v>50</v>
      </c>
      <c r="F1217">
        <v>49.969730376999998</v>
      </c>
      <c r="G1217">
        <v>1323.8027344</v>
      </c>
      <c r="H1217">
        <v>1320.3322754000001</v>
      </c>
      <c r="I1217">
        <v>1344.5245361</v>
      </c>
      <c r="J1217">
        <v>1340.2619629000001</v>
      </c>
      <c r="K1217">
        <v>0</v>
      </c>
      <c r="L1217">
        <v>2400</v>
      </c>
      <c r="M1217">
        <v>2400</v>
      </c>
      <c r="N1217">
        <v>0</v>
      </c>
    </row>
    <row r="1218" spans="1:14" x14ac:dyDescent="0.25">
      <c r="A1218">
        <v>633.30248400000005</v>
      </c>
      <c r="B1218" s="1">
        <f>DATE(2012,1,24) + TIME(7,15,34)</f>
        <v>40932.302476851852</v>
      </c>
      <c r="C1218">
        <v>80</v>
      </c>
      <c r="D1218">
        <v>73.290176392000006</v>
      </c>
      <c r="E1218">
        <v>50</v>
      </c>
      <c r="F1218">
        <v>49.969764709000003</v>
      </c>
      <c r="G1218">
        <v>1323.7177733999999</v>
      </c>
      <c r="H1218">
        <v>1320.2145995999999</v>
      </c>
      <c r="I1218">
        <v>1344.5137939000001</v>
      </c>
      <c r="J1218">
        <v>1340.2561035000001</v>
      </c>
      <c r="K1218">
        <v>0</v>
      </c>
      <c r="L1218">
        <v>2400</v>
      </c>
      <c r="M1218">
        <v>2400</v>
      </c>
      <c r="N1218">
        <v>0</v>
      </c>
    </row>
    <row r="1219" spans="1:14" x14ac:dyDescent="0.25">
      <c r="A1219">
        <v>635.72963100000004</v>
      </c>
      <c r="B1219" s="1">
        <f>DATE(2012,1,26) + TIME(17,30,40)</f>
        <v>40934.729629629626</v>
      </c>
      <c r="C1219">
        <v>80</v>
      </c>
      <c r="D1219">
        <v>73.130607604999994</v>
      </c>
      <c r="E1219">
        <v>50</v>
      </c>
      <c r="F1219">
        <v>49.969802856000001</v>
      </c>
      <c r="G1219">
        <v>1323.6325684000001</v>
      </c>
      <c r="H1219">
        <v>1320.0965576000001</v>
      </c>
      <c r="I1219">
        <v>1344.5031738</v>
      </c>
      <c r="J1219">
        <v>1340.2503661999999</v>
      </c>
      <c r="K1219">
        <v>0</v>
      </c>
      <c r="L1219">
        <v>2400</v>
      </c>
      <c r="M1219">
        <v>2400</v>
      </c>
      <c r="N1219">
        <v>0</v>
      </c>
    </row>
    <row r="1220" spans="1:14" x14ac:dyDescent="0.25">
      <c r="A1220">
        <v>638.22381099999996</v>
      </c>
      <c r="B1220" s="1">
        <f>DATE(2012,1,29) + TIME(5,22,17)</f>
        <v>40937.223807870374</v>
      </c>
      <c r="C1220">
        <v>80</v>
      </c>
      <c r="D1220">
        <v>72.965538025000001</v>
      </c>
      <c r="E1220">
        <v>50</v>
      </c>
      <c r="F1220">
        <v>49.969837189000003</v>
      </c>
      <c r="G1220">
        <v>1323.5465088000001</v>
      </c>
      <c r="H1220">
        <v>1319.9772949000001</v>
      </c>
      <c r="I1220">
        <v>1344.4924315999999</v>
      </c>
      <c r="J1220">
        <v>1340.2445068</v>
      </c>
      <c r="K1220">
        <v>0</v>
      </c>
      <c r="L1220">
        <v>2400</v>
      </c>
      <c r="M1220">
        <v>2400</v>
      </c>
      <c r="N1220">
        <v>0</v>
      </c>
    </row>
    <row r="1221" spans="1:14" x14ac:dyDescent="0.25">
      <c r="A1221">
        <v>640.772154</v>
      </c>
      <c r="B1221" s="1">
        <f>DATE(2012,1,31) + TIME(18,31,54)</f>
        <v>40939.772152777776</v>
      </c>
      <c r="C1221">
        <v>80</v>
      </c>
      <c r="D1221">
        <v>72.794281006000006</v>
      </c>
      <c r="E1221">
        <v>50</v>
      </c>
      <c r="F1221">
        <v>49.969875336000001</v>
      </c>
      <c r="G1221">
        <v>1323.4593506000001</v>
      </c>
      <c r="H1221">
        <v>1319.8566894999999</v>
      </c>
      <c r="I1221">
        <v>1344.4816894999999</v>
      </c>
      <c r="J1221">
        <v>1340.2385254000001</v>
      </c>
      <c r="K1221">
        <v>0</v>
      </c>
      <c r="L1221">
        <v>2400</v>
      </c>
      <c r="M1221">
        <v>2400</v>
      </c>
      <c r="N1221">
        <v>0</v>
      </c>
    </row>
    <row r="1222" spans="1:14" x14ac:dyDescent="0.25">
      <c r="A1222">
        <v>641</v>
      </c>
      <c r="B1222" s="1">
        <f>DATE(2012,2,1) + TIME(0,0,0)</f>
        <v>40940</v>
      </c>
      <c r="C1222">
        <v>80</v>
      </c>
      <c r="D1222">
        <v>72.734115600999999</v>
      </c>
      <c r="E1222">
        <v>50</v>
      </c>
      <c r="F1222">
        <v>49.969867706000002</v>
      </c>
      <c r="G1222">
        <v>1323.3831786999999</v>
      </c>
      <c r="H1222">
        <v>1319.7574463000001</v>
      </c>
      <c r="I1222">
        <v>1344.4729004000001</v>
      </c>
      <c r="J1222">
        <v>1340.2338867000001</v>
      </c>
      <c r="K1222">
        <v>0</v>
      </c>
      <c r="L1222">
        <v>2400</v>
      </c>
      <c r="M1222">
        <v>2400</v>
      </c>
      <c r="N1222">
        <v>0</v>
      </c>
    </row>
    <row r="1223" spans="1:14" x14ac:dyDescent="0.25">
      <c r="A1223">
        <v>643.61277099999995</v>
      </c>
      <c r="B1223" s="1">
        <f>DATE(2012,2,3) + TIME(14,42,23)</f>
        <v>40942.612766203703</v>
      </c>
      <c r="C1223">
        <v>80</v>
      </c>
      <c r="D1223">
        <v>72.592536925999994</v>
      </c>
      <c r="E1223">
        <v>50</v>
      </c>
      <c r="F1223">
        <v>49.969921112000002</v>
      </c>
      <c r="G1223">
        <v>1323.3570557</v>
      </c>
      <c r="H1223">
        <v>1319.7126464999999</v>
      </c>
      <c r="I1223">
        <v>1344.4698486</v>
      </c>
      <c r="J1223">
        <v>1340.2319336</v>
      </c>
      <c r="K1223">
        <v>0</v>
      </c>
      <c r="L1223">
        <v>2400</v>
      </c>
      <c r="M1223">
        <v>2400</v>
      </c>
      <c r="N1223">
        <v>0</v>
      </c>
    </row>
    <row r="1224" spans="1:14" x14ac:dyDescent="0.25">
      <c r="A1224">
        <v>646.29926899999998</v>
      </c>
      <c r="B1224" s="1">
        <f>DATE(2012,2,6) + TIME(7,10,56)</f>
        <v>40945.299259259256</v>
      </c>
      <c r="C1224">
        <v>80</v>
      </c>
      <c r="D1224">
        <v>72.415161132999998</v>
      </c>
      <c r="E1224">
        <v>50</v>
      </c>
      <c r="F1224">
        <v>49.969963073999999</v>
      </c>
      <c r="G1224">
        <v>1323.2733154</v>
      </c>
      <c r="H1224">
        <v>1319.5983887</v>
      </c>
      <c r="I1224">
        <v>1344.4592285000001</v>
      </c>
      <c r="J1224">
        <v>1340.2260742000001</v>
      </c>
      <c r="K1224">
        <v>0</v>
      </c>
      <c r="L1224">
        <v>2400</v>
      </c>
      <c r="M1224">
        <v>2400</v>
      </c>
      <c r="N1224">
        <v>0</v>
      </c>
    </row>
    <row r="1225" spans="1:14" x14ac:dyDescent="0.25">
      <c r="A1225">
        <v>649.03834700000004</v>
      </c>
      <c r="B1225" s="1">
        <f>DATE(2012,2,9) + TIME(0,55,13)</f>
        <v>40948.038344907407</v>
      </c>
      <c r="C1225">
        <v>80</v>
      </c>
      <c r="D1225">
        <v>72.224571228000002</v>
      </c>
      <c r="E1225">
        <v>50</v>
      </c>
      <c r="F1225">
        <v>49.970005035</v>
      </c>
      <c r="G1225">
        <v>1323.1842041</v>
      </c>
      <c r="H1225">
        <v>1319.4754639</v>
      </c>
      <c r="I1225">
        <v>1344.4483643000001</v>
      </c>
      <c r="J1225">
        <v>1340.2199707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651.83317199999999</v>
      </c>
      <c r="B1226" s="1">
        <f>DATE(2012,2,11) + TIME(19,59,46)</f>
        <v>40950.833171296297</v>
      </c>
      <c r="C1226">
        <v>80</v>
      </c>
      <c r="D1226">
        <v>72.026268005000006</v>
      </c>
      <c r="E1226">
        <v>50</v>
      </c>
      <c r="F1226">
        <v>49.970050811999997</v>
      </c>
      <c r="G1226">
        <v>1323.09375</v>
      </c>
      <c r="H1226">
        <v>1319.3500977000001</v>
      </c>
      <c r="I1226">
        <v>1344.4375</v>
      </c>
      <c r="J1226">
        <v>1340.2138672000001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654.68429400000002</v>
      </c>
      <c r="B1227" s="1">
        <f>DATE(2012,2,14) + TIME(16,25,22)</f>
        <v>40953.684282407405</v>
      </c>
      <c r="C1227">
        <v>80</v>
      </c>
      <c r="D1227">
        <v>71.820823669000006</v>
      </c>
      <c r="E1227">
        <v>50</v>
      </c>
      <c r="F1227">
        <v>49.970096587999997</v>
      </c>
      <c r="G1227">
        <v>1323.0026855000001</v>
      </c>
      <c r="H1227">
        <v>1319.2237548999999</v>
      </c>
      <c r="I1227">
        <v>1344.4266356999999</v>
      </c>
      <c r="J1227">
        <v>1340.2076416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657.57410300000004</v>
      </c>
      <c r="B1228" s="1">
        <f>DATE(2012,2,17) + TIME(13,46,42)</f>
        <v>40956.574097222219</v>
      </c>
      <c r="C1228">
        <v>80</v>
      </c>
      <c r="D1228">
        <v>71.608390807999996</v>
      </c>
      <c r="E1228">
        <v>50</v>
      </c>
      <c r="F1228">
        <v>49.970142365000001</v>
      </c>
      <c r="G1228">
        <v>1322.9110106999999</v>
      </c>
      <c r="H1228">
        <v>1319.0968018000001</v>
      </c>
      <c r="I1228">
        <v>1344.4157714999999</v>
      </c>
      <c r="J1228">
        <v>1340.2014160000001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660.52423199999998</v>
      </c>
      <c r="B1229" s="1">
        <f>DATE(2012,2,20) + TIME(12,34,53)</f>
        <v>40959.524224537039</v>
      </c>
      <c r="C1229">
        <v>80</v>
      </c>
      <c r="D1229">
        <v>71.389381408999995</v>
      </c>
      <c r="E1229">
        <v>50</v>
      </c>
      <c r="F1229">
        <v>49.970188141000001</v>
      </c>
      <c r="G1229">
        <v>1322.8193358999999</v>
      </c>
      <c r="H1229">
        <v>1318.9694824000001</v>
      </c>
      <c r="I1229">
        <v>1344.4049072</v>
      </c>
      <c r="J1229">
        <v>1340.1951904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663.55928100000006</v>
      </c>
      <c r="B1230" s="1">
        <f>DATE(2012,2,23) + TIME(13,25,21)</f>
        <v>40962.559270833335</v>
      </c>
      <c r="C1230">
        <v>80</v>
      </c>
      <c r="D1230">
        <v>71.162330627000003</v>
      </c>
      <c r="E1230">
        <v>50</v>
      </c>
      <c r="F1230">
        <v>49.970237732000001</v>
      </c>
      <c r="G1230">
        <v>1322.7272949000001</v>
      </c>
      <c r="H1230">
        <v>1318.8417969</v>
      </c>
      <c r="I1230">
        <v>1344.394043</v>
      </c>
      <c r="J1230">
        <v>1340.1889647999999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666.70630800000004</v>
      </c>
      <c r="B1231" s="1">
        <f>DATE(2012,2,26) + TIME(16,57,5)</f>
        <v>40965.706307870372</v>
      </c>
      <c r="C1231">
        <v>80</v>
      </c>
      <c r="D1231">
        <v>70.925109863000003</v>
      </c>
      <c r="E1231">
        <v>50</v>
      </c>
      <c r="F1231">
        <v>49.970291138</v>
      </c>
      <c r="G1231">
        <v>1322.6341553</v>
      </c>
      <c r="H1231">
        <v>1318.7126464999999</v>
      </c>
      <c r="I1231">
        <v>1344.3830565999999</v>
      </c>
      <c r="J1231">
        <v>1340.1824951000001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668.35315400000002</v>
      </c>
      <c r="B1232" s="1">
        <f>DATE(2012,2,28) + TIME(8,28,32)</f>
        <v>40967.353148148148</v>
      </c>
      <c r="C1232">
        <v>80</v>
      </c>
      <c r="D1232">
        <v>70.707145690999994</v>
      </c>
      <c r="E1232">
        <v>50</v>
      </c>
      <c r="F1232">
        <v>49.970306395999998</v>
      </c>
      <c r="G1232">
        <v>1322.5418701000001</v>
      </c>
      <c r="H1232">
        <v>1318.5866699000001</v>
      </c>
      <c r="I1232">
        <v>1344.3720702999999</v>
      </c>
      <c r="J1232">
        <v>1340.1761475000001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670</v>
      </c>
      <c r="B1233" s="1">
        <f>DATE(2012,3,1) + TIME(0,0,0)</f>
        <v>40969</v>
      </c>
      <c r="C1233">
        <v>80</v>
      </c>
      <c r="D1233">
        <v>70.552215575999995</v>
      </c>
      <c r="E1233">
        <v>50</v>
      </c>
      <c r="F1233">
        <v>49.970329284999998</v>
      </c>
      <c r="G1233">
        <v>1322.4824219</v>
      </c>
      <c r="H1233">
        <v>1318.4996338000001</v>
      </c>
      <c r="I1233">
        <v>1344.3659668</v>
      </c>
      <c r="J1233">
        <v>1340.1724853999999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672.32787599999995</v>
      </c>
      <c r="B1234" s="1">
        <f>DATE(2012,3,3) + TIME(7,52,8)</f>
        <v>40971.327870370369</v>
      </c>
      <c r="C1234">
        <v>80</v>
      </c>
      <c r="D1234">
        <v>70.401550293</v>
      </c>
      <c r="E1234">
        <v>50</v>
      </c>
      <c r="F1234">
        <v>49.970375060999999</v>
      </c>
      <c r="G1234">
        <v>1322.4298096</v>
      </c>
      <c r="H1234">
        <v>1318.4243164</v>
      </c>
      <c r="I1234">
        <v>1344.3601074000001</v>
      </c>
      <c r="J1234">
        <v>1340.1689452999999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675.57172400000002</v>
      </c>
      <c r="B1235" s="1">
        <f>DATE(2012,3,6) + TIME(13,43,16)</f>
        <v>40974.571712962963</v>
      </c>
      <c r="C1235">
        <v>80</v>
      </c>
      <c r="D1235">
        <v>70.207580566000004</v>
      </c>
      <c r="E1235">
        <v>50</v>
      </c>
      <c r="F1235">
        <v>49.970436096</v>
      </c>
      <c r="G1235">
        <v>1322.364624</v>
      </c>
      <c r="H1235">
        <v>1318.3344727000001</v>
      </c>
      <c r="I1235">
        <v>1344.3520507999999</v>
      </c>
      <c r="J1235">
        <v>1340.1640625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678.87713599999995</v>
      </c>
      <c r="B1236" s="1">
        <f>DATE(2012,3,9) + TIME(21,3,4)</f>
        <v>40977.877129629633</v>
      </c>
      <c r="C1236">
        <v>80</v>
      </c>
      <c r="D1236">
        <v>69.948226929</v>
      </c>
      <c r="E1236">
        <v>50</v>
      </c>
      <c r="F1236">
        <v>49.970493316999999</v>
      </c>
      <c r="G1236">
        <v>1322.2780762</v>
      </c>
      <c r="H1236">
        <v>1318.2169189000001</v>
      </c>
      <c r="I1236">
        <v>1344.3410644999999</v>
      </c>
      <c r="J1236">
        <v>1340.1575928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682.28491299999996</v>
      </c>
      <c r="B1237" s="1">
        <f>DATE(2012,3,13) + TIME(6,50,16)</f>
        <v>40981.284907407404</v>
      </c>
      <c r="C1237">
        <v>80</v>
      </c>
      <c r="D1237">
        <v>69.669837951999995</v>
      </c>
      <c r="E1237">
        <v>50</v>
      </c>
      <c r="F1237">
        <v>49.970550537000001</v>
      </c>
      <c r="G1237">
        <v>1322.1855469</v>
      </c>
      <c r="H1237">
        <v>1318.0886230000001</v>
      </c>
      <c r="I1237">
        <v>1344.3298339999999</v>
      </c>
      <c r="J1237">
        <v>1340.1507568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685.803181</v>
      </c>
      <c r="B1238" s="1">
        <f>DATE(2012,3,16) + TIME(19,16,34)</f>
        <v>40984.803171296298</v>
      </c>
      <c r="C1238">
        <v>80</v>
      </c>
      <c r="D1238">
        <v>69.377243042000003</v>
      </c>
      <c r="E1238">
        <v>50</v>
      </c>
      <c r="F1238">
        <v>49.970611572000003</v>
      </c>
      <c r="G1238">
        <v>1322.0911865</v>
      </c>
      <c r="H1238">
        <v>1317.9572754000001</v>
      </c>
      <c r="I1238">
        <v>1344.3184814000001</v>
      </c>
      <c r="J1238">
        <v>1340.1439209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689.39403700000003</v>
      </c>
      <c r="B1239" s="1">
        <f>DATE(2012,3,20) + TIME(9,27,24)</f>
        <v>40988.39402777778</v>
      </c>
      <c r="C1239">
        <v>80</v>
      </c>
      <c r="D1239">
        <v>69.070236206000004</v>
      </c>
      <c r="E1239">
        <v>50</v>
      </c>
      <c r="F1239">
        <v>49.970672606999997</v>
      </c>
      <c r="G1239">
        <v>1321.9953613</v>
      </c>
      <c r="H1239">
        <v>1317.8238524999999</v>
      </c>
      <c r="I1239">
        <v>1344.3070068</v>
      </c>
      <c r="J1239">
        <v>1340.1367187999999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693.015265</v>
      </c>
      <c r="B1240" s="1">
        <f>DATE(2012,3,24) + TIME(0,21,58)</f>
        <v>40992.01525462963</v>
      </c>
      <c r="C1240">
        <v>80</v>
      </c>
      <c r="D1240">
        <v>68.751602172999995</v>
      </c>
      <c r="E1240">
        <v>50</v>
      </c>
      <c r="F1240">
        <v>49.970733643000003</v>
      </c>
      <c r="G1240">
        <v>1321.8992920000001</v>
      </c>
      <c r="H1240">
        <v>1317.6898193</v>
      </c>
      <c r="I1240">
        <v>1344.2952881000001</v>
      </c>
      <c r="J1240">
        <v>1340.1295166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696.69820700000002</v>
      </c>
      <c r="B1241" s="1">
        <f>DATE(2012,3,27) + TIME(16,45,25)</f>
        <v>40995.698206018518</v>
      </c>
      <c r="C1241">
        <v>80</v>
      </c>
      <c r="D1241">
        <v>68.423522949000002</v>
      </c>
      <c r="E1241">
        <v>50</v>
      </c>
      <c r="F1241">
        <v>49.970794677999997</v>
      </c>
      <c r="G1241">
        <v>1321.8039550999999</v>
      </c>
      <c r="H1241">
        <v>1317.5563964999999</v>
      </c>
      <c r="I1241">
        <v>1344.2836914</v>
      </c>
      <c r="J1241">
        <v>1340.1221923999999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700.47245399999997</v>
      </c>
      <c r="B1242" s="1">
        <f>DATE(2012,3,31) + TIME(11,20,19)</f>
        <v>40999.472442129627</v>
      </c>
      <c r="C1242">
        <v>80</v>
      </c>
      <c r="D1242">
        <v>68.083778381000002</v>
      </c>
      <c r="E1242">
        <v>50</v>
      </c>
      <c r="F1242">
        <v>49.970859527999998</v>
      </c>
      <c r="G1242">
        <v>1321.7089844</v>
      </c>
      <c r="H1242">
        <v>1317.4235839999999</v>
      </c>
      <c r="I1242">
        <v>1344.2719727000001</v>
      </c>
      <c r="J1242">
        <v>1340.1147461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701</v>
      </c>
      <c r="B1243" s="1">
        <f>DATE(2012,4,1) + TIME(0,0,0)</f>
        <v>41000</v>
      </c>
      <c r="C1243">
        <v>80</v>
      </c>
      <c r="D1243">
        <v>67.884017943999993</v>
      </c>
      <c r="E1243">
        <v>50</v>
      </c>
      <c r="F1243">
        <v>49.970855712999999</v>
      </c>
      <c r="G1243">
        <v>1321.6202393000001</v>
      </c>
      <c r="H1243">
        <v>1317.309082</v>
      </c>
      <c r="I1243">
        <v>1344.2623291</v>
      </c>
      <c r="J1243">
        <v>1340.1091309000001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704.85115199999996</v>
      </c>
      <c r="B1244" s="1">
        <f>DATE(2012,4,4) + TIME(20,25,39)</f>
        <v>41003.851145833331</v>
      </c>
      <c r="C1244">
        <v>80</v>
      </c>
      <c r="D1244">
        <v>67.660835266000007</v>
      </c>
      <c r="E1244">
        <v>50</v>
      </c>
      <c r="F1244">
        <v>49.970935822000001</v>
      </c>
      <c r="G1244">
        <v>1321.5906981999999</v>
      </c>
      <c r="H1244">
        <v>1317.2529297000001</v>
      </c>
      <c r="I1244">
        <v>1344.2581786999999</v>
      </c>
      <c r="J1244">
        <v>1340.1058350000001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708.832356</v>
      </c>
      <c r="B1245" s="1">
        <f>DATE(2012,4,8) + TIME(19,58,35)</f>
        <v>41007.832349537035</v>
      </c>
      <c r="C1245">
        <v>80</v>
      </c>
      <c r="D1245">
        <v>67.307899474999999</v>
      </c>
      <c r="E1245">
        <v>50</v>
      </c>
      <c r="F1245">
        <v>49.971004485999998</v>
      </c>
      <c r="G1245">
        <v>1321.5047606999999</v>
      </c>
      <c r="H1245">
        <v>1317.1363524999999</v>
      </c>
      <c r="I1245">
        <v>1344.2464600000001</v>
      </c>
      <c r="J1245">
        <v>1340.0983887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712.86761300000001</v>
      </c>
      <c r="B1246" s="1">
        <f>DATE(2012,4,12) + TIME(20,49,21)</f>
        <v>41011.867604166669</v>
      </c>
      <c r="C1246">
        <v>80</v>
      </c>
      <c r="D1246">
        <v>66.922424316000004</v>
      </c>
      <c r="E1246">
        <v>50</v>
      </c>
      <c r="F1246">
        <v>49.971073150999999</v>
      </c>
      <c r="G1246">
        <v>1321.4107666</v>
      </c>
      <c r="H1246">
        <v>1317.0050048999999</v>
      </c>
      <c r="I1246">
        <v>1344.2342529</v>
      </c>
      <c r="J1246">
        <v>1340.0904541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716.96437600000002</v>
      </c>
      <c r="B1247" s="1">
        <f>DATE(2012,4,16) + TIME(23,8,42)</f>
        <v>41015.964375000003</v>
      </c>
      <c r="C1247">
        <v>80</v>
      </c>
      <c r="D1247">
        <v>66.522850036999998</v>
      </c>
      <c r="E1247">
        <v>50</v>
      </c>
      <c r="F1247">
        <v>49.971141815000003</v>
      </c>
      <c r="G1247">
        <v>1321.3165283000001</v>
      </c>
      <c r="H1247">
        <v>1316.8723144999999</v>
      </c>
      <c r="I1247">
        <v>1344.2220459</v>
      </c>
      <c r="J1247">
        <v>1340.0822754000001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721.13989500000002</v>
      </c>
      <c r="B1248" s="1">
        <f>DATE(2012,4,21) + TIME(3,21,26)</f>
        <v>41020.139884259261</v>
      </c>
      <c r="C1248">
        <v>80</v>
      </c>
      <c r="D1248">
        <v>66.109542847</v>
      </c>
      <c r="E1248">
        <v>50</v>
      </c>
      <c r="F1248">
        <v>49.971214293999999</v>
      </c>
      <c r="G1248">
        <v>1321.2230225000001</v>
      </c>
      <c r="H1248">
        <v>1316.7404785000001</v>
      </c>
      <c r="I1248">
        <v>1344.2095947</v>
      </c>
      <c r="J1248">
        <v>1340.0740966999999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725.38851499999998</v>
      </c>
      <c r="B1249" s="1">
        <f>DATE(2012,4,25) + TIME(9,19,27)</f>
        <v>41024.388506944444</v>
      </c>
      <c r="C1249">
        <v>80</v>
      </c>
      <c r="D1249">
        <v>65.682624817000004</v>
      </c>
      <c r="E1249">
        <v>50</v>
      </c>
      <c r="F1249">
        <v>49.971286773999999</v>
      </c>
      <c r="G1249">
        <v>1321.1304932</v>
      </c>
      <c r="H1249">
        <v>1316.6096190999999</v>
      </c>
      <c r="I1249">
        <v>1344.1971435999999</v>
      </c>
      <c r="J1249">
        <v>1340.0656738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729.73564299999998</v>
      </c>
      <c r="B1250" s="1">
        <f>DATE(2012,4,29) + TIME(17,39,19)</f>
        <v>41028.735636574071</v>
      </c>
      <c r="C1250">
        <v>80</v>
      </c>
      <c r="D1250">
        <v>65.240516662999994</v>
      </c>
      <c r="E1250">
        <v>50</v>
      </c>
      <c r="F1250">
        <v>49.971363068000002</v>
      </c>
      <c r="G1250">
        <v>1321.0390625</v>
      </c>
      <c r="H1250">
        <v>1316.4801024999999</v>
      </c>
      <c r="I1250">
        <v>1344.1845702999999</v>
      </c>
      <c r="J1250">
        <v>1340.0571289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731</v>
      </c>
      <c r="B1251" s="1">
        <f>DATE(2012,5,1) + TIME(0,0,0)</f>
        <v>41030</v>
      </c>
      <c r="C1251">
        <v>80</v>
      </c>
      <c r="D1251">
        <v>64.880363463999998</v>
      </c>
      <c r="E1251">
        <v>50</v>
      </c>
      <c r="F1251">
        <v>49.971366881999998</v>
      </c>
      <c r="G1251">
        <v>1320.9506836</v>
      </c>
      <c r="H1251">
        <v>1316.3609618999999</v>
      </c>
      <c r="I1251">
        <v>1344.1729736</v>
      </c>
      <c r="J1251">
        <v>1340.0494385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731.000001</v>
      </c>
      <c r="B1252" s="1">
        <f>DATE(2012,5,1) + TIME(0,0,0)</f>
        <v>41030</v>
      </c>
      <c r="C1252">
        <v>80</v>
      </c>
      <c r="D1252">
        <v>64.880424500000004</v>
      </c>
      <c r="E1252">
        <v>50</v>
      </c>
      <c r="F1252">
        <v>49.971351624</v>
      </c>
      <c r="G1252">
        <v>1325.8332519999999</v>
      </c>
      <c r="H1252">
        <v>1320.9658202999999</v>
      </c>
      <c r="I1252">
        <v>1340.0396728999999</v>
      </c>
      <c r="J1252">
        <v>1336.4941406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731.00000399999999</v>
      </c>
      <c r="B1253" s="1">
        <f>DATE(2012,5,1) + TIME(0,0,0)</f>
        <v>41030</v>
      </c>
      <c r="C1253">
        <v>80</v>
      </c>
      <c r="D1253">
        <v>64.880622864000003</v>
      </c>
      <c r="E1253">
        <v>50</v>
      </c>
      <c r="F1253">
        <v>49.971305846999996</v>
      </c>
      <c r="G1253">
        <v>1325.8660889</v>
      </c>
      <c r="H1253">
        <v>1321.0111084</v>
      </c>
      <c r="I1253">
        <v>1340.0104980000001</v>
      </c>
      <c r="J1253">
        <v>1336.4648437999999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731.00001299999997</v>
      </c>
      <c r="B1254" s="1">
        <f>DATE(2012,5,1) + TIME(0,0,1)</f>
        <v>41030.000011574077</v>
      </c>
      <c r="C1254">
        <v>80</v>
      </c>
      <c r="D1254">
        <v>64.881202697999996</v>
      </c>
      <c r="E1254">
        <v>50</v>
      </c>
      <c r="F1254">
        <v>49.971168517999999</v>
      </c>
      <c r="G1254">
        <v>1325.9624022999999</v>
      </c>
      <c r="H1254">
        <v>1321.1429443</v>
      </c>
      <c r="I1254">
        <v>1339.9245605000001</v>
      </c>
      <c r="J1254">
        <v>1336.3790283000001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731.00004000000001</v>
      </c>
      <c r="B1255" s="1">
        <f>DATE(2012,5,1) + TIME(0,0,3)</f>
        <v>41030.000034722223</v>
      </c>
      <c r="C1255">
        <v>80</v>
      </c>
      <c r="D1255">
        <v>64.882850646999998</v>
      </c>
      <c r="E1255">
        <v>50</v>
      </c>
      <c r="F1255">
        <v>49.970783234000002</v>
      </c>
      <c r="G1255">
        <v>1326.2341309000001</v>
      </c>
      <c r="H1255">
        <v>1321.5063477000001</v>
      </c>
      <c r="I1255">
        <v>1339.6821289</v>
      </c>
      <c r="J1255">
        <v>1336.1364745999999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731.00012100000004</v>
      </c>
      <c r="B1256" s="1">
        <f>DATE(2012,5,1) + TIME(0,0,10)</f>
        <v>41030.000115740739</v>
      </c>
      <c r="C1256">
        <v>80</v>
      </c>
      <c r="D1256">
        <v>64.887207031000003</v>
      </c>
      <c r="E1256">
        <v>50</v>
      </c>
      <c r="F1256">
        <v>49.969795226999999</v>
      </c>
      <c r="G1256">
        <v>1326.9266356999999</v>
      </c>
      <c r="H1256">
        <v>1322.3830565999999</v>
      </c>
      <c r="I1256">
        <v>1339.0632324000001</v>
      </c>
      <c r="J1256">
        <v>1335.5174560999999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731.00036399999999</v>
      </c>
      <c r="B1257" s="1">
        <f>DATE(2012,5,1) + TIME(0,0,31)</f>
        <v>41030.000358796293</v>
      </c>
      <c r="C1257">
        <v>80</v>
      </c>
      <c r="D1257">
        <v>64.897682189999998</v>
      </c>
      <c r="E1257">
        <v>50</v>
      </c>
      <c r="F1257">
        <v>49.967765808000003</v>
      </c>
      <c r="G1257">
        <v>1328.3670654</v>
      </c>
      <c r="H1257">
        <v>1324.0314940999999</v>
      </c>
      <c r="I1257">
        <v>1337.7896728999999</v>
      </c>
      <c r="J1257">
        <v>1334.2436522999999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731.00109299999997</v>
      </c>
      <c r="B1258" s="1">
        <f>DATE(2012,5,1) + TIME(0,1,34)</f>
        <v>41030.001087962963</v>
      </c>
      <c r="C1258">
        <v>80</v>
      </c>
      <c r="D1258">
        <v>64.922576903999996</v>
      </c>
      <c r="E1258">
        <v>50</v>
      </c>
      <c r="F1258">
        <v>49.964675903</v>
      </c>
      <c r="G1258">
        <v>1330.6036377</v>
      </c>
      <c r="H1258">
        <v>1326.3184814000001</v>
      </c>
      <c r="I1258">
        <v>1335.8823242000001</v>
      </c>
      <c r="J1258">
        <v>1332.3365478999999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731.00328000000002</v>
      </c>
      <c r="B1259" s="1">
        <f>DATE(2012,5,1) + TIME(0,4,43)</f>
        <v>41030.003275462965</v>
      </c>
      <c r="C1259">
        <v>80</v>
      </c>
      <c r="D1259">
        <v>64.987983704000001</v>
      </c>
      <c r="E1259">
        <v>50</v>
      </c>
      <c r="F1259">
        <v>49.961002350000001</v>
      </c>
      <c r="G1259">
        <v>1333.2473144999999</v>
      </c>
      <c r="H1259">
        <v>1328.880249</v>
      </c>
      <c r="I1259">
        <v>1333.7188721</v>
      </c>
      <c r="J1259">
        <v>1330.1740723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731.00984100000005</v>
      </c>
      <c r="B1260" s="1">
        <f>DATE(2012,5,1) + TIME(0,14,10)</f>
        <v>41030.009837962964</v>
      </c>
      <c r="C1260">
        <v>80</v>
      </c>
      <c r="D1260">
        <v>65.173805236999996</v>
      </c>
      <c r="E1260">
        <v>50</v>
      </c>
      <c r="F1260">
        <v>49.956741332999997</v>
      </c>
      <c r="G1260">
        <v>1335.9528809000001</v>
      </c>
      <c r="H1260">
        <v>1331.5024414</v>
      </c>
      <c r="I1260">
        <v>1331.5264893000001</v>
      </c>
      <c r="J1260">
        <v>1327.9827881000001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731.02942599999994</v>
      </c>
      <c r="B1261" s="1">
        <f>DATE(2012,5,1) + TIME(0,42,22)</f>
        <v>41030.029421296298</v>
      </c>
      <c r="C1261">
        <v>80</v>
      </c>
      <c r="D1261">
        <v>65.706375121999997</v>
      </c>
      <c r="E1261">
        <v>50</v>
      </c>
      <c r="F1261">
        <v>49.950889586999999</v>
      </c>
      <c r="G1261">
        <v>1338.6108397999999</v>
      </c>
      <c r="H1261">
        <v>1334.1102295000001</v>
      </c>
      <c r="I1261">
        <v>1329.3253173999999</v>
      </c>
      <c r="J1261">
        <v>1325.7740478999999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731.04972699999996</v>
      </c>
      <c r="B1262" s="1">
        <f>DATE(2012,5,1) + TIME(1,11,36)</f>
        <v>41030.049722222226</v>
      </c>
      <c r="C1262">
        <v>80</v>
      </c>
      <c r="D1262">
        <v>66.241546631000006</v>
      </c>
      <c r="E1262">
        <v>50</v>
      </c>
      <c r="F1262">
        <v>49.946502686000002</v>
      </c>
      <c r="G1262">
        <v>1340.0411377</v>
      </c>
      <c r="H1262">
        <v>1335.5153809000001</v>
      </c>
      <c r="I1262">
        <v>1328.1256103999999</v>
      </c>
      <c r="J1262">
        <v>1324.5611572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731.07059400000003</v>
      </c>
      <c r="B1263" s="1">
        <f>DATE(2012,5,1) + TIME(1,41,39)</f>
        <v>41030.070590277777</v>
      </c>
      <c r="C1263">
        <v>80</v>
      </c>
      <c r="D1263">
        <v>66.774017334000007</v>
      </c>
      <c r="E1263">
        <v>50</v>
      </c>
      <c r="F1263">
        <v>49.942661285</v>
      </c>
      <c r="G1263">
        <v>1340.9735106999999</v>
      </c>
      <c r="H1263">
        <v>1336.4396973</v>
      </c>
      <c r="I1263">
        <v>1327.317749</v>
      </c>
      <c r="J1263">
        <v>1323.7384033000001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731.09196799999995</v>
      </c>
      <c r="B1264" s="1">
        <f>DATE(2012,5,1) + TIME(2,12,26)</f>
        <v>41030.091967592591</v>
      </c>
      <c r="C1264">
        <v>80</v>
      </c>
      <c r="D1264">
        <v>67.300918578999998</v>
      </c>
      <c r="E1264">
        <v>50</v>
      </c>
      <c r="F1264">
        <v>49.939075469999999</v>
      </c>
      <c r="G1264">
        <v>1341.6491699000001</v>
      </c>
      <c r="H1264">
        <v>1337.1154785000001</v>
      </c>
      <c r="I1264">
        <v>1326.7111815999999</v>
      </c>
      <c r="J1264">
        <v>1323.1177978999999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731.113832</v>
      </c>
      <c r="B1265" s="1">
        <f>DATE(2012,5,1) + TIME(2,43,55)</f>
        <v>41030.11383101852</v>
      </c>
      <c r="C1265">
        <v>80</v>
      </c>
      <c r="D1265">
        <v>67.820617675999998</v>
      </c>
      <c r="E1265">
        <v>50</v>
      </c>
      <c r="F1265">
        <v>49.935634612999998</v>
      </c>
      <c r="G1265">
        <v>1342.1699219</v>
      </c>
      <c r="H1265">
        <v>1337.6408690999999</v>
      </c>
      <c r="I1265">
        <v>1326.2272949000001</v>
      </c>
      <c r="J1265">
        <v>1322.6213379000001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731.13618099999997</v>
      </c>
      <c r="B1266" s="1">
        <f>DATE(2012,5,1) + TIME(3,16,6)</f>
        <v>41030.136180555557</v>
      </c>
      <c r="C1266">
        <v>80</v>
      </c>
      <c r="D1266">
        <v>68.332054138000004</v>
      </c>
      <c r="E1266">
        <v>50</v>
      </c>
      <c r="F1266">
        <v>49.932273864999999</v>
      </c>
      <c r="G1266">
        <v>1342.5874022999999</v>
      </c>
      <c r="H1266">
        <v>1338.0657959</v>
      </c>
      <c r="I1266">
        <v>1325.8266602000001</v>
      </c>
      <c r="J1266">
        <v>1322.2099608999999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731.15902300000005</v>
      </c>
      <c r="B1267" s="1">
        <f>DATE(2012,5,1) + TIME(3,48,59)</f>
        <v>41030.159016203703</v>
      </c>
      <c r="C1267">
        <v>80</v>
      </c>
      <c r="D1267">
        <v>68.834487914999997</v>
      </c>
      <c r="E1267">
        <v>50</v>
      </c>
      <c r="F1267">
        <v>49.928966522000003</v>
      </c>
      <c r="G1267">
        <v>1342.9313964999999</v>
      </c>
      <c r="H1267">
        <v>1338.4190673999999</v>
      </c>
      <c r="I1267">
        <v>1325.4866943</v>
      </c>
      <c r="J1267">
        <v>1321.8612060999999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731.18236999999999</v>
      </c>
      <c r="B1268" s="1">
        <f>DATE(2012,5,1) + TIME(4,22,36)</f>
        <v>41030.18236111111</v>
      </c>
      <c r="C1268">
        <v>80</v>
      </c>
      <c r="D1268">
        <v>69.327392578000001</v>
      </c>
      <c r="E1268">
        <v>50</v>
      </c>
      <c r="F1268">
        <v>49.925685883</v>
      </c>
      <c r="G1268">
        <v>1343.2209473</v>
      </c>
      <c r="H1268">
        <v>1338.7188721</v>
      </c>
      <c r="I1268">
        <v>1325.1932373</v>
      </c>
      <c r="J1268">
        <v>1321.5603027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731.20623799999998</v>
      </c>
      <c r="B1269" s="1">
        <f>DATE(2012,5,1) + TIME(4,56,58)</f>
        <v>41030.206226851849</v>
      </c>
      <c r="C1269">
        <v>80</v>
      </c>
      <c r="D1269">
        <v>69.810340881000002</v>
      </c>
      <c r="E1269">
        <v>50</v>
      </c>
      <c r="F1269">
        <v>49.922416687000002</v>
      </c>
      <c r="G1269">
        <v>1343.46875</v>
      </c>
      <c r="H1269">
        <v>1338.9777832</v>
      </c>
      <c r="I1269">
        <v>1324.9365233999999</v>
      </c>
      <c r="J1269">
        <v>1321.2973632999999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731.23064399999998</v>
      </c>
      <c r="B1270" s="1">
        <f>DATE(2012,5,1) + TIME(5,32,7)</f>
        <v>41030.230636574073</v>
      </c>
      <c r="C1270">
        <v>80</v>
      </c>
      <c r="D1270">
        <v>70.282821655000006</v>
      </c>
      <c r="E1270">
        <v>50</v>
      </c>
      <c r="F1270">
        <v>49.919147490999997</v>
      </c>
      <c r="G1270">
        <v>1343.6838379000001</v>
      </c>
      <c r="H1270">
        <v>1339.2041016000001</v>
      </c>
      <c r="I1270">
        <v>1324.7097168</v>
      </c>
      <c r="J1270">
        <v>1321.0655518000001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731.25561200000004</v>
      </c>
      <c r="B1271" s="1">
        <f>DATE(2012,5,1) + TIME(6,8,4)</f>
        <v>41030.255601851852</v>
      </c>
      <c r="C1271">
        <v>80</v>
      </c>
      <c r="D1271">
        <v>70.744651794000006</v>
      </c>
      <c r="E1271">
        <v>50</v>
      </c>
      <c r="F1271">
        <v>49.915870667</v>
      </c>
      <c r="G1271">
        <v>1343.8728027</v>
      </c>
      <c r="H1271">
        <v>1339.4044189000001</v>
      </c>
      <c r="I1271">
        <v>1324.5078125</v>
      </c>
      <c r="J1271">
        <v>1320.859375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731.28116499999999</v>
      </c>
      <c r="B1272" s="1">
        <f>DATE(2012,5,1) + TIME(6,44,52)</f>
        <v>41030.281157407408</v>
      </c>
      <c r="C1272">
        <v>80</v>
      </c>
      <c r="D1272">
        <v>71.195732117000006</v>
      </c>
      <c r="E1272">
        <v>50</v>
      </c>
      <c r="F1272">
        <v>49.912578582999998</v>
      </c>
      <c r="G1272">
        <v>1344.0404053</v>
      </c>
      <c r="H1272">
        <v>1339.5832519999999</v>
      </c>
      <c r="I1272">
        <v>1324.3269043</v>
      </c>
      <c r="J1272">
        <v>1320.6749268000001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731.30732799999998</v>
      </c>
      <c r="B1273" s="1">
        <f>DATE(2012,5,1) + TIME(7,22,33)</f>
        <v>41030.307326388887</v>
      </c>
      <c r="C1273">
        <v>80</v>
      </c>
      <c r="D1273">
        <v>71.635871886999993</v>
      </c>
      <c r="E1273">
        <v>50</v>
      </c>
      <c r="F1273">
        <v>49.909267426</v>
      </c>
      <c r="G1273">
        <v>1344.1904297000001</v>
      </c>
      <c r="H1273">
        <v>1339.7442627</v>
      </c>
      <c r="I1273">
        <v>1324.1639404</v>
      </c>
      <c r="J1273">
        <v>1320.5090332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731.33412799999996</v>
      </c>
      <c r="B1274" s="1">
        <f>DATE(2012,5,1) + TIME(8,1,8)</f>
        <v>41030.334120370368</v>
      </c>
      <c r="C1274">
        <v>80</v>
      </c>
      <c r="D1274">
        <v>72.064895629999995</v>
      </c>
      <c r="E1274">
        <v>50</v>
      </c>
      <c r="F1274">
        <v>49.905925750999998</v>
      </c>
      <c r="G1274">
        <v>1344.3259277</v>
      </c>
      <c r="H1274">
        <v>1339.8902588000001</v>
      </c>
      <c r="I1274">
        <v>1324.0167236</v>
      </c>
      <c r="J1274">
        <v>1320.3591309000001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731.36159899999996</v>
      </c>
      <c r="B1275" s="1">
        <f>DATE(2012,5,1) + TIME(8,40,42)</f>
        <v>41030.361597222225</v>
      </c>
      <c r="C1275">
        <v>80</v>
      </c>
      <c r="D1275">
        <v>72.482757567999997</v>
      </c>
      <c r="E1275">
        <v>50</v>
      </c>
      <c r="F1275">
        <v>49.902553558000001</v>
      </c>
      <c r="G1275">
        <v>1344.4489745999999</v>
      </c>
      <c r="H1275">
        <v>1340.0233154</v>
      </c>
      <c r="I1275">
        <v>1323.8831786999999</v>
      </c>
      <c r="J1275">
        <v>1320.2232666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731.38977699999998</v>
      </c>
      <c r="B1276" s="1">
        <f>DATE(2012,5,1) + TIME(9,21,16)</f>
        <v>41030.389768518522</v>
      </c>
      <c r="C1276">
        <v>80</v>
      </c>
      <c r="D1276">
        <v>72.889350891000007</v>
      </c>
      <c r="E1276">
        <v>50</v>
      </c>
      <c r="F1276">
        <v>49.899143219000003</v>
      </c>
      <c r="G1276">
        <v>1344.5614014</v>
      </c>
      <c r="H1276">
        <v>1340.1453856999999</v>
      </c>
      <c r="I1276">
        <v>1323.7617187999999</v>
      </c>
      <c r="J1276">
        <v>1320.0999756000001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731.41869799999995</v>
      </c>
      <c r="B1277" s="1">
        <f>DATE(2012,5,1) + TIME(10,2,55)</f>
        <v>41030.418692129628</v>
      </c>
      <c r="C1277">
        <v>80</v>
      </c>
      <c r="D1277">
        <v>73.284584045000003</v>
      </c>
      <c r="E1277">
        <v>50</v>
      </c>
      <c r="F1277">
        <v>49.895690918</v>
      </c>
      <c r="G1277">
        <v>1344.6649170000001</v>
      </c>
      <c r="H1277">
        <v>1340.2578125</v>
      </c>
      <c r="I1277">
        <v>1323.6512451000001</v>
      </c>
      <c r="J1277">
        <v>1319.9876709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731.44840299999998</v>
      </c>
      <c r="B1278" s="1">
        <f>DATE(2012,5,1) + TIME(10,45,42)</f>
        <v>41030.44840277778</v>
      </c>
      <c r="C1278">
        <v>80</v>
      </c>
      <c r="D1278">
        <v>73.668395996000001</v>
      </c>
      <c r="E1278">
        <v>50</v>
      </c>
      <c r="F1278">
        <v>49.892189025999997</v>
      </c>
      <c r="G1278">
        <v>1344.760376</v>
      </c>
      <c r="H1278">
        <v>1340.3615723</v>
      </c>
      <c r="I1278">
        <v>1323.5505370999999</v>
      </c>
      <c r="J1278">
        <v>1319.885376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731.47893599999998</v>
      </c>
      <c r="B1279" s="1">
        <f>DATE(2012,5,1) + TIME(11,29,40)</f>
        <v>41030.478935185187</v>
      </c>
      <c r="C1279">
        <v>80</v>
      </c>
      <c r="D1279">
        <v>74.040702820000007</v>
      </c>
      <c r="E1279">
        <v>50</v>
      </c>
      <c r="F1279">
        <v>49.888637543000002</v>
      </c>
      <c r="G1279">
        <v>1344.8488769999999</v>
      </c>
      <c r="H1279">
        <v>1340.4580077999999</v>
      </c>
      <c r="I1279">
        <v>1323.4586182</v>
      </c>
      <c r="J1279">
        <v>1319.7921143000001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731.51034500000003</v>
      </c>
      <c r="B1280" s="1">
        <f>DATE(2012,5,1) + TIME(12,14,53)</f>
        <v>41030.510335648149</v>
      </c>
      <c r="C1280">
        <v>80</v>
      </c>
      <c r="D1280">
        <v>74.401458739999995</v>
      </c>
      <c r="E1280">
        <v>50</v>
      </c>
      <c r="F1280">
        <v>49.885028839</v>
      </c>
      <c r="G1280">
        <v>1344.9312743999999</v>
      </c>
      <c r="H1280">
        <v>1340.5474853999999</v>
      </c>
      <c r="I1280">
        <v>1323.375</v>
      </c>
      <c r="J1280">
        <v>1319.7071533000001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731.54262000000006</v>
      </c>
      <c r="B1281" s="1">
        <f>DATE(2012,5,1) + TIME(13,1,22)</f>
        <v>41030.542615740742</v>
      </c>
      <c r="C1281">
        <v>80</v>
      </c>
      <c r="D1281">
        <v>74.749969481999997</v>
      </c>
      <c r="E1281">
        <v>50</v>
      </c>
      <c r="F1281">
        <v>49.881362914999997</v>
      </c>
      <c r="G1281">
        <v>1345.0081786999999</v>
      </c>
      <c r="H1281">
        <v>1340.6308594</v>
      </c>
      <c r="I1281">
        <v>1323.2988281</v>
      </c>
      <c r="J1281">
        <v>1319.6298827999999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731.57579199999998</v>
      </c>
      <c r="B1282" s="1">
        <f>DATE(2012,5,1) + TIME(13,49,8)</f>
        <v>41030.575787037036</v>
      </c>
      <c r="C1282">
        <v>80</v>
      </c>
      <c r="D1282">
        <v>75.086013793999996</v>
      </c>
      <c r="E1282">
        <v>50</v>
      </c>
      <c r="F1282">
        <v>49.877639770999998</v>
      </c>
      <c r="G1282">
        <v>1345.0799560999999</v>
      </c>
      <c r="H1282">
        <v>1340.7084961</v>
      </c>
      <c r="I1282">
        <v>1323.2297363</v>
      </c>
      <c r="J1282">
        <v>1319.5598144999999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731.60991100000001</v>
      </c>
      <c r="B1283" s="1">
        <f>DATE(2012,5,1) + TIME(14,38,16)</f>
        <v>41030.609907407408</v>
      </c>
      <c r="C1283">
        <v>80</v>
      </c>
      <c r="D1283">
        <v>75.409492493000002</v>
      </c>
      <c r="E1283">
        <v>50</v>
      </c>
      <c r="F1283">
        <v>49.873851776000002</v>
      </c>
      <c r="G1283">
        <v>1345.1470947</v>
      </c>
      <c r="H1283">
        <v>1340.7808838000001</v>
      </c>
      <c r="I1283">
        <v>1323.1671143000001</v>
      </c>
      <c r="J1283">
        <v>1319.4962158000001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731.64503000000002</v>
      </c>
      <c r="B1284" s="1">
        <f>DATE(2012,5,1) + TIME(15,28,50)</f>
        <v>41030.64502314815</v>
      </c>
      <c r="C1284">
        <v>80</v>
      </c>
      <c r="D1284">
        <v>75.720573424999998</v>
      </c>
      <c r="E1284">
        <v>50</v>
      </c>
      <c r="F1284">
        <v>49.869998932000001</v>
      </c>
      <c r="G1284">
        <v>1345.2099608999999</v>
      </c>
      <c r="H1284">
        <v>1340.8485106999999</v>
      </c>
      <c r="I1284">
        <v>1323.1104736</v>
      </c>
      <c r="J1284">
        <v>1319.4385986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731.68120699999997</v>
      </c>
      <c r="B1285" s="1">
        <f>DATE(2012,5,1) + TIME(16,20,56)</f>
        <v>41030.681203703702</v>
      </c>
      <c r="C1285">
        <v>80</v>
      </c>
      <c r="D1285">
        <v>76.019279479999994</v>
      </c>
      <c r="E1285">
        <v>50</v>
      </c>
      <c r="F1285">
        <v>49.866069793999998</v>
      </c>
      <c r="G1285">
        <v>1345.269043</v>
      </c>
      <c r="H1285">
        <v>1340.9117432</v>
      </c>
      <c r="I1285">
        <v>1323.0592041</v>
      </c>
      <c r="J1285">
        <v>1319.3865966999999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731.71850600000005</v>
      </c>
      <c r="B1286" s="1">
        <f>DATE(2012,5,1) + TIME(17,14,38)</f>
        <v>41030.718495370369</v>
      </c>
      <c r="C1286">
        <v>80</v>
      </c>
      <c r="D1286">
        <v>76.305641174000002</v>
      </c>
      <c r="E1286">
        <v>50</v>
      </c>
      <c r="F1286">
        <v>49.862064361999998</v>
      </c>
      <c r="G1286">
        <v>1345.3245850000001</v>
      </c>
      <c r="H1286">
        <v>1340.9708252</v>
      </c>
      <c r="I1286">
        <v>1323.0131836</v>
      </c>
      <c r="J1286">
        <v>1319.3398437999999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731.75699299999997</v>
      </c>
      <c r="B1287" s="1">
        <f>DATE(2012,5,1) + TIME(18,10,4)</f>
        <v>41030.756990740738</v>
      </c>
      <c r="C1287">
        <v>80</v>
      </c>
      <c r="D1287">
        <v>76.579719542999996</v>
      </c>
      <c r="E1287">
        <v>50</v>
      </c>
      <c r="F1287">
        <v>49.857975005999997</v>
      </c>
      <c r="G1287">
        <v>1345.3767089999999</v>
      </c>
      <c r="H1287">
        <v>1341.026001</v>
      </c>
      <c r="I1287">
        <v>1322.9718018000001</v>
      </c>
      <c r="J1287">
        <v>1319.2977295000001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731.79674399999999</v>
      </c>
      <c r="B1288" s="1">
        <f>DATE(2012,5,1) + TIME(19,7,18)</f>
        <v>41030.796736111108</v>
      </c>
      <c r="C1288">
        <v>80</v>
      </c>
      <c r="D1288">
        <v>76.841545104999994</v>
      </c>
      <c r="E1288">
        <v>50</v>
      </c>
      <c r="F1288">
        <v>49.853794098000002</v>
      </c>
      <c r="G1288">
        <v>1345.4259033000001</v>
      </c>
      <c r="H1288">
        <v>1341.0777588000001</v>
      </c>
      <c r="I1288">
        <v>1322.9348144999999</v>
      </c>
      <c r="J1288">
        <v>1319.2601318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731.83783900000003</v>
      </c>
      <c r="B1289" s="1">
        <f>DATE(2012,5,1) + TIME(20,6,29)</f>
        <v>41030.837835648148</v>
      </c>
      <c r="C1289">
        <v>80</v>
      </c>
      <c r="D1289">
        <v>77.091209411999998</v>
      </c>
      <c r="E1289">
        <v>50</v>
      </c>
      <c r="F1289">
        <v>49.849514008</v>
      </c>
      <c r="G1289">
        <v>1345.4720459</v>
      </c>
      <c r="H1289">
        <v>1341.1260986</v>
      </c>
      <c r="I1289">
        <v>1322.9019774999999</v>
      </c>
      <c r="J1289">
        <v>1319.2266846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731.88038800000004</v>
      </c>
      <c r="B1290" s="1">
        <f>DATE(2012,5,1) + TIME(21,7,45)</f>
        <v>41030.880381944444</v>
      </c>
      <c r="C1290">
        <v>80</v>
      </c>
      <c r="D1290">
        <v>77.328880310000002</v>
      </c>
      <c r="E1290">
        <v>50</v>
      </c>
      <c r="F1290">
        <v>49.845130920000003</v>
      </c>
      <c r="G1290">
        <v>1345.515625</v>
      </c>
      <c r="H1290">
        <v>1341.1712646000001</v>
      </c>
      <c r="I1290">
        <v>1322.8728027</v>
      </c>
      <c r="J1290">
        <v>1319.1970214999999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731.92446900000004</v>
      </c>
      <c r="B1291" s="1">
        <f>DATE(2012,5,1) + TIME(22,11,14)</f>
        <v>41030.924467592595</v>
      </c>
      <c r="C1291">
        <v>80</v>
      </c>
      <c r="D1291">
        <v>77.554550171000002</v>
      </c>
      <c r="E1291">
        <v>50</v>
      </c>
      <c r="F1291">
        <v>49.840633392000001</v>
      </c>
      <c r="G1291">
        <v>1345.5566406</v>
      </c>
      <c r="H1291">
        <v>1341.213501</v>
      </c>
      <c r="I1291">
        <v>1322.8470459</v>
      </c>
      <c r="J1291">
        <v>1319.1707764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731.970189</v>
      </c>
      <c r="B1292" s="1">
        <f>DATE(2012,5,1) + TIME(23,17,4)</f>
        <v>41030.970185185186</v>
      </c>
      <c r="C1292">
        <v>80</v>
      </c>
      <c r="D1292">
        <v>77.768325806000007</v>
      </c>
      <c r="E1292">
        <v>50</v>
      </c>
      <c r="F1292">
        <v>49.836017609000002</v>
      </c>
      <c r="G1292">
        <v>1345.5952147999999</v>
      </c>
      <c r="H1292">
        <v>1341.2530518000001</v>
      </c>
      <c r="I1292">
        <v>1322.8245850000001</v>
      </c>
      <c r="J1292">
        <v>1319.1478271000001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732.01766799999996</v>
      </c>
      <c r="B1293" s="1">
        <f>DATE(2012,5,2) + TIME(0,25,26)</f>
        <v>41031.01766203704</v>
      </c>
      <c r="C1293">
        <v>80</v>
      </c>
      <c r="D1293">
        <v>77.970329285000005</v>
      </c>
      <c r="E1293">
        <v>50</v>
      </c>
      <c r="F1293">
        <v>49.831272124999998</v>
      </c>
      <c r="G1293">
        <v>1345.6314697</v>
      </c>
      <c r="H1293">
        <v>1341.2897949000001</v>
      </c>
      <c r="I1293">
        <v>1322.8049315999999</v>
      </c>
      <c r="J1293">
        <v>1319.1278076000001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732.06703600000003</v>
      </c>
      <c r="B1294" s="1">
        <f>DATE(2012,5,2) + TIME(1,36,31)</f>
        <v>41031.067025462966</v>
      </c>
      <c r="C1294">
        <v>80</v>
      </c>
      <c r="D1294">
        <v>78.160705566000004</v>
      </c>
      <c r="E1294">
        <v>50</v>
      </c>
      <c r="F1294">
        <v>49.826385498</v>
      </c>
      <c r="G1294">
        <v>1345.6656493999999</v>
      </c>
      <c r="H1294">
        <v>1341.3242187999999</v>
      </c>
      <c r="I1294">
        <v>1322.7880858999999</v>
      </c>
      <c r="J1294">
        <v>1319.1104736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732.11843899999997</v>
      </c>
      <c r="B1295" s="1">
        <f>DATE(2012,5,2) + TIME(2,50,33)</f>
        <v>41031.118437500001</v>
      </c>
      <c r="C1295">
        <v>80</v>
      </c>
      <c r="D1295">
        <v>78.339607239000003</v>
      </c>
      <c r="E1295">
        <v>50</v>
      </c>
      <c r="F1295">
        <v>49.821346282999997</v>
      </c>
      <c r="G1295">
        <v>1345.6977539</v>
      </c>
      <c r="H1295">
        <v>1341.3562012</v>
      </c>
      <c r="I1295">
        <v>1322.7735596</v>
      </c>
      <c r="J1295">
        <v>1319.0957031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732.17204100000004</v>
      </c>
      <c r="B1296" s="1">
        <f>DATE(2012,5,2) + TIME(4,7,44)</f>
        <v>41031.172037037039</v>
      </c>
      <c r="C1296">
        <v>80</v>
      </c>
      <c r="D1296">
        <v>78.507225036999998</v>
      </c>
      <c r="E1296">
        <v>50</v>
      </c>
      <c r="F1296">
        <v>49.816143036</v>
      </c>
      <c r="G1296">
        <v>1345.7279053</v>
      </c>
      <c r="H1296">
        <v>1341.3859863</v>
      </c>
      <c r="I1296">
        <v>1322.7613524999999</v>
      </c>
      <c r="J1296">
        <v>1319.0831298999999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732.228024</v>
      </c>
      <c r="B1297" s="1">
        <f>DATE(2012,5,2) + TIME(5,28,21)</f>
        <v>41031.228020833332</v>
      </c>
      <c r="C1297">
        <v>80</v>
      </c>
      <c r="D1297">
        <v>78.663749695000007</v>
      </c>
      <c r="E1297">
        <v>50</v>
      </c>
      <c r="F1297">
        <v>49.810764313</v>
      </c>
      <c r="G1297">
        <v>1345.7561035000001</v>
      </c>
      <c r="H1297">
        <v>1341.4136963000001</v>
      </c>
      <c r="I1297">
        <v>1322.7512207</v>
      </c>
      <c r="J1297">
        <v>1319.0725098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732.28644899999995</v>
      </c>
      <c r="B1298" s="1">
        <f>DATE(2012,5,2) + TIME(6,52,29)</f>
        <v>41031.286446759259</v>
      </c>
      <c r="C1298">
        <v>80</v>
      </c>
      <c r="D1298">
        <v>78.809089661000002</v>
      </c>
      <c r="E1298">
        <v>50</v>
      </c>
      <c r="F1298">
        <v>49.805202483999999</v>
      </c>
      <c r="G1298">
        <v>1345.7827147999999</v>
      </c>
      <c r="H1298">
        <v>1341.4394531</v>
      </c>
      <c r="I1298">
        <v>1322.7427978999999</v>
      </c>
      <c r="J1298">
        <v>1319.0638428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732.34747700000003</v>
      </c>
      <c r="B1299" s="1">
        <f>DATE(2012,5,2) + TIME(8,20,22)</f>
        <v>41031.34747685185</v>
      </c>
      <c r="C1299">
        <v>80</v>
      </c>
      <c r="D1299">
        <v>78.943443298000005</v>
      </c>
      <c r="E1299">
        <v>50</v>
      </c>
      <c r="F1299">
        <v>49.799449920999997</v>
      </c>
      <c r="G1299">
        <v>1345.8073730000001</v>
      </c>
      <c r="H1299">
        <v>1341.4631348</v>
      </c>
      <c r="I1299">
        <v>1322.7359618999999</v>
      </c>
      <c r="J1299">
        <v>1319.0567627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732.41131900000005</v>
      </c>
      <c r="B1300" s="1">
        <f>DATE(2012,5,2) + TIME(9,52,17)</f>
        <v>41031.411307870374</v>
      </c>
      <c r="C1300">
        <v>80</v>
      </c>
      <c r="D1300">
        <v>79.067131042</v>
      </c>
      <c r="E1300">
        <v>50</v>
      </c>
      <c r="F1300">
        <v>49.793487548999998</v>
      </c>
      <c r="G1300">
        <v>1345.8303223</v>
      </c>
      <c r="H1300">
        <v>1341.4849853999999</v>
      </c>
      <c r="I1300">
        <v>1322.7307129000001</v>
      </c>
      <c r="J1300">
        <v>1319.0511475000001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732.47820999999999</v>
      </c>
      <c r="B1301" s="1">
        <f>DATE(2012,5,2) + TIME(11,28,37)</f>
        <v>41031.478206018517</v>
      </c>
      <c r="C1301">
        <v>80</v>
      </c>
      <c r="D1301">
        <v>79.180488585999996</v>
      </c>
      <c r="E1301">
        <v>50</v>
      </c>
      <c r="F1301">
        <v>49.787303925000003</v>
      </c>
      <c r="G1301">
        <v>1345.8516846</v>
      </c>
      <c r="H1301">
        <v>1341.5051269999999</v>
      </c>
      <c r="I1301">
        <v>1322.7265625</v>
      </c>
      <c r="J1301">
        <v>1319.0467529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732.54841399999998</v>
      </c>
      <c r="B1302" s="1">
        <f>DATE(2012,5,2) + TIME(13,9,43)</f>
        <v>41031.548414351855</v>
      </c>
      <c r="C1302">
        <v>80</v>
      </c>
      <c r="D1302">
        <v>79.283882141000007</v>
      </c>
      <c r="E1302">
        <v>50</v>
      </c>
      <c r="F1302">
        <v>49.780876159999998</v>
      </c>
      <c r="G1302">
        <v>1345.8713379000001</v>
      </c>
      <c r="H1302">
        <v>1341.5235596</v>
      </c>
      <c r="I1302">
        <v>1322.7235106999999</v>
      </c>
      <c r="J1302">
        <v>1319.0435791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732.62222999999994</v>
      </c>
      <c r="B1303" s="1">
        <f>DATE(2012,5,2) + TIME(14,56,0)</f>
        <v>41031.62222222222</v>
      </c>
      <c r="C1303">
        <v>80</v>
      </c>
      <c r="D1303">
        <v>79.377700806000007</v>
      </c>
      <c r="E1303">
        <v>50</v>
      </c>
      <c r="F1303">
        <v>49.774181366000001</v>
      </c>
      <c r="G1303">
        <v>1345.8894043</v>
      </c>
      <c r="H1303">
        <v>1341.5402832</v>
      </c>
      <c r="I1303">
        <v>1322.7214355000001</v>
      </c>
      <c r="J1303">
        <v>1319.0411377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732.69999800000005</v>
      </c>
      <c r="B1304" s="1">
        <f>DATE(2012,5,2) + TIME(16,47,59)</f>
        <v>41031.699988425928</v>
      </c>
      <c r="C1304">
        <v>80</v>
      </c>
      <c r="D1304">
        <v>79.462356567</v>
      </c>
      <c r="E1304">
        <v>50</v>
      </c>
      <c r="F1304">
        <v>49.767196654999999</v>
      </c>
      <c r="G1304">
        <v>1345.9058838000001</v>
      </c>
      <c r="H1304">
        <v>1341.5554199000001</v>
      </c>
      <c r="I1304">
        <v>1322.7200928</v>
      </c>
      <c r="J1304">
        <v>1319.0395507999999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732.78216199999997</v>
      </c>
      <c r="B1305" s="1">
        <f>DATE(2012,5,2) + TIME(18,46,18)</f>
        <v>41031.782152777778</v>
      </c>
      <c r="C1305">
        <v>80</v>
      </c>
      <c r="D1305">
        <v>79.538322449000006</v>
      </c>
      <c r="E1305">
        <v>50</v>
      </c>
      <c r="F1305">
        <v>49.759891510000003</v>
      </c>
      <c r="G1305">
        <v>1345.9206543</v>
      </c>
      <c r="H1305">
        <v>1341.5690918</v>
      </c>
      <c r="I1305">
        <v>1322.7193603999999</v>
      </c>
      <c r="J1305">
        <v>1319.0385742000001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732.86911699999996</v>
      </c>
      <c r="B1306" s="1">
        <f>DATE(2012,5,2) + TIME(20,51,31)</f>
        <v>41031.869108796294</v>
      </c>
      <c r="C1306">
        <v>80</v>
      </c>
      <c r="D1306">
        <v>79.605987549000005</v>
      </c>
      <c r="E1306">
        <v>50</v>
      </c>
      <c r="F1306">
        <v>49.752239226999997</v>
      </c>
      <c r="G1306">
        <v>1345.934082</v>
      </c>
      <c r="H1306">
        <v>1341.5814209</v>
      </c>
      <c r="I1306">
        <v>1322.7191161999999</v>
      </c>
      <c r="J1306">
        <v>1319.0382079999999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732.95790699999998</v>
      </c>
      <c r="B1307" s="1">
        <f>DATE(2012,5,2) + TIME(22,59,23)</f>
        <v>41031.957905092589</v>
      </c>
      <c r="C1307">
        <v>80</v>
      </c>
      <c r="D1307">
        <v>79.663955688000001</v>
      </c>
      <c r="E1307">
        <v>50</v>
      </c>
      <c r="F1307">
        <v>49.744472504000001</v>
      </c>
      <c r="G1307">
        <v>1345.9464111</v>
      </c>
      <c r="H1307">
        <v>1341.5924072</v>
      </c>
      <c r="I1307">
        <v>1322.7192382999999</v>
      </c>
      <c r="J1307">
        <v>1319.0380858999999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733.04813300000001</v>
      </c>
      <c r="B1308" s="1">
        <f>DATE(2012,5,3) + TIME(1,9,18)</f>
        <v>41032.048125000001</v>
      </c>
      <c r="C1308">
        <v>80</v>
      </c>
      <c r="D1308">
        <v>79.713233947999996</v>
      </c>
      <c r="E1308">
        <v>50</v>
      </c>
      <c r="F1308">
        <v>49.736629485999998</v>
      </c>
      <c r="G1308">
        <v>1345.9569091999999</v>
      </c>
      <c r="H1308">
        <v>1341.6018065999999</v>
      </c>
      <c r="I1308">
        <v>1322.7196045000001</v>
      </c>
      <c r="J1308">
        <v>1319.0382079999999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733.14007000000004</v>
      </c>
      <c r="B1309" s="1">
        <f>DATE(2012,5,3) + TIME(3,21,42)</f>
        <v>41032.140069444446</v>
      </c>
      <c r="C1309">
        <v>80</v>
      </c>
      <c r="D1309">
        <v>79.755111693999993</v>
      </c>
      <c r="E1309">
        <v>50</v>
      </c>
      <c r="F1309">
        <v>49.728683472</v>
      </c>
      <c r="G1309">
        <v>1345.9655762</v>
      </c>
      <c r="H1309">
        <v>1341.6096190999999</v>
      </c>
      <c r="I1309">
        <v>1322.7200928</v>
      </c>
      <c r="J1309">
        <v>1319.0385742000001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733.23287900000003</v>
      </c>
      <c r="B1310" s="1">
        <f>DATE(2012,5,3) + TIME(5,35,20)</f>
        <v>41032.232870370368</v>
      </c>
      <c r="C1310">
        <v>80</v>
      </c>
      <c r="D1310">
        <v>79.790298461999996</v>
      </c>
      <c r="E1310">
        <v>50</v>
      </c>
      <c r="F1310">
        <v>49.720699310000001</v>
      </c>
      <c r="G1310">
        <v>1345.9726562000001</v>
      </c>
      <c r="H1310">
        <v>1341.6162108999999</v>
      </c>
      <c r="I1310">
        <v>1322.7207031</v>
      </c>
      <c r="J1310">
        <v>1319.0389404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733.32667000000004</v>
      </c>
      <c r="B1311" s="1">
        <f>DATE(2012,5,3) + TIME(7,50,24)</f>
        <v>41032.326666666668</v>
      </c>
      <c r="C1311">
        <v>80</v>
      </c>
      <c r="D1311">
        <v>79.819862365999995</v>
      </c>
      <c r="E1311">
        <v>50</v>
      </c>
      <c r="F1311">
        <v>49.712669372999997</v>
      </c>
      <c r="G1311">
        <v>1345.9781493999999</v>
      </c>
      <c r="H1311">
        <v>1341.6214600000001</v>
      </c>
      <c r="I1311">
        <v>1322.7213135</v>
      </c>
      <c r="J1311">
        <v>1319.0393065999999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733.42162299999995</v>
      </c>
      <c r="B1312" s="1">
        <f>DATE(2012,5,3) + TIME(10,7,8)</f>
        <v>41032.421620370369</v>
      </c>
      <c r="C1312">
        <v>80</v>
      </c>
      <c r="D1312">
        <v>79.844688415999997</v>
      </c>
      <c r="E1312">
        <v>50</v>
      </c>
      <c r="F1312">
        <v>49.704578400000003</v>
      </c>
      <c r="G1312">
        <v>1345.9822998</v>
      </c>
      <c r="H1312">
        <v>1341.6254882999999</v>
      </c>
      <c r="I1312">
        <v>1322.7219238</v>
      </c>
      <c r="J1312">
        <v>1319.0396728999999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733.51792</v>
      </c>
      <c r="B1313" s="1">
        <f>DATE(2012,5,3) + TIME(12,25,48)</f>
        <v>41032.517916666664</v>
      </c>
      <c r="C1313">
        <v>80</v>
      </c>
      <c r="D1313">
        <v>79.865524292000003</v>
      </c>
      <c r="E1313">
        <v>50</v>
      </c>
      <c r="F1313">
        <v>49.696418762</v>
      </c>
      <c r="G1313">
        <v>1345.9849853999999</v>
      </c>
      <c r="H1313">
        <v>1341.6285399999999</v>
      </c>
      <c r="I1313">
        <v>1322.7224120999999</v>
      </c>
      <c r="J1313">
        <v>1319.0400391000001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733.61574599999994</v>
      </c>
      <c r="B1314" s="1">
        <f>DATE(2012,5,3) + TIME(14,46,40)</f>
        <v>41032.615740740737</v>
      </c>
      <c r="C1314">
        <v>80</v>
      </c>
      <c r="D1314">
        <v>79.882995605000005</v>
      </c>
      <c r="E1314">
        <v>50</v>
      </c>
      <c r="F1314">
        <v>49.688167571999998</v>
      </c>
      <c r="G1314">
        <v>1345.9865723</v>
      </c>
      <c r="H1314">
        <v>1341.6307373</v>
      </c>
      <c r="I1314">
        <v>1322.7227783000001</v>
      </c>
      <c r="J1314">
        <v>1319.0402832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733.71531800000002</v>
      </c>
      <c r="B1315" s="1">
        <f>DATE(2012,5,3) + TIME(17,10,3)</f>
        <v>41032.715312499997</v>
      </c>
      <c r="C1315">
        <v>80</v>
      </c>
      <c r="D1315">
        <v>79.897636414000004</v>
      </c>
      <c r="E1315">
        <v>50</v>
      </c>
      <c r="F1315">
        <v>49.679813385000003</v>
      </c>
      <c r="G1315">
        <v>1345.9870605000001</v>
      </c>
      <c r="H1315">
        <v>1341.6319579999999</v>
      </c>
      <c r="I1315">
        <v>1322.7231445</v>
      </c>
      <c r="J1315">
        <v>1319.0404053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733.81683999999996</v>
      </c>
      <c r="B1316" s="1">
        <f>DATE(2012,5,3) + TIME(19,36,14)</f>
        <v>41032.816828703704</v>
      </c>
      <c r="C1316">
        <v>80</v>
      </c>
      <c r="D1316">
        <v>79.909889221</v>
      </c>
      <c r="E1316">
        <v>50</v>
      </c>
      <c r="F1316">
        <v>49.671340942</v>
      </c>
      <c r="G1316">
        <v>1345.9865723</v>
      </c>
      <c r="H1316">
        <v>1341.6325684000001</v>
      </c>
      <c r="I1316">
        <v>1322.7235106999999</v>
      </c>
      <c r="J1316">
        <v>1319.0405272999999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733.92054900000005</v>
      </c>
      <c r="B1317" s="1">
        <f>DATE(2012,5,3) + TIME(22,5,35)</f>
        <v>41032.920543981483</v>
      </c>
      <c r="C1317">
        <v>80</v>
      </c>
      <c r="D1317">
        <v>79.920127868999998</v>
      </c>
      <c r="E1317">
        <v>50</v>
      </c>
      <c r="F1317">
        <v>49.662734985</v>
      </c>
      <c r="G1317">
        <v>1345.9851074000001</v>
      </c>
      <c r="H1317">
        <v>1341.6324463000001</v>
      </c>
      <c r="I1317">
        <v>1322.7236327999999</v>
      </c>
      <c r="J1317">
        <v>1319.0405272999999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734.02669800000001</v>
      </c>
      <c r="B1318" s="1">
        <f>DATE(2012,5,4) + TIME(0,38,26)</f>
        <v>41033.026689814818</v>
      </c>
      <c r="C1318">
        <v>80</v>
      </c>
      <c r="D1318">
        <v>79.928665160999998</v>
      </c>
      <c r="E1318">
        <v>50</v>
      </c>
      <c r="F1318">
        <v>49.653972625999998</v>
      </c>
      <c r="G1318">
        <v>1345.9827881000001</v>
      </c>
      <c r="H1318">
        <v>1341.6317139</v>
      </c>
      <c r="I1318">
        <v>1322.7237548999999</v>
      </c>
      <c r="J1318">
        <v>1319.0404053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734.13554799999997</v>
      </c>
      <c r="B1319" s="1">
        <f>DATE(2012,5,4) + TIME(3,15,11)</f>
        <v>41033.13554398148</v>
      </c>
      <c r="C1319">
        <v>80</v>
      </c>
      <c r="D1319">
        <v>79.935768127000003</v>
      </c>
      <c r="E1319">
        <v>50</v>
      </c>
      <c r="F1319">
        <v>49.645038605000003</v>
      </c>
      <c r="G1319">
        <v>1345.9796143000001</v>
      </c>
      <c r="H1319">
        <v>1341.6303711</v>
      </c>
      <c r="I1319">
        <v>1322.7237548999999</v>
      </c>
      <c r="J1319">
        <v>1319.0401611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734.24738600000001</v>
      </c>
      <c r="B1320" s="1">
        <f>DATE(2012,5,4) + TIME(5,56,14)</f>
        <v>41033.247384259259</v>
      </c>
      <c r="C1320">
        <v>80</v>
      </c>
      <c r="D1320">
        <v>79.941673279</v>
      </c>
      <c r="E1320">
        <v>50</v>
      </c>
      <c r="F1320">
        <v>49.635913848999998</v>
      </c>
      <c r="G1320">
        <v>1345.9757079999999</v>
      </c>
      <c r="H1320">
        <v>1341.6285399999999</v>
      </c>
      <c r="I1320">
        <v>1322.7237548999999</v>
      </c>
      <c r="J1320">
        <v>1319.0399170000001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734.36252500000001</v>
      </c>
      <c r="B1321" s="1">
        <f>DATE(2012,5,4) + TIME(8,42,2)</f>
        <v>41033.362523148149</v>
      </c>
      <c r="C1321">
        <v>80</v>
      </c>
      <c r="D1321">
        <v>79.946563721000004</v>
      </c>
      <c r="E1321">
        <v>50</v>
      </c>
      <c r="F1321">
        <v>49.626571654999999</v>
      </c>
      <c r="G1321">
        <v>1345.9710693</v>
      </c>
      <c r="H1321">
        <v>1341.6260986</v>
      </c>
      <c r="I1321">
        <v>1322.7235106999999</v>
      </c>
      <c r="J1321">
        <v>1319.0395507999999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734.48062800000002</v>
      </c>
      <c r="B1322" s="1">
        <f>DATE(2012,5,4) + TIME(11,32,6)</f>
        <v>41033.480624999997</v>
      </c>
      <c r="C1322">
        <v>80</v>
      </c>
      <c r="D1322">
        <v>79.950576781999999</v>
      </c>
      <c r="E1322">
        <v>50</v>
      </c>
      <c r="F1322">
        <v>49.617042542</v>
      </c>
      <c r="G1322">
        <v>1345.9656981999999</v>
      </c>
      <c r="H1322">
        <v>1341.6232910000001</v>
      </c>
      <c r="I1322">
        <v>1322.7232666</v>
      </c>
      <c r="J1322">
        <v>1319.0390625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734.60103300000003</v>
      </c>
      <c r="B1323" s="1">
        <f>DATE(2012,5,4) + TIME(14,25,29)</f>
        <v>41033.601030092592</v>
      </c>
      <c r="C1323">
        <v>80</v>
      </c>
      <c r="D1323">
        <v>79.953849792</v>
      </c>
      <c r="E1323">
        <v>50</v>
      </c>
      <c r="F1323">
        <v>49.607372284</v>
      </c>
      <c r="G1323">
        <v>1345.9597168</v>
      </c>
      <c r="H1323">
        <v>1341.6199951000001</v>
      </c>
      <c r="I1323">
        <v>1322.7230225000001</v>
      </c>
      <c r="J1323">
        <v>1319.0385742000001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734.724018</v>
      </c>
      <c r="B1324" s="1">
        <f>DATE(2012,5,4) + TIME(17,22,35)</f>
        <v>41033.724016203705</v>
      </c>
      <c r="C1324">
        <v>80</v>
      </c>
      <c r="D1324">
        <v>79.956512450999995</v>
      </c>
      <c r="E1324">
        <v>50</v>
      </c>
      <c r="F1324">
        <v>49.597537994</v>
      </c>
      <c r="G1324">
        <v>1345.953125</v>
      </c>
      <c r="H1324">
        <v>1341.6163329999999</v>
      </c>
      <c r="I1324">
        <v>1322.7225341999999</v>
      </c>
      <c r="J1324">
        <v>1319.0379639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734.84981000000005</v>
      </c>
      <c r="B1325" s="1">
        <f>DATE(2012,5,4) + TIME(20,23,43)</f>
        <v>41033.849803240744</v>
      </c>
      <c r="C1325">
        <v>80</v>
      </c>
      <c r="D1325">
        <v>79.958679199000002</v>
      </c>
      <c r="E1325">
        <v>50</v>
      </c>
      <c r="F1325">
        <v>49.587532043000003</v>
      </c>
      <c r="G1325">
        <v>1345.9460449000001</v>
      </c>
      <c r="H1325">
        <v>1341.6123047000001</v>
      </c>
      <c r="I1325">
        <v>1322.722168</v>
      </c>
      <c r="J1325">
        <v>1319.0372314000001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734.97863400000006</v>
      </c>
      <c r="B1326" s="1">
        <f>DATE(2012,5,4) + TIME(23,29,14)</f>
        <v>41033.978634259256</v>
      </c>
      <c r="C1326">
        <v>80</v>
      </c>
      <c r="D1326">
        <v>79.960441588999998</v>
      </c>
      <c r="E1326">
        <v>50</v>
      </c>
      <c r="F1326">
        <v>49.577331543</v>
      </c>
      <c r="G1326">
        <v>1345.9384766000001</v>
      </c>
      <c r="H1326">
        <v>1341.6080322</v>
      </c>
      <c r="I1326">
        <v>1322.7215576000001</v>
      </c>
      <c r="J1326">
        <v>1319.036499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735.11076600000001</v>
      </c>
      <c r="B1327" s="1">
        <f>DATE(2012,5,5) + TIME(2,39,30)</f>
        <v>41034.110763888886</v>
      </c>
      <c r="C1327">
        <v>80</v>
      </c>
      <c r="D1327">
        <v>79.961860657000003</v>
      </c>
      <c r="E1327">
        <v>50</v>
      </c>
      <c r="F1327">
        <v>49.566925048999998</v>
      </c>
      <c r="G1327">
        <v>1345.9302978999999</v>
      </c>
      <c r="H1327">
        <v>1341.6033935999999</v>
      </c>
      <c r="I1327">
        <v>1322.7209473</v>
      </c>
      <c r="J1327">
        <v>1319.0356445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735.24650599999995</v>
      </c>
      <c r="B1328" s="1">
        <f>DATE(2012,5,5) + TIME(5,54,58)</f>
        <v>41034.246504629627</v>
      </c>
      <c r="C1328">
        <v>80</v>
      </c>
      <c r="D1328">
        <v>79.963012695000003</v>
      </c>
      <c r="E1328">
        <v>50</v>
      </c>
      <c r="F1328">
        <v>49.556293488000001</v>
      </c>
      <c r="G1328">
        <v>1345.9217529</v>
      </c>
      <c r="H1328">
        <v>1341.5983887</v>
      </c>
      <c r="I1328">
        <v>1322.7203368999999</v>
      </c>
      <c r="J1328">
        <v>1319.0347899999999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735.38620800000001</v>
      </c>
      <c r="B1329" s="1">
        <f>DATE(2012,5,5) + TIME(9,16,8)</f>
        <v>41034.386203703703</v>
      </c>
      <c r="C1329">
        <v>80</v>
      </c>
      <c r="D1329">
        <v>79.963943481000001</v>
      </c>
      <c r="E1329">
        <v>50</v>
      </c>
      <c r="F1329">
        <v>49.545410156000003</v>
      </c>
      <c r="G1329">
        <v>1345.9127197</v>
      </c>
      <c r="H1329">
        <v>1341.5932617000001</v>
      </c>
      <c r="I1329">
        <v>1322.7196045000001</v>
      </c>
      <c r="J1329">
        <v>1319.0339355000001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735.530349</v>
      </c>
      <c r="B1330" s="1">
        <f>DATE(2012,5,5) + TIME(12,43,42)</f>
        <v>41034.530347222222</v>
      </c>
      <c r="C1330">
        <v>80</v>
      </c>
      <c r="D1330">
        <v>79.964691161999994</v>
      </c>
      <c r="E1330">
        <v>50</v>
      </c>
      <c r="F1330">
        <v>49.534248351999999</v>
      </c>
      <c r="G1330">
        <v>1345.9031981999999</v>
      </c>
      <c r="H1330">
        <v>1341.5877685999999</v>
      </c>
      <c r="I1330">
        <v>1322.7188721</v>
      </c>
      <c r="J1330">
        <v>1319.0329589999999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735.67935999999997</v>
      </c>
      <c r="B1331" s="1">
        <f>DATE(2012,5,5) + TIME(16,18,16)</f>
        <v>41034.679351851853</v>
      </c>
      <c r="C1331">
        <v>80</v>
      </c>
      <c r="D1331">
        <v>79.965293884000005</v>
      </c>
      <c r="E1331">
        <v>50</v>
      </c>
      <c r="F1331">
        <v>49.522773743000002</v>
      </c>
      <c r="G1331">
        <v>1345.8931885</v>
      </c>
      <c r="H1331">
        <v>1341.5819091999999</v>
      </c>
      <c r="I1331">
        <v>1322.7181396000001</v>
      </c>
      <c r="J1331">
        <v>1319.0318603999999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735.83372999999995</v>
      </c>
      <c r="B1332" s="1">
        <f>DATE(2012,5,5) + TIME(20,0,34)</f>
        <v>41034.833726851852</v>
      </c>
      <c r="C1332">
        <v>80</v>
      </c>
      <c r="D1332">
        <v>79.965782165999997</v>
      </c>
      <c r="E1332">
        <v>50</v>
      </c>
      <c r="F1332">
        <v>49.510963439999998</v>
      </c>
      <c r="G1332">
        <v>1345.8828125</v>
      </c>
      <c r="H1332">
        <v>1341.5759277</v>
      </c>
      <c r="I1332">
        <v>1322.7172852000001</v>
      </c>
      <c r="J1332">
        <v>1319.0307617000001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735.99400900000001</v>
      </c>
      <c r="B1333" s="1">
        <f>DATE(2012,5,5) + TIME(23,51,22)</f>
        <v>41034.994004629632</v>
      </c>
      <c r="C1333">
        <v>80</v>
      </c>
      <c r="D1333">
        <v>79.966171265</v>
      </c>
      <c r="E1333">
        <v>50</v>
      </c>
      <c r="F1333">
        <v>49.498783111999998</v>
      </c>
      <c r="G1333">
        <v>1345.8719481999999</v>
      </c>
      <c r="H1333">
        <v>1341.5697021000001</v>
      </c>
      <c r="I1333">
        <v>1322.7163086</v>
      </c>
      <c r="J1333">
        <v>1319.0295410000001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736.16015100000004</v>
      </c>
      <c r="B1334" s="1">
        <f>DATE(2012,5,6) + TIME(3,50,37)</f>
        <v>41035.160150462965</v>
      </c>
      <c r="C1334">
        <v>80</v>
      </c>
      <c r="D1334">
        <v>79.966476439999994</v>
      </c>
      <c r="E1334">
        <v>50</v>
      </c>
      <c r="F1334">
        <v>49.486228943</v>
      </c>
      <c r="G1334">
        <v>1345.8605957</v>
      </c>
      <c r="H1334">
        <v>1341.5631103999999</v>
      </c>
      <c r="I1334">
        <v>1322.715332</v>
      </c>
      <c r="J1334">
        <v>1319.0283202999999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736.33102499999995</v>
      </c>
      <c r="B1335" s="1">
        <f>DATE(2012,5,6) + TIME(7,56,40)</f>
        <v>41035.331018518518</v>
      </c>
      <c r="C1335">
        <v>80</v>
      </c>
      <c r="D1335">
        <v>79.966720581000004</v>
      </c>
      <c r="E1335">
        <v>50</v>
      </c>
      <c r="F1335">
        <v>49.473377227999997</v>
      </c>
      <c r="G1335">
        <v>1345.8488769999999</v>
      </c>
      <c r="H1335">
        <v>1341.5563964999999</v>
      </c>
      <c r="I1335">
        <v>1322.7143555</v>
      </c>
      <c r="J1335">
        <v>1319.0270995999999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736.50711200000001</v>
      </c>
      <c r="B1336" s="1">
        <f>DATE(2012,5,6) + TIME(12,10,14)</f>
        <v>41035.507106481484</v>
      </c>
      <c r="C1336">
        <v>80</v>
      </c>
      <c r="D1336">
        <v>79.966903686999999</v>
      </c>
      <c r="E1336">
        <v>50</v>
      </c>
      <c r="F1336">
        <v>49.460201263000002</v>
      </c>
      <c r="G1336">
        <v>1345.8367920000001</v>
      </c>
      <c r="H1336">
        <v>1341.5494385</v>
      </c>
      <c r="I1336">
        <v>1322.7133789</v>
      </c>
      <c r="J1336">
        <v>1319.0257568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736.68863399999998</v>
      </c>
      <c r="B1337" s="1">
        <f>DATE(2012,5,6) + TIME(16,31,37)</f>
        <v>41035.688622685186</v>
      </c>
      <c r="C1337">
        <v>80</v>
      </c>
      <c r="D1337">
        <v>79.967056274000001</v>
      </c>
      <c r="E1337">
        <v>50</v>
      </c>
      <c r="F1337">
        <v>49.446689606</v>
      </c>
      <c r="G1337">
        <v>1345.8244629000001</v>
      </c>
      <c r="H1337">
        <v>1341.5423584</v>
      </c>
      <c r="I1337">
        <v>1322.7122803</v>
      </c>
      <c r="J1337">
        <v>1319.0242920000001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736.87249299999996</v>
      </c>
      <c r="B1338" s="1">
        <f>DATE(2012,5,6) + TIME(20,56,23)</f>
        <v>41035.872488425928</v>
      </c>
      <c r="C1338">
        <v>80</v>
      </c>
      <c r="D1338">
        <v>79.967163085999999</v>
      </c>
      <c r="E1338">
        <v>50</v>
      </c>
      <c r="F1338">
        <v>49.433029175000001</v>
      </c>
      <c r="G1338">
        <v>1345.8117675999999</v>
      </c>
      <c r="H1338">
        <v>1341.5350341999999</v>
      </c>
      <c r="I1338">
        <v>1322.7110596</v>
      </c>
      <c r="J1338">
        <v>1319.0228271000001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737.05803600000002</v>
      </c>
      <c r="B1339" s="1">
        <f>DATE(2012,5,7) + TIME(1,23,34)</f>
        <v>41036.058032407411</v>
      </c>
      <c r="C1339">
        <v>80</v>
      </c>
      <c r="D1339">
        <v>79.967247009000005</v>
      </c>
      <c r="E1339">
        <v>50</v>
      </c>
      <c r="F1339">
        <v>49.419269561999997</v>
      </c>
      <c r="G1339">
        <v>1345.7990723</v>
      </c>
      <c r="H1339">
        <v>1341.527832</v>
      </c>
      <c r="I1339">
        <v>1322.7099608999999</v>
      </c>
      <c r="J1339">
        <v>1319.0213623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737.24575900000002</v>
      </c>
      <c r="B1340" s="1">
        <f>DATE(2012,5,7) + TIME(5,53,53)</f>
        <v>41036.245752314811</v>
      </c>
      <c r="C1340">
        <v>80</v>
      </c>
      <c r="D1340">
        <v>79.967308044000006</v>
      </c>
      <c r="E1340">
        <v>50</v>
      </c>
      <c r="F1340">
        <v>49.405387877999999</v>
      </c>
      <c r="G1340">
        <v>1345.7862548999999</v>
      </c>
      <c r="H1340">
        <v>1341.5206298999999</v>
      </c>
      <c r="I1340">
        <v>1322.7087402</v>
      </c>
      <c r="J1340">
        <v>1319.0198975000001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737.43604800000003</v>
      </c>
      <c r="B1341" s="1">
        <f>DATE(2012,5,7) + TIME(10,27,54)</f>
        <v>41036.436041666668</v>
      </c>
      <c r="C1341">
        <v>80</v>
      </c>
      <c r="D1341">
        <v>79.967353821000003</v>
      </c>
      <c r="E1341">
        <v>50</v>
      </c>
      <c r="F1341">
        <v>49.391368866000001</v>
      </c>
      <c r="G1341">
        <v>1345.7735596</v>
      </c>
      <c r="H1341">
        <v>1341.5133057</v>
      </c>
      <c r="I1341">
        <v>1322.7075195</v>
      </c>
      <c r="J1341">
        <v>1319.0184326000001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737.62956999999994</v>
      </c>
      <c r="B1342" s="1">
        <f>DATE(2012,5,7) + TIME(15,6,34)</f>
        <v>41036.629560185182</v>
      </c>
      <c r="C1342">
        <v>80</v>
      </c>
      <c r="D1342">
        <v>79.967384338000002</v>
      </c>
      <c r="E1342">
        <v>50</v>
      </c>
      <c r="F1342">
        <v>49.377170563</v>
      </c>
      <c r="G1342">
        <v>1345.7607422000001</v>
      </c>
      <c r="H1342">
        <v>1341.5061035000001</v>
      </c>
      <c r="I1342">
        <v>1322.7062988</v>
      </c>
      <c r="J1342">
        <v>1319.0168457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737.82680400000004</v>
      </c>
      <c r="B1343" s="1">
        <f>DATE(2012,5,7) + TIME(19,50,35)</f>
        <v>41036.826793981483</v>
      </c>
      <c r="C1343">
        <v>80</v>
      </c>
      <c r="D1343">
        <v>79.967399596999996</v>
      </c>
      <c r="E1343">
        <v>50</v>
      </c>
      <c r="F1343">
        <v>49.362770081000001</v>
      </c>
      <c r="G1343">
        <v>1345.7478027</v>
      </c>
      <c r="H1343">
        <v>1341.4987793</v>
      </c>
      <c r="I1343">
        <v>1322.7049560999999</v>
      </c>
      <c r="J1343">
        <v>1319.0152588000001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738.02826100000004</v>
      </c>
      <c r="B1344" s="1">
        <f>DATE(2012,5,8) + TIME(0,40,41)</f>
        <v>41037.028252314813</v>
      </c>
      <c r="C1344">
        <v>80</v>
      </c>
      <c r="D1344">
        <v>79.967407226999995</v>
      </c>
      <c r="E1344">
        <v>50</v>
      </c>
      <c r="F1344">
        <v>49.348144531000003</v>
      </c>
      <c r="G1344">
        <v>1345.7348632999999</v>
      </c>
      <c r="H1344">
        <v>1341.4914550999999</v>
      </c>
      <c r="I1344">
        <v>1322.7037353999999</v>
      </c>
      <c r="J1344">
        <v>1319.0136719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738.23449200000005</v>
      </c>
      <c r="B1345" s="1">
        <f>DATE(2012,5,8) + TIME(5,37,40)</f>
        <v>41037.234490740739</v>
      </c>
      <c r="C1345">
        <v>80</v>
      </c>
      <c r="D1345">
        <v>79.967414856000005</v>
      </c>
      <c r="E1345">
        <v>50</v>
      </c>
      <c r="F1345">
        <v>49.333255768000001</v>
      </c>
      <c r="G1345">
        <v>1345.7218018000001</v>
      </c>
      <c r="H1345">
        <v>1341.4841309000001</v>
      </c>
      <c r="I1345">
        <v>1322.7023925999999</v>
      </c>
      <c r="J1345">
        <v>1319.0119629000001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738.44611599999996</v>
      </c>
      <c r="B1346" s="1">
        <f>DATE(2012,5,8) + TIME(10,42,24)</f>
        <v>41037.446111111109</v>
      </c>
      <c r="C1346">
        <v>80</v>
      </c>
      <c r="D1346">
        <v>79.967407226999995</v>
      </c>
      <c r="E1346">
        <v>50</v>
      </c>
      <c r="F1346">
        <v>49.318069457999997</v>
      </c>
      <c r="G1346">
        <v>1345.7086182</v>
      </c>
      <c r="H1346">
        <v>1341.4768065999999</v>
      </c>
      <c r="I1346">
        <v>1322.7010498</v>
      </c>
      <c r="J1346">
        <v>1319.0102539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738.66006800000002</v>
      </c>
      <c r="B1347" s="1">
        <f>DATE(2012,5,8) + TIME(15,50,29)</f>
        <v>41037.660057870373</v>
      </c>
      <c r="C1347">
        <v>80</v>
      </c>
      <c r="D1347">
        <v>79.967399596999996</v>
      </c>
      <c r="E1347">
        <v>50</v>
      </c>
      <c r="F1347">
        <v>49.302764893000003</v>
      </c>
      <c r="G1347">
        <v>1345.6953125</v>
      </c>
      <c r="H1347">
        <v>1341.4693603999999</v>
      </c>
      <c r="I1347">
        <v>1322.6995850000001</v>
      </c>
      <c r="J1347">
        <v>1319.0085449000001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738.87616700000001</v>
      </c>
      <c r="B1348" s="1">
        <f>DATE(2012,5,8) + TIME(21,1,40)</f>
        <v>41037.876157407409</v>
      </c>
      <c r="C1348">
        <v>80</v>
      </c>
      <c r="D1348">
        <v>79.967384338000002</v>
      </c>
      <c r="E1348">
        <v>50</v>
      </c>
      <c r="F1348">
        <v>49.287353516000003</v>
      </c>
      <c r="G1348">
        <v>1345.6821289</v>
      </c>
      <c r="H1348">
        <v>1341.4620361</v>
      </c>
      <c r="I1348">
        <v>1322.6982422000001</v>
      </c>
      <c r="J1348">
        <v>1319.0067139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739.09480399999995</v>
      </c>
      <c r="B1349" s="1">
        <f>DATE(2012,5,9) + TIME(2,16,31)</f>
        <v>41038.09480324074</v>
      </c>
      <c r="C1349">
        <v>80</v>
      </c>
      <c r="D1349">
        <v>79.967361449999999</v>
      </c>
      <c r="E1349">
        <v>50</v>
      </c>
      <c r="F1349">
        <v>49.271820067999997</v>
      </c>
      <c r="G1349">
        <v>1345.6689452999999</v>
      </c>
      <c r="H1349">
        <v>1341.4547118999999</v>
      </c>
      <c r="I1349">
        <v>1322.6967772999999</v>
      </c>
      <c r="J1349">
        <v>1319.0048827999999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739.31639800000005</v>
      </c>
      <c r="B1350" s="1">
        <f>DATE(2012,5,9) + TIME(7,35,36)</f>
        <v>41038.316388888888</v>
      </c>
      <c r="C1350">
        <v>80</v>
      </c>
      <c r="D1350">
        <v>79.967338561999995</v>
      </c>
      <c r="E1350">
        <v>50</v>
      </c>
      <c r="F1350">
        <v>49.256149292000003</v>
      </c>
      <c r="G1350">
        <v>1345.6558838000001</v>
      </c>
      <c r="H1350">
        <v>1341.4473877</v>
      </c>
      <c r="I1350">
        <v>1322.6953125</v>
      </c>
      <c r="J1350">
        <v>1319.0030518000001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739.54143399999998</v>
      </c>
      <c r="B1351" s="1">
        <f>DATE(2012,5,9) + TIME(12,59,39)</f>
        <v>41038.54142361111</v>
      </c>
      <c r="C1351">
        <v>80</v>
      </c>
      <c r="D1351">
        <v>79.967315674000005</v>
      </c>
      <c r="E1351">
        <v>50</v>
      </c>
      <c r="F1351">
        <v>49.240314484000002</v>
      </c>
      <c r="G1351">
        <v>1345.6427002</v>
      </c>
      <c r="H1351">
        <v>1341.4401855000001</v>
      </c>
      <c r="I1351">
        <v>1322.6938477000001</v>
      </c>
      <c r="J1351">
        <v>1319.0012207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739.77026499999999</v>
      </c>
      <c r="B1352" s="1">
        <f>DATE(2012,5,9) + TIME(18,29,10)</f>
        <v>41038.770254629628</v>
      </c>
      <c r="C1352">
        <v>80</v>
      </c>
      <c r="D1352">
        <v>79.967292786000002</v>
      </c>
      <c r="E1352">
        <v>50</v>
      </c>
      <c r="F1352">
        <v>49.22429657</v>
      </c>
      <c r="G1352">
        <v>1345.6296387</v>
      </c>
      <c r="H1352">
        <v>1341.4329834</v>
      </c>
      <c r="I1352">
        <v>1322.6922606999999</v>
      </c>
      <c r="J1352">
        <v>1318.9992675999999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740.00335500000006</v>
      </c>
      <c r="B1353" s="1">
        <f>DATE(2012,5,10) + TIME(0,4,49)</f>
        <v>41039.003344907411</v>
      </c>
      <c r="C1353">
        <v>80</v>
      </c>
      <c r="D1353">
        <v>79.967262267999999</v>
      </c>
      <c r="E1353">
        <v>50</v>
      </c>
      <c r="F1353">
        <v>49.208072661999999</v>
      </c>
      <c r="G1353">
        <v>1345.6165771000001</v>
      </c>
      <c r="H1353">
        <v>1341.4259033000001</v>
      </c>
      <c r="I1353">
        <v>1322.6907959</v>
      </c>
      <c r="J1353">
        <v>1318.9973144999999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740.24140899999998</v>
      </c>
      <c r="B1354" s="1">
        <f>DATE(2012,5,10) + TIME(5,47,37)</f>
        <v>41039.241400462961</v>
      </c>
      <c r="C1354">
        <v>80</v>
      </c>
      <c r="D1354">
        <v>79.967231749999996</v>
      </c>
      <c r="E1354">
        <v>50</v>
      </c>
      <c r="F1354">
        <v>49.191604613999999</v>
      </c>
      <c r="G1354">
        <v>1345.6035156</v>
      </c>
      <c r="H1354">
        <v>1341.4187012</v>
      </c>
      <c r="I1354">
        <v>1322.6892089999999</v>
      </c>
      <c r="J1354">
        <v>1318.9953613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740.48526400000003</v>
      </c>
      <c r="B1355" s="1">
        <f>DATE(2012,5,10) + TIME(11,38,46)</f>
        <v>41039.485254629632</v>
      </c>
      <c r="C1355">
        <v>80</v>
      </c>
      <c r="D1355">
        <v>79.967201232999997</v>
      </c>
      <c r="E1355">
        <v>50</v>
      </c>
      <c r="F1355">
        <v>49.174846649000003</v>
      </c>
      <c r="G1355">
        <v>1345.5904541</v>
      </c>
      <c r="H1355">
        <v>1341.411499</v>
      </c>
      <c r="I1355">
        <v>1322.6875</v>
      </c>
      <c r="J1355">
        <v>1318.9932861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740.73558200000002</v>
      </c>
      <c r="B1356" s="1">
        <f>DATE(2012,5,10) + TIME(17,39,14)</f>
        <v>41039.735578703701</v>
      </c>
      <c r="C1356">
        <v>80</v>
      </c>
      <c r="D1356">
        <v>79.967163085999999</v>
      </c>
      <c r="E1356">
        <v>50</v>
      </c>
      <c r="F1356">
        <v>49.157760619999998</v>
      </c>
      <c r="G1356">
        <v>1345.5772704999999</v>
      </c>
      <c r="H1356">
        <v>1341.4042969</v>
      </c>
      <c r="I1356">
        <v>1322.6859131000001</v>
      </c>
      <c r="J1356">
        <v>1318.9912108999999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740.99309400000004</v>
      </c>
      <c r="B1357" s="1">
        <f>DATE(2012,5,10) + TIME(23,50,3)</f>
        <v>41039.993090277778</v>
      </c>
      <c r="C1357">
        <v>80</v>
      </c>
      <c r="D1357">
        <v>79.967124939000001</v>
      </c>
      <c r="E1357">
        <v>50</v>
      </c>
      <c r="F1357">
        <v>49.14030838</v>
      </c>
      <c r="G1357">
        <v>1345.5638428</v>
      </c>
      <c r="H1357">
        <v>1341.3970947</v>
      </c>
      <c r="I1357">
        <v>1322.684082</v>
      </c>
      <c r="J1357">
        <v>1318.9890137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741.25861799999996</v>
      </c>
      <c r="B1358" s="1">
        <f>DATE(2012,5,11) + TIME(6,12,24)</f>
        <v>41040.258611111109</v>
      </c>
      <c r="C1358">
        <v>80</v>
      </c>
      <c r="D1358">
        <v>79.967094420999999</v>
      </c>
      <c r="E1358">
        <v>50</v>
      </c>
      <c r="F1358">
        <v>49.122447968000003</v>
      </c>
      <c r="G1358">
        <v>1345.5504149999999</v>
      </c>
      <c r="H1358">
        <v>1341.3897704999999</v>
      </c>
      <c r="I1358">
        <v>1322.6823730000001</v>
      </c>
      <c r="J1358">
        <v>1318.9868164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741.53094699999997</v>
      </c>
      <c r="B1359" s="1">
        <f>DATE(2012,5,11) + TIME(12,44,33)</f>
        <v>41040.5309375</v>
      </c>
      <c r="C1359">
        <v>80</v>
      </c>
      <c r="D1359">
        <v>79.967056274000001</v>
      </c>
      <c r="E1359">
        <v>50</v>
      </c>
      <c r="F1359">
        <v>49.104228972999998</v>
      </c>
      <c r="G1359">
        <v>1345.5367432</v>
      </c>
      <c r="H1359">
        <v>1341.3824463000001</v>
      </c>
      <c r="I1359">
        <v>1322.6805420000001</v>
      </c>
      <c r="J1359">
        <v>1318.9844971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741.80833500000006</v>
      </c>
      <c r="B1360" s="1">
        <f>DATE(2012,5,11) + TIME(19,24,0)</f>
        <v>41040.808333333334</v>
      </c>
      <c r="C1360">
        <v>80</v>
      </c>
      <c r="D1360">
        <v>79.967010497999993</v>
      </c>
      <c r="E1360">
        <v>50</v>
      </c>
      <c r="F1360">
        <v>49.085746765000003</v>
      </c>
      <c r="G1360">
        <v>1345.5230713000001</v>
      </c>
      <c r="H1360">
        <v>1341.375</v>
      </c>
      <c r="I1360">
        <v>1322.6785889</v>
      </c>
      <c r="J1360">
        <v>1318.9820557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742.09081100000003</v>
      </c>
      <c r="B1361" s="1">
        <f>DATE(2012,5,12) + TIME(2,10,46)</f>
        <v>41041.090810185182</v>
      </c>
      <c r="C1361">
        <v>80</v>
      </c>
      <c r="D1361">
        <v>79.966972350999995</v>
      </c>
      <c r="E1361">
        <v>50</v>
      </c>
      <c r="F1361">
        <v>49.067008971999996</v>
      </c>
      <c r="G1361">
        <v>1345.5092772999999</v>
      </c>
      <c r="H1361">
        <v>1341.3676757999999</v>
      </c>
      <c r="I1361">
        <v>1322.6766356999999</v>
      </c>
      <c r="J1361">
        <v>1318.9796143000001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742.37768700000004</v>
      </c>
      <c r="B1362" s="1">
        <f>DATE(2012,5,12) + TIME(9,3,52)</f>
        <v>41041.377685185187</v>
      </c>
      <c r="C1362">
        <v>80</v>
      </c>
      <c r="D1362">
        <v>79.966934203999998</v>
      </c>
      <c r="E1362">
        <v>50</v>
      </c>
      <c r="F1362">
        <v>49.048053740999997</v>
      </c>
      <c r="G1362">
        <v>1345.4956055</v>
      </c>
      <c r="H1362">
        <v>1341.3603516000001</v>
      </c>
      <c r="I1362">
        <v>1322.6746826000001</v>
      </c>
      <c r="J1362">
        <v>1318.9771728999999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742.66950999999995</v>
      </c>
      <c r="B1363" s="1">
        <f>DATE(2012,5,12) + TIME(16,4,5)</f>
        <v>41041.669502314813</v>
      </c>
      <c r="C1363">
        <v>80</v>
      </c>
      <c r="D1363">
        <v>79.966888428000004</v>
      </c>
      <c r="E1363">
        <v>50</v>
      </c>
      <c r="F1363">
        <v>49.028861999999997</v>
      </c>
      <c r="G1363">
        <v>1345.4819336</v>
      </c>
      <c r="H1363">
        <v>1341.3530272999999</v>
      </c>
      <c r="I1363">
        <v>1322.6726074000001</v>
      </c>
      <c r="J1363">
        <v>1318.9746094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742.96675200000004</v>
      </c>
      <c r="B1364" s="1">
        <f>DATE(2012,5,12) + TIME(23,12,7)</f>
        <v>41041.966747685183</v>
      </c>
      <c r="C1364">
        <v>80</v>
      </c>
      <c r="D1364">
        <v>79.966850281000006</v>
      </c>
      <c r="E1364">
        <v>50</v>
      </c>
      <c r="F1364">
        <v>49.009418488000001</v>
      </c>
      <c r="G1364">
        <v>1345.4682617000001</v>
      </c>
      <c r="H1364">
        <v>1341.3457031</v>
      </c>
      <c r="I1364">
        <v>1322.6705322</v>
      </c>
      <c r="J1364">
        <v>1318.9719238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743.27000699999996</v>
      </c>
      <c r="B1365" s="1">
        <f>DATE(2012,5,13) + TIME(6,28,48)</f>
        <v>41042.269999999997</v>
      </c>
      <c r="C1365">
        <v>80</v>
      </c>
      <c r="D1365">
        <v>79.966804503999995</v>
      </c>
      <c r="E1365">
        <v>50</v>
      </c>
      <c r="F1365">
        <v>48.989700317</v>
      </c>
      <c r="G1365">
        <v>1345.4545897999999</v>
      </c>
      <c r="H1365">
        <v>1341.338501</v>
      </c>
      <c r="I1365">
        <v>1322.668457</v>
      </c>
      <c r="J1365">
        <v>1318.9692382999999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743.57991600000003</v>
      </c>
      <c r="B1366" s="1">
        <f>DATE(2012,5,13) + TIME(13,55,4)</f>
        <v>41042.579907407409</v>
      </c>
      <c r="C1366">
        <v>80</v>
      </c>
      <c r="D1366">
        <v>79.966766356999997</v>
      </c>
      <c r="E1366">
        <v>50</v>
      </c>
      <c r="F1366">
        <v>48.969676970999998</v>
      </c>
      <c r="G1366">
        <v>1345.440918</v>
      </c>
      <c r="H1366">
        <v>1341.3311768000001</v>
      </c>
      <c r="I1366">
        <v>1322.6662598</v>
      </c>
      <c r="J1366">
        <v>1318.9664307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743.89794099999995</v>
      </c>
      <c r="B1367" s="1">
        <f>DATE(2012,5,13) + TIME(21,33,2)</f>
        <v>41042.897939814815</v>
      </c>
      <c r="C1367">
        <v>80</v>
      </c>
      <c r="D1367">
        <v>79.966720581000004</v>
      </c>
      <c r="E1367">
        <v>50</v>
      </c>
      <c r="F1367">
        <v>48.949283600000001</v>
      </c>
      <c r="G1367">
        <v>1345.4272461</v>
      </c>
      <c r="H1367">
        <v>1341.3239745999999</v>
      </c>
      <c r="I1367">
        <v>1322.6639404</v>
      </c>
      <c r="J1367">
        <v>1318.9636230000001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744.22332100000006</v>
      </c>
      <c r="B1368" s="1">
        <f>DATE(2012,5,14) + TIME(5,21,34)</f>
        <v>41043.223310185182</v>
      </c>
      <c r="C1368">
        <v>80</v>
      </c>
      <c r="D1368">
        <v>79.966674804999997</v>
      </c>
      <c r="E1368">
        <v>50</v>
      </c>
      <c r="F1368">
        <v>48.928546906000001</v>
      </c>
      <c r="G1368">
        <v>1345.4133300999999</v>
      </c>
      <c r="H1368">
        <v>1341.3166504000001</v>
      </c>
      <c r="I1368">
        <v>1322.6616211</v>
      </c>
      <c r="J1368">
        <v>1318.9606934000001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744.55029300000001</v>
      </c>
      <c r="B1369" s="1">
        <f>DATE(2012,5,14) + TIME(13,12,25)</f>
        <v>41043.55028935185</v>
      </c>
      <c r="C1369">
        <v>80</v>
      </c>
      <c r="D1369">
        <v>79.966629028</v>
      </c>
      <c r="E1369">
        <v>50</v>
      </c>
      <c r="F1369">
        <v>48.907730102999999</v>
      </c>
      <c r="G1369">
        <v>1345.3995361</v>
      </c>
      <c r="H1369">
        <v>1341.3094481999999</v>
      </c>
      <c r="I1369">
        <v>1322.6593018000001</v>
      </c>
      <c r="J1369">
        <v>1318.9576416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744.87953900000002</v>
      </c>
      <c r="B1370" s="1">
        <f>DATE(2012,5,14) + TIME(21,6,32)</f>
        <v>41043.879537037035</v>
      </c>
      <c r="C1370">
        <v>80</v>
      </c>
      <c r="D1370">
        <v>79.966590881000002</v>
      </c>
      <c r="E1370">
        <v>50</v>
      </c>
      <c r="F1370">
        <v>48.886837006</v>
      </c>
      <c r="G1370">
        <v>1345.3858643000001</v>
      </c>
      <c r="H1370">
        <v>1341.3022461</v>
      </c>
      <c r="I1370">
        <v>1322.6568603999999</v>
      </c>
      <c r="J1370">
        <v>1318.9545897999999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745.21171400000003</v>
      </c>
      <c r="B1371" s="1">
        <f>DATE(2012,5,15) + TIME(5,4,52)</f>
        <v>41044.211712962962</v>
      </c>
      <c r="C1371">
        <v>80</v>
      </c>
      <c r="D1371">
        <v>79.966545104999994</v>
      </c>
      <c r="E1371">
        <v>50</v>
      </c>
      <c r="F1371">
        <v>48.865848540999998</v>
      </c>
      <c r="G1371">
        <v>1345.3723144999999</v>
      </c>
      <c r="H1371">
        <v>1341.2951660000001</v>
      </c>
      <c r="I1371">
        <v>1322.6544189000001</v>
      </c>
      <c r="J1371">
        <v>1318.9515381000001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745.54752900000005</v>
      </c>
      <c r="B1372" s="1">
        <f>DATE(2012,5,15) + TIME(13,8,26)</f>
        <v>41044.547523148147</v>
      </c>
      <c r="C1372">
        <v>80</v>
      </c>
      <c r="D1372">
        <v>79.966499329000001</v>
      </c>
      <c r="E1372">
        <v>50</v>
      </c>
      <c r="F1372">
        <v>48.844745635999999</v>
      </c>
      <c r="G1372">
        <v>1345.3588867000001</v>
      </c>
      <c r="H1372">
        <v>1341.2880858999999</v>
      </c>
      <c r="I1372">
        <v>1322.6519774999999</v>
      </c>
      <c r="J1372">
        <v>1318.9483643000001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745.88836400000002</v>
      </c>
      <c r="B1373" s="1">
        <f>DATE(2012,5,15) + TIME(21,19,14)</f>
        <v>41044.888356481482</v>
      </c>
      <c r="C1373">
        <v>80</v>
      </c>
      <c r="D1373">
        <v>79.966461182000003</v>
      </c>
      <c r="E1373">
        <v>50</v>
      </c>
      <c r="F1373">
        <v>48.823471069</v>
      </c>
      <c r="G1373">
        <v>1345.3455810999999</v>
      </c>
      <c r="H1373">
        <v>1341.2811279</v>
      </c>
      <c r="I1373">
        <v>1322.6494141000001</v>
      </c>
      <c r="J1373">
        <v>1318.9450684000001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746.235187</v>
      </c>
      <c r="B1374" s="1">
        <f>DATE(2012,5,16) + TIME(5,38,40)</f>
        <v>41045.235185185185</v>
      </c>
      <c r="C1374">
        <v>80</v>
      </c>
      <c r="D1374">
        <v>79.966415405000006</v>
      </c>
      <c r="E1374">
        <v>50</v>
      </c>
      <c r="F1374">
        <v>48.801979064999998</v>
      </c>
      <c r="G1374">
        <v>1345.3323975000001</v>
      </c>
      <c r="H1374">
        <v>1341.2741699000001</v>
      </c>
      <c r="I1374">
        <v>1322.6468506000001</v>
      </c>
      <c r="J1374">
        <v>1318.9417725000001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746.58886199999995</v>
      </c>
      <c r="B1375" s="1">
        <f>DATE(2012,5,16) + TIME(14,7,57)</f>
        <v>41045.588854166665</v>
      </c>
      <c r="C1375">
        <v>80</v>
      </c>
      <c r="D1375">
        <v>79.966369628999999</v>
      </c>
      <c r="E1375">
        <v>50</v>
      </c>
      <c r="F1375">
        <v>48.780227660999998</v>
      </c>
      <c r="G1375">
        <v>1345.3190918</v>
      </c>
      <c r="H1375">
        <v>1341.2673339999999</v>
      </c>
      <c r="I1375">
        <v>1322.6441649999999</v>
      </c>
      <c r="J1375">
        <v>1318.9383545000001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746.94973000000005</v>
      </c>
      <c r="B1376" s="1">
        <f>DATE(2012,5,16) + TIME(22,47,36)</f>
        <v>41045.94972222222</v>
      </c>
      <c r="C1376">
        <v>80</v>
      </c>
      <c r="D1376">
        <v>79.966331482000001</v>
      </c>
      <c r="E1376">
        <v>50</v>
      </c>
      <c r="F1376">
        <v>48.758197783999996</v>
      </c>
      <c r="G1376">
        <v>1345.3057861</v>
      </c>
      <c r="H1376">
        <v>1341.260376</v>
      </c>
      <c r="I1376">
        <v>1322.6413574000001</v>
      </c>
      <c r="J1376">
        <v>1318.9349365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747.31798300000003</v>
      </c>
      <c r="B1377" s="1">
        <f>DATE(2012,5,17) + TIME(7,37,53)</f>
        <v>41046.317974537036</v>
      </c>
      <c r="C1377">
        <v>80</v>
      </c>
      <c r="D1377">
        <v>79.966285705999994</v>
      </c>
      <c r="E1377">
        <v>50</v>
      </c>
      <c r="F1377">
        <v>48.735877991000002</v>
      </c>
      <c r="G1377">
        <v>1345.2924805</v>
      </c>
      <c r="H1377">
        <v>1341.253418</v>
      </c>
      <c r="I1377">
        <v>1322.6385498</v>
      </c>
      <c r="J1377">
        <v>1318.9312743999999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747.69462799999997</v>
      </c>
      <c r="B1378" s="1">
        <f>DATE(2012,5,17) + TIME(16,40,15)</f>
        <v>41046.694618055553</v>
      </c>
      <c r="C1378">
        <v>80</v>
      </c>
      <c r="D1378">
        <v>79.966239928999997</v>
      </c>
      <c r="E1378">
        <v>50</v>
      </c>
      <c r="F1378">
        <v>48.713222504000001</v>
      </c>
      <c r="G1378">
        <v>1345.2791748</v>
      </c>
      <c r="H1378">
        <v>1341.2464600000001</v>
      </c>
      <c r="I1378">
        <v>1322.6357422000001</v>
      </c>
      <c r="J1378">
        <v>1318.9276123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748.08071900000004</v>
      </c>
      <c r="B1379" s="1">
        <f>DATE(2012,5,18) + TIME(1,56,14)</f>
        <v>41047.080717592595</v>
      </c>
      <c r="C1379">
        <v>80</v>
      </c>
      <c r="D1379">
        <v>79.966194153000004</v>
      </c>
      <c r="E1379">
        <v>50</v>
      </c>
      <c r="F1379">
        <v>48.690185546999999</v>
      </c>
      <c r="G1379">
        <v>1345.2657471</v>
      </c>
      <c r="H1379">
        <v>1341.2395019999999</v>
      </c>
      <c r="I1379">
        <v>1322.6328125</v>
      </c>
      <c r="J1379">
        <v>1318.9238281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748.47742800000003</v>
      </c>
      <c r="B1380" s="1">
        <f>DATE(2012,5,18) + TIME(11,27,29)</f>
        <v>41047.477418981478</v>
      </c>
      <c r="C1380">
        <v>80</v>
      </c>
      <c r="D1380">
        <v>79.966156006000006</v>
      </c>
      <c r="E1380">
        <v>50</v>
      </c>
      <c r="F1380">
        <v>48.666709900000001</v>
      </c>
      <c r="G1380">
        <v>1345.2521973</v>
      </c>
      <c r="H1380">
        <v>1341.2325439000001</v>
      </c>
      <c r="I1380">
        <v>1322.6296387</v>
      </c>
      <c r="J1380">
        <v>1318.9199219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748.88500999999997</v>
      </c>
      <c r="B1381" s="1">
        <f>DATE(2012,5,18) + TIME(21,14,24)</f>
        <v>41047.885000000002</v>
      </c>
      <c r="C1381">
        <v>80</v>
      </c>
      <c r="D1381">
        <v>79.966110228999995</v>
      </c>
      <c r="E1381">
        <v>50</v>
      </c>
      <c r="F1381">
        <v>48.642780303999999</v>
      </c>
      <c r="G1381">
        <v>1345.2385254000001</v>
      </c>
      <c r="H1381">
        <v>1341.2254639</v>
      </c>
      <c r="I1381">
        <v>1322.6264647999999</v>
      </c>
      <c r="J1381">
        <v>1318.9157714999999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749.29537900000003</v>
      </c>
      <c r="B1382" s="1">
        <f>DATE(2012,5,19) + TIME(7,5,20)</f>
        <v>41048.295370370368</v>
      </c>
      <c r="C1382">
        <v>80</v>
      </c>
      <c r="D1382">
        <v>79.966064453000001</v>
      </c>
      <c r="E1382">
        <v>50</v>
      </c>
      <c r="F1382">
        <v>48.618709564</v>
      </c>
      <c r="G1382">
        <v>1345.2248535000001</v>
      </c>
      <c r="H1382">
        <v>1341.2183838000001</v>
      </c>
      <c r="I1382">
        <v>1322.6231689000001</v>
      </c>
      <c r="J1382">
        <v>1318.911499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749.70933400000001</v>
      </c>
      <c r="B1383" s="1">
        <f>DATE(2012,5,19) + TIME(17,1,26)</f>
        <v>41048.709328703706</v>
      </c>
      <c r="C1383">
        <v>80</v>
      </c>
      <c r="D1383">
        <v>79.966018676999994</v>
      </c>
      <c r="E1383">
        <v>50</v>
      </c>
      <c r="F1383">
        <v>48.594509125000002</v>
      </c>
      <c r="G1383">
        <v>1345.2111815999999</v>
      </c>
      <c r="H1383">
        <v>1341.2114257999999</v>
      </c>
      <c r="I1383">
        <v>1322.6198730000001</v>
      </c>
      <c r="J1383">
        <v>1318.9072266000001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750.12763800000005</v>
      </c>
      <c r="B1384" s="1">
        <f>DATE(2012,5,20) + TIME(3,3,47)</f>
        <v>41049.127627314818</v>
      </c>
      <c r="C1384">
        <v>80</v>
      </c>
      <c r="D1384">
        <v>79.965972899999997</v>
      </c>
      <c r="E1384">
        <v>50</v>
      </c>
      <c r="F1384">
        <v>48.570178986000002</v>
      </c>
      <c r="G1384">
        <v>1345.1976318</v>
      </c>
      <c r="H1384">
        <v>1341.2044678</v>
      </c>
      <c r="I1384">
        <v>1322.6164550999999</v>
      </c>
      <c r="J1384">
        <v>1318.902832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750.55107299999997</v>
      </c>
      <c r="B1385" s="1">
        <f>DATE(2012,5,20) + TIME(13,13,32)</f>
        <v>41049.551064814812</v>
      </c>
      <c r="C1385">
        <v>80</v>
      </c>
      <c r="D1385">
        <v>79.965927124000004</v>
      </c>
      <c r="E1385">
        <v>50</v>
      </c>
      <c r="F1385">
        <v>48.545703887999998</v>
      </c>
      <c r="G1385">
        <v>1345.1843262</v>
      </c>
      <c r="H1385">
        <v>1341.1975098</v>
      </c>
      <c r="I1385">
        <v>1322.6129149999999</v>
      </c>
      <c r="J1385">
        <v>1318.8983154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750.98058700000001</v>
      </c>
      <c r="B1386" s="1">
        <f>DATE(2012,5,20) + TIME(23,32,2)</f>
        <v>41049.980578703704</v>
      </c>
      <c r="C1386">
        <v>80</v>
      </c>
      <c r="D1386">
        <v>79.965888977000006</v>
      </c>
      <c r="E1386">
        <v>50</v>
      </c>
      <c r="F1386">
        <v>48.521053314</v>
      </c>
      <c r="G1386">
        <v>1345.1708983999999</v>
      </c>
      <c r="H1386">
        <v>1341.1906738</v>
      </c>
      <c r="I1386">
        <v>1322.609375</v>
      </c>
      <c r="J1386">
        <v>1318.8936768000001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751.418047</v>
      </c>
      <c r="B1387" s="1">
        <f>DATE(2012,5,21) + TIME(10,1,59)</f>
        <v>41050.418043981481</v>
      </c>
      <c r="C1387">
        <v>80</v>
      </c>
      <c r="D1387">
        <v>79.965843200999998</v>
      </c>
      <c r="E1387">
        <v>50</v>
      </c>
      <c r="F1387">
        <v>48.496154785000002</v>
      </c>
      <c r="G1387">
        <v>1345.1575928</v>
      </c>
      <c r="H1387">
        <v>1341.1838379000001</v>
      </c>
      <c r="I1387">
        <v>1322.6058350000001</v>
      </c>
      <c r="J1387">
        <v>1318.8889160000001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751.86499600000002</v>
      </c>
      <c r="B1388" s="1">
        <f>DATE(2012,5,21) + TIME(20,45,35)</f>
        <v>41050.864988425928</v>
      </c>
      <c r="C1388">
        <v>80</v>
      </c>
      <c r="D1388">
        <v>79.965797424000002</v>
      </c>
      <c r="E1388">
        <v>50</v>
      </c>
      <c r="F1388">
        <v>48.470943450999997</v>
      </c>
      <c r="G1388">
        <v>1345.1442870999999</v>
      </c>
      <c r="H1388">
        <v>1341.1770019999999</v>
      </c>
      <c r="I1388">
        <v>1322.6020507999999</v>
      </c>
      <c r="J1388">
        <v>1318.8840332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752.31797400000005</v>
      </c>
      <c r="B1389" s="1">
        <f>DATE(2012,5,22) + TIME(7,37,52)</f>
        <v>41051.317962962959</v>
      </c>
      <c r="C1389">
        <v>80</v>
      </c>
      <c r="D1389">
        <v>79.965751647999994</v>
      </c>
      <c r="E1389">
        <v>50</v>
      </c>
      <c r="F1389">
        <v>48.445533752000003</v>
      </c>
      <c r="G1389">
        <v>1345.1309814000001</v>
      </c>
      <c r="H1389">
        <v>1341.1701660000001</v>
      </c>
      <c r="I1389">
        <v>1322.5981445</v>
      </c>
      <c r="J1389">
        <v>1318.8790283000001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752.77316499999995</v>
      </c>
      <c r="B1390" s="1">
        <f>DATE(2012,5,22) + TIME(18,33,21)</f>
        <v>41051.773159722223</v>
      </c>
      <c r="C1390">
        <v>80</v>
      </c>
      <c r="D1390">
        <v>79.965713500999996</v>
      </c>
      <c r="E1390">
        <v>50</v>
      </c>
      <c r="F1390">
        <v>48.420082092000001</v>
      </c>
      <c r="G1390">
        <v>1345.1176757999999</v>
      </c>
      <c r="H1390">
        <v>1341.1633300999999</v>
      </c>
      <c r="I1390">
        <v>1322.5942382999999</v>
      </c>
      <c r="J1390">
        <v>1318.8739014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753.23153600000001</v>
      </c>
      <c r="B1391" s="1">
        <f>DATE(2012,5,23) + TIME(5,33,24)</f>
        <v>41052.231527777774</v>
      </c>
      <c r="C1391">
        <v>80</v>
      </c>
      <c r="D1391">
        <v>79.965667725000003</v>
      </c>
      <c r="E1391">
        <v>50</v>
      </c>
      <c r="F1391">
        <v>48.394580841</v>
      </c>
      <c r="G1391">
        <v>1345.1044922000001</v>
      </c>
      <c r="H1391">
        <v>1341.1566161999999</v>
      </c>
      <c r="I1391">
        <v>1322.5902100000001</v>
      </c>
      <c r="J1391">
        <v>1318.8686522999999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753.69490699999994</v>
      </c>
      <c r="B1392" s="1">
        <f>DATE(2012,5,23) + TIME(16,40,39)</f>
        <v>41052.694895833331</v>
      </c>
      <c r="C1392">
        <v>80</v>
      </c>
      <c r="D1392">
        <v>79.965621948000006</v>
      </c>
      <c r="E1392">
        <v>50</v>
      </c>
      <c r="F1392">
        <v>48.368984222000002</v>
      </c>
      <c r="G1392">
        <v>1345.0914307</v>
      </c>
      <c r="H1392">
        <v>1341.1499022999999</v>
      </c>
      <c r="I1392">
        <v>1322.5861815999999</v>
      </c>
      <c r="J1392">
        <v>1318.8632812000001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754.16522699999996</v>
      </c>
      <c r="B1393" s="1">
        <f>DATE(2012,5,24) + TIME(3,57,55)</f>
        <v>41053.165219907409</v>
      </c>
      <c r="C1393">
        <v>80</v>
      </c>
      <c r="D1393">
        <v>79.965583800999994</v>
      </c>
      <c r="E1393">
        <v>50</v>
      </c>
      <c r="F1393">
        <v>48.343231201000002</v>
      </c>
      <c r="G1393">
        <v>1345.0784911999999</v>
      </c>
      <c r="H1393">
        <v>1341.1433105000001</v>
      </c>
      <c r="I1393">
        <v>1322.5820312000001</v>
      </c>
      <c r="J1393">
        <v>1318.8577881000001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754.64371000000006</v>
      </c>
      <c r="B1394" s="1">
        <f>DATE(2012,5,24) + TIME(15,26,56)</f>
        <v>41053.643703703703</v>
      </c>
      <c r="C1394">
        <v>80</v>
      </c>
      <c r="D1394">
        <v>79.965538025000001</v>
      </c>
      <c r="E1394">
        <v>50</v>
      </c>
      <c r="F1394">
        <v>48.317256927000003</v>
      </c>
      <c r="G1394">
        <v>1345.0654297000001</v>
      </c>
      <c r="H1394">
        <v>1341.1367187999999</v>
      </c>
      <c r="I1394">
        <v>1322.5776367000001</v>
      </c>
      <c r="J1394">
        <v>1318.8521728999999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755.13155400000005</v>
      </c>
      <c r="B1395" s="1">
        <f>DATE(2012,5,25) + TIME(3,9,26)</f>
        <v>41054.131550925929</v>
      </c>
      <c r="C1395">
        <v>80</v>
      </c>
      <c r="D1395">
        <v>79.965499878000003</v>
      </c>
      <c r="E1395">
        <v>50</v>
      </c>
      <c r="F1395">
        <v>48.291019439999999</v>
      </c>
      <c r="G1395">
        <v>1345.0524902</v>
      </c>
      <c r="H1395">
        <v>1341.1300048999999</v>
      </c>
      <c r="I1395">
        <v>1322.5732422000001</v>
      </c>
      <c r="J1395">
        <v>1318.8463135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755.63021900000001</v>
      </c>
      <c r="B1396" s="1">
        <f>DATE(2012,5,25) + TIME(15,7,30)</f>
        <v>41054.630208333336</v>
      </c>
      <c r="C1396">
        <v>80</v>
      </c>
      <c r="D1396">
        <v>79.965454101999995</v>
      </c>
      <c r="E1396">
        <v>50</v>
      </c>
      <c r="F1396">
        <v>48.264446259000003</v>
      </c>
      <c r="G1396">
        <v>1345.0395507999999</v>
      </c>
      <c r="H1396">
        <v>1341.1232910000001</v>
      </c>
      <c r="I1396">
        <v>1322.5687256000001</v>
      </c>
      <c r="J1396">
        <v>1318.840332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756.14125000000001</v>
      </c>
      <c r="B1397" s="1">
        <f>DATE(2012,5,26) + TIME(3,23,24)</f>
        <v>41055.141250000001</v>
      </c>
      <c r="C1397">
        <v>80</v>
      </c>
      <c r="D1397">
        <v>79.965415954999997</v>
      </c>
      <c r="E1397">
        <v>50</v>
      </c>
      <c r="F1397">
        <v>48.237480163999997</v>
      </c>
      <c r="G1397">
        <v>1345.0263672000001</v>
      </c>
      <c r="H1397">
        <v>1341.1166992000001</v>
      </c>
      <c r="I1397">
        <v>1322.5640868999999</v>
      </c>
      <c r="J1397">
        <v>1318.8341064000001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756.66633200000001</v>
      </c>
      <c r="B1398" s="1">
        <f>DATE(2012,5,26) + TIME(15,59,31)</f>
        <v>41055.666331018518</v>
      </c>
      <c r="C1398">
        <v>80</v>
      </c>
      <c r="D1398">
        <v>79.965370178000001</v>
      </c>
      <c r="E1398">
        <v>50</v>
      </c>
      <c r="F1398">
        <v>48.210044861</v>
      </c>
      <c r="G1398">
        <v>1345.0131836</v>
      </c>
      <c r="H1398">
        <v>1341.1098632999999</v>
      </c>
      <c r="I1398">
        <v>1322.5592041</v>
      </c>
      <c r="J1398">
        <v>1318.8276367000001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757.20734500000003</v>
      </c>
      <c r="B1399" s="1">
        <f>DATE(2012,5,27) + TIME(4,58,34)</f>
        <v>41056.207337962966</v>
      </c>
      <c r="C1399">
        <v>80</v>
      </c>
      <c r="D1399">
        <v>79.965332031000003</v>
      </c>
      <c r="E1399">
        <v>50</v>
      </c>
      <c r="F1399">
        <v>48.182064056000002</v>
      </c>
      <c r="G1399">
        <v>1344.9998779</v>
      </c>
      <c r="H1399">
        <v>1341.1030272999999</v>
      </c>
      <c r="I1399">
        <v>1322.5541992000001</v>
      </c>
      <c r="J1399">
        <v>1318.8209228999999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757.76640699999996</v>
      </c>
      <c r="B1400" s="1">
        <f>DATE(2012,5,27) + TIME(18,23,37)</f>
        <v>41056.766400462962</v>
      </c>
      <c r="C1400">
        <v>80</v>
      </c>
      <c r="D1400">
        <v>79.965286254999995</v>
      </c>
      <c r="E1400">
        <v>50</v>
      </c>
      <c r="F1400">
        <v>48.153450012</v>
      </c>
      <c r="G1400">
        <v>1344.9863281</v>
      </c>
      <c r="H1400">
        <v>1341.0960693</v>
      </c>
      <c r="I1400">
        <v>1322.5489502</v>
      </c>
      <c r="J1400">
        <v>1318.8139647999999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758.33976700000005</v>
      </c>
      <c r="B1401" s="1">
        <f>DATE(2012,5,28) + TIME(8,9,15)</f>
        <v>41057.339756944442</v>
      </c>
      <c r="C1401">
        <v>80</v>
      </c>
      <c r="D1401">
        <v>79.965240479000002</v>
      </c>
      <c r="E1401">
        <v>50</v>
      </c>
      <c r="F1401">
        <v>48.124298095999997</v>
      </c>
      <c r="G1401">
        <v>1344.9726562000001</v>
      </c>
      <c r="H1401">
        <v>1341.0891113</v>
      </c>
      <c r="I1401">
        <v>1322.543457</v>
      </c>
      <c r="J1401">
        <v>1318.8066406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758.91384800000003</v>
      </c>
      <c r="B1402" s="1">
        <f>DATE(2012,5,28) + TIME(21,55,56)</f>
        <v>41057.913842592592</v>
      </c>
      <c r="C1402">
        <v>80</v>
      </c>
      <c r="D1402">
        <v>79.965194702000005</v>
      </c>
      <c r="E1402">
        <v>50</v>
      </c>
      <c r="F1402">
        <v>48.095031738000003</v>
      </c>
      <c r="G1402">
        <v>1344.9587402</v>
      </c>
      <c r="H1402">
        <v>1341.0820312000001</v>
      </c>
      <c r="I1402">
        <v>1322.5378418</v>
      </c>
      <c r="J1402">
        <v>1318.7990723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759.48980900000004</v>
      </c>
      <c r="B1403" s="1">
        <f>DATE(2012,5,29) + TIME(11,45,19)</f>
        <v>41058.489803240744</v>
      </c>
      <c r="C1403">
        <v>80</v>
      </c>
      <c r="D1403">
        <v>79.965156554999993</v>
      </c>
      <c r="E1403">
        <v>50</v>
      </c>
      <c r="F1403">
        <v>48.065742493000002</v>
      </c>
      <c r="G1403">
        <v>1344.9450684000001</v>
      </c>
      <c r="H1403">
        <v>1341.0749512</v>
      </c>
      <c r="I1403">
        <v>1322.5319824000001</v>
      </c>
      <c r="J1403">
        <v>1318.7912598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760.06882800000005</v>
      </c>
      <c r="B1404" s="1">
        <f>DATE(2012,5,30) + TIME(1,39,6)</f>
        <v>41059.068819444445</v>
      </c>
      <c r="C1404">
        <v>80</v>
      </c>
      <c r="D1404">
        <v>79.965110779</v>
      </c>
      <c r="E1404">
        <v>50</v>
      </c>
      <c r="F1404">
        <v>48.036460876</v>
      </c>
      <c r="G1404">
        <v>1344.9316406</v>
      </c>
      <c r="H1404">
        <v>1341.0681152</v>
      </c>
      <c r="I1404">
        <v>1322.5261230000001</v>
      </c>
      <c r="J1404">
        <v>1318.7833252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760.65209600000003</v>
      </c>
      <c r="B1405" s="1">
        <f>DATE(2012,5,30) + TIME(15,39,1)</f>
        <v>41059.652094907404</v>
      </c>
      <c r="C1405">
        <v>80</v>
      </c>
      <c r="D1405">
        <v>79.965072632000002</v>
      </c>
      <c r="E1405">
        <v>50</v>
      </c>
      <c r="F1405">
        <v>48.007179260000001</v>
      </c>
      <c r="G1405">
        <v>1344.9182129000001</v>
      </c>
      <c r="H1405">
        <v>1341.0612793</v>
      </c>
      <c r="I1405">
        <v>1322.5201416</v>
      </c>
      <c r="J1405">
        <v>1318.7752685999999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761.24080500000002</v>
      </c>
      <c r="B1406" s="1">
        <f>DATE(2012,5,31) + TIME(5,46,45)</f>
        <v>41060.240798611114</v>
      </c>
      <c r="C1406">
        <v>80</v>
      </c>
      <c r="D1406">
        <v>79.965026855000005</v>
      </c>
      <c r="E1406">
        <v>50</v>
      </c>
      <c r="F1406">
        <v>47.977870940999999</v>
      </c>
      <c r="G1406">
        <v>1344.9050293</v>
      </c>
      <c r="H1406">
        <v>1341.0544434000001</v>
      </c>
      <c r="I1406">
        <v>1322.5140381000001</v>
      </c>
      <c r="J1406">
        <v>1318.7670897999999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761.83616500000005</v>
      </c>
      <c r="B1407" s="1">
        <f>DATE(2012,5,31) + TIME(20,4,4)</f>
        <v>41060.836157407408</v>
      </c>
      <c r="C1407">
        <v>80</v>
      </c>
      <c r="D1407">
        <v>79.964988708000007</v>
      </c>
      <c r="E1407">
        <v>50</v>
      </c>
      <c r="F1407">
        <v>47.948493958</v>
      </c>
      <c r="G1407">
        <v>1344.8918457</v>
      </c>
      <c r="H1407">
        <v>1341.0477295000001</v>
      </c>
      <c r="I1407">
        <v>1322.5078125</v>
      </c>
      <c r="J1407">
        <v>1318.7585449000001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762</v>
      </c>
      <c r="B1408" s="1">
        <f>DATE(2012,6,1) + TIME(0,0,0)</f>
        <v>41061</v>
      </c>
      <c r="C1408">
        <v>80</v>
      </c>
      <c r="D1408">
        <v>79.964958190999994</v>
      </c>
      <c r="E1408">
        <v>50</v>
      </c>
      <c r="F1408">
        <v>47.936996460000003</v>
      </c>
      <c r="G1408">
        <v>1344.8812256000001</v>
      </c>
      <c r="H1408">
        <v>1341.0428466999999</v>
      </c>
      <c r="I1408">
        <v>1322.5021973</v>
      </c>
      <c r="J1408">
        <v>1318.7515868999999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762.60031100000003</v>
      </c>
      <c r="B1409" s="1">
        <f>DATE(2012,6,1) + TIME(14,24,26)</f>
        <v>41061.600300925929</v>
      </c>
      <c r="C1409">
        <v>80</v>
      </c>
      <c r="D1409">
        <v>79.964927673000005</v>
      </c>
      <c r="E1409">
        <v>50</v>
      </c>
      <c r="F1409">
        <v>47.909069060999997</v>
      </c>
      <c r="G1409">
        <v>1344.8747559000001</v>
      </c>
      <c r="H1409">
        <v>1341.0386963000001</v>
      </c>
      <c r="I1409">
        <v>1322.4995117000001</v>
      </c>
      <c r="J1409">
        <v>1318.7471923999999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763.21087299999999</v>
      </c>
      <c r="B1410" s="1">
        <f>DATE(2012,6,2) + TIME(5,3,39)</f>
        <v>41062.210868055554</v>
      </c>
      <c r="C1410">
        <v>80</v>
      </c>
      <c r="D1410">
        <v>79.964889525999993</v>
      </c>
      <c r="E1410">
        <v>50</v>
      </c>
      <c r="F1410">
        <v>47.880390167000002</v>
      </c>
      <c r="G1410">
        <v>1344.8621826000001</v>
      </c>
      <c r="H1410">
        <v>1341.0323486</v>
      </c>
      <c r="I1410">
        <v>1322.4930420000001</v>
      </c>
      <c r="J1410">
        <v>1318.7384033000001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763.83152600000005</v>
      </c>
      <c r="B1411" s="1">
        <f>DATE(2012,6,2) + TIME(19,57,23)</f>
        <v>41062.831516203703</v>
      </c>
      <c r="C1411">
        <v>80</v>
      </c>
      <c r="D1411">
        <v>79.964851378999995</v>
      </c>
      <c r="E1411">
        <v>50</v>
      </c>
      <c r="F1411">
        <v>47.851165770999998</v>
      </c>
      <c r="G1411">
        <v>1344.8493652</v>
      </c>
      <c r="H1411">
        <v>1341.0257568</v>
      </c>
      <c r="I1411">
        <v>1322.4863281</v>
      </c>
      <c r="J1411">
        <v>1318.7293701000001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764.46407399999998</v>
      </c>
      <c r="B1412" s="1">
        <f>DATE(2012,6,3) + TIME(11,8,16)</f>
        <v>41063.464074074072</v>
      </c>
      <c r="C1412">
        <v>80</v>
      </c>
      <c r="D1412">
        <v>79.964813231999997</v>
      </c>
      <c r="E1412">
        <v>50</v>
      </c>
      <c r="F1412">
        <v>47.821479797000002</v>
      </c>
      <c r="G1412">
        <v>1344.8364257999999</v>
      </c>
      <c r="H1412">
        <v>1341.019043</v>
      </c>
      <c r="I1412">
        <v>1322.4794922000001</v>
      </c>
      <c r="J1412">
        <v>1318.7198486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765.11042199999997</v>
      </c>
      <c r="B1413" s="1">
        <f>DATE(2012,6,4) + TIME(2,39,0)</f>
        <v>41064.11041666667</v>
      </c>
      <c r="C1413">
        <v>80</v>
      </c>
      <c r="D1413">
        <v>79.964775084999999</v>
      </c>
      <c r="E1413">
        <v>50</v>
      </c>
      <c r="F1413">
        <v>47.791336059999999</v>
      </c>
      <c r="G1413">
        <v>1344.8233643000001</v>
      </c>
      <c r="H1413">
        <v>1341.0123291</v>
      </c>
      <c r="I1413">
        <v>1322.4722899999999</v>
      </c>
      <c r="J1413">
        <v>1318.7100829999999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765.77270799999997</v>
      </c>
      <c r="B1414" s="1">
        <f>DATE(2012,6,4) + TIME(18,32,41)</f>
        <v>41064.772696759261</v>
      </c>
      <c r="C1414">
        <v>80</v>
      </c>
      <c r="D1414">
        <v>79.964736938000001</v>
      </c>
      <c r="E1414">
        <v>50</v>
      </c>
      <c r="F1414">
        <v>47.760711669999999</v>
      </c>
      <c r="G1414">
        <v>1344.8103027</v>
      </c>
      <c r="H1414">
        <v>1341.0054932</v>
      </c>
      <c r="I1414">
        <v>1322.4649658000001</v>
      </c>
      <c r="J1414">
        <v>1318.6999512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766.44918600000005</v>
      </c>
      <c r="B1415" s="1">
        <f>DATE(2012,6,5) + TIME(10,46,49)</f>
        <v>41065.449178240742</v>
      </c>
      <c r="C1415">
        <v>80</v>
      </c>
      <c r="D1415">
        <v>79.964698791999993</v>
      </c>
      <c r="E1415">
        <v>50</v>
      </c>
      <c r="F1415">
        <v>47.729644774999997</v>
      </c>
      <c r="G1415">
        <v>1344.7971190999999</v>
      </c>
      <c r="H1415">
        <v>1340.9986572</v>
      </c>
      <c r="I1415">
        <v>1322.4572754000001</v>
      </c>
      <c r="J1415">
        <v>1318.6894531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767.14068899999995</v>
      </c>
      <c r="B1416" s="1">
        <f>DATE(2012,6,6) + TIME(3,22,35)</f>
        <v>41066.140682870369</v>
      </c>
      <c r="C1416">
        <v>80</v>
      </c>
      <c r="D1416">
        <v>79.964660644999995</v>
      </c>
      <c r="E1416">
        <v>50</v>
      </c>
      <c r="F1416">
        <v>47.698143004999999</v>
      </c>
      <c r="G1416">
        <v>1344.7838135</v>
      </c>
      <c r="H1416">
        <v>1340.9916992000001</v>
      </c>
      <c r="I1416">
        <v>1322.4493408000001</v>
      </c>
      <c r="J1416">
        <v>1318.6784668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767.84951599999999</v>
      </c>
      <c r="B1417" s="1">
        <f>DATE(2012,6,6) + TIME(20,23,18)</f>
        <v>41066.84951388889</v>
      </c>
      <c r="C1417">
        <v>80</v>
      </c>
      <c r="D1417">
        <v>79.964614867999998</v>
      </c>
      <c r="E1417">
        <v>50</v>
      </c>
      <c r="F1417">
        <v>47.666160583</v>
      </c>
      <c r="G1417">
        <v>1344.7703856999999</v>
      </c>
      <c r="H1417">
        <v>1340.9847411999999</v>
      </c>
      <c r="I1417">
        <v>1322.4411620999999</v>
      </c>
      <c r="J1417">
        <v>1318.6672363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768.57820000000004</v>
      </c>
      <c r="B1418" s="1">
        <f>DATE(2012,6,7) + TIME(13,52,36)</f>
        <v>41067.578194444446</v>
      </c>
      <c r="C1418">
        <v>80</v>
      </c>
      <c r="D1418">
        <v>79.964576721</v>
      </c>
      <c r="E1418">
        <v>50</v>
      </c>
      <c r="F1418">
        <v>47.633625031000001</v>
      </c>
      <c r="G1418">
        <v>1344.7569579999999</v>
      </c>
      <c r="H1418">
        <v>1340.9777832</v>
      </c>
      <c r="I1418">
        <v>1322.4326172000001</v>
      </c>
      <c r="J1418">
        <v>1318.6553954999999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769.32957699999997</v>
      </c>
      <c r="B1419" s="1">
        <f>DATE(2012,6,8) + TIME(7,54,35)</f>
        <v>41068.329571759263</v>
      </c>
      <c r="C1419">
        <v>80</v>
      </c>
      <c r="D1419">
        <v>79.964538574000002</v>
      </c>
      <c r="E1419">
        <v>50</v>
      </c>
      <c r="F1419">
        <v>47.600448608000001</v>
      </c>
      <c r="G1419">
        <v>1344.7432861</v>
      </c>
      <c r="H1419">
        <v>1340.9705810999999</v>
      </c>
      <c r="I1419">
        <v>1322.4237060999999</v>
      </c>
      <c r="J1419">
        <v>1318.6430664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770.08657800000003</v>
      </c>
      <c r="B1420" s="1">
        <f>DATE(2012,6,9) + TIME(2,4,40)</f>
        <v>41069.086574074077</v>
      </c>
      <c r="C1420">
        <v>80</v>
      </c>
      <c r="D1420">
        <v>79.964500427000004</v>
      </c>
      <c r="E1420">
        <v>50</v>
      </c>
      <c r="F1420">
        <v>47.567001343000001</v>
      </c>
      <c r="G1420">
        <v>1344.7293701000001</v>
      </c>
      <c r="H1420">
        <v>1340.9633789</v>
      </c>
      <c r="I1420">
        <v>1322.4145507999999</v>
      </c>
      <c r="J1420">
        <v>1318.630249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770.84358699999996</v>
      </c>
      <c r="B1421" s="1">
        <f>DATE(2012,6,9) + TIME(20,14,45)</f>
        <v>41069.843576388892</v>
      </c>
      <c r="C1421">
        <v>80</v>
      </c>
      <c r="D1421">
        <v>79.964454650999997</v>
      </c>
      <c r="E1421">
        <v>50</v>
      </c>
      <c r="F1421">
        <v>47.533561706999997</v>
      </c>
      <c r="G1421">
        <v>1344.7155762</v>
      </c>
      <c r="H1421">
        <v>1340.9561768000001</v>
      </c>
      <c r="I1421">
        <v>1322.4050293</v>
      </c>
      <c r="J1421">
        <v>1318.6170654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771.60236499999996</v>
      </c>
      <c r="B1422" s="1">
        <f>DATE(2012,6,10) + TIME(14,27,24)</f>
        <v>41070.602361111109</v>
      </c>
      <c r="C1422">
        <v>80</v>
      </c>
      <c r="D1422">
        <v>79.964416503999999</v>
      </c>
      <c r="E1422">
        <v>50</v>
      </c>
      <c r="F1422">
        <v>47.500221252000003</v>
      </c>
      <c r="G1422">
        <v>1344.7020264</v>
      </c>
      <c r="H1422">
        <v>1340.9490966999999</v>
      </c>
      <c r="I1422">
        <v>1322.3955077999999</v>
      </c>
      <c r="J1422">
        <v>1318.6036377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772.36469</v>
      </c>
      <c r="B1423" s="1">
        <f>DATE(2012,6,11) + TIME(8,45,9)</f>
        <v>41071.364687499998</v>
      </c>
      <c r="C1423">
        <v>80</v>
      </c>
      <c r="D1423">
        <v>79.964378357000001</v>
      </c>
      <c r="E1423">
        <v>50</v>
      </c>
      <c r="F1423">
        <v>47.466995238999999</v>
      </c>
      <c r="G1423">
        <v>1344.6887207</v>
      </c>
      <c r="H1423">
        <v>1340.9420166</v>
      </c>
      <c r="I1423">
        <v>1322.3857422000001</v>
      </c>
      <c r="J1423">
        <v>1318.5900879000001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773.13240900000005</v>
      </c>
      <c r="B1424" s="1">
        <f>DATE(2012,6,12) + TIME(3,10,40)</f>
        <v>41072.132407407407</v>
      </c>
      <c r="C1424">
        <v>80</v>
      </c>
      <c r="D1424">
        <v>79.964340210000003</v>
      </c>
      <c r="E1424">
        <v>50</v>
      </c>
      <c r="F1424">
        <v>47.433853149000001</v>
      </c>
      <c r="G1424">
        <v>1344.6754149999999</v>
      </c>
      <c r="H1424">
        <v>1340.9349365</v>
      </c>
      <c r="I1424">
        <v>1322.3758545000001</v>
      </c>
      <c r="J1424">
        <v>1318.5760498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773.90769</v>
      </c>
      <c r="B1425" s="1">
        <f>DATE(2012,6,12) + TIME(21,47,4)</f>
        <v>41072.907685185186</v>
      </c>
      <c r="C1425">
        <v>80</v>
      </c>
      <c r="D1425">
        <v>79.964309692</v>
      </c>
      <c r="E1425">
        <v>50</v>
      </c>
      <c r="F1425">
        <v>47.400726317999997</v>
      </c>
      <c r="G1425">
        <v>1344.6622314000001</v>
      </c>
      <c r="H1425">
        <v>1340.9279785000001</v>
      </c>
      <c r="I1425">
        <v>1322.3657227000001</v>
      </c>
      <c r="J1425">
        <v>1318.5618896000001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774.69237799999996</v>
      </c>
      <c r="B1426" s="1">
        <f>DATE(2012,6,13) + TIME(16,37,1)</f>
        <v>41073.692372685182</v>
      </c>
      <c r="C1426">
        <v>80</v>
      </c>
      <c r="D1426">
        <v>79.964271545000003</v>
      </c>
      <c r="E1426">
        <v>50</v>
      </c>
      <c r="F1426">
        <v>47.367557525999999</v>
      </c>
      <c r="G1426">
        <v>1344.6491699000001</v>
      </c>
      <c r="H1426">
        <v>1340.9211425999999</v>
      </c>
      <c r="I1426">
        <v>1322.3553466999999</v>
      </c>
      <c r="J1426">
        <v>1318.5472411999999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775.48449400000004</v>
      </c>
      <c r="B1427" s="1">
        <f>DATE(2012,6,14) + TIME(11,37,40)</f>
        <v>41074.484490740739</v>
      </c>
      <c r="C1427">
        <v>80</v>
      </c>
      <c r="D1427">
        <v>79.964233398000005</v>
      </c>
      <c r="E1427">
        <v>50</v>
      </c>
      <c r="F1427">
        <v>47.334354400999999</v>
      </c>
      <c r="G1427">
        <v>1344.6361084</v>
      </c>
      <c r="H1427">
        <v>1340.9141846</v>
      </c>
      <c r="I1427">
        <v>1322.3448486</v>
      </c>
      <c r="J1427">
        <v>1318.5323486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776.28896399999996</v>
      </c>
      <c r="B1428" s="1">
        <f>DATE(2012,6,15) + TIME(6,56,6)</f>
        <v>41075.288958333331</v>
      </c>
      <c r="C1428">
        <v>80</v>
      </c>
      <c r="D1428">
        <v>79.964202881000006</v>
      </c>
      <c r="E1428">
        <v>50</v>
      </c>
      <c r="F1428">
        <v>47.301017760999997</v>
      </c>
      <c r="G1428">
        <v>1344.6231689000001</v>
      </c>
      <c r="H1428">
        <v>1340.9072266000001</v>
      </c>
      <c r="I1428">
        <v>1322.3339844</v>
      </c>
      <c r="J1428">
        <v>1318.5170897999999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777.10853099999997</v>
      </c>
      <c r="B1429" s="1">
        <f>DATE(2012,6,16) + TIME(2,36,17)</f>
        <v>41076.108530092592</v>
      </c>
      <c r="C1429">
        <v>80</v>
      </c>
      <c r="D1429">
        <v>79.964164733999993</v>
      </c>
      <c r="E1429">
        <v>50</v>
      </c>
      <c r="F1429">
        <v>47.267448424999998</v>
      </c>
      <c r="G1429">
        <v>1344.6101074000001</v>
      </c>
      <c r="H1429">
        <v>1340.9002685999999</v>
      </c>
      <c r="I1429">
        <v>1322.322876</v>
      </c>
      <c r="J1429">
        <v>1318.5012207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777.94613400000003</v>
      </c>
      <c r="B1430" s="1">
        <f>DATE(2012,6,16) + TIME(22,42,26)</f>
        <v>41076.946134259262</v>
      </c>
      <c r="C1430">
        <v>80</v>
      </c>
      <c r="D1430">
        <v>79.964126586999996</v>
      </c>
      <c r="E1430">
        <v>50</v>
      </c>
      <c r="F1430">
        <v>47.233543396000002</v>
      </c>
      <c r="G1430">
        <v>1344.5970459</v>
      </c>
      <c r="H1430">
        <v>1340.8933105000001</v>
      </c>
      <c r="I1430">
        <v>1322.3114014</v>
      </c>
      <c r="J1430">
        <v>1318.4849853999999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778.80447600000002</v>
      </c>
      <c r="B1431" s="1">
        <f>DATE(2012,6,17) + TIME(19,18,26)</f>
        <v>41077.804467592592</v>
      </c>
      <c r="C1431">
        <v>80</v>
      </c>
      <c r="D1431">
        <v>79.964096068999993</v>
      </c>
      <c r="E1431">
        <v>50</v>
      </c>
      <c r="F1431">
        <v>47.199207305999998</v>
      </c>
      <c r="G1431">
        <v>1344.5838623</v>
      </c>
      <c r="H1431">
        <v>1340.8862305</v>
      </c>
      <c r="I1431">
        <v>1322.2995605000001</v>
      </c>
      <c r="J1431">
        <v>1318.4681396000001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779.68686200000002</v>
      </c>
      <c r="B1432" s="1">
        <f>DATE(2012,6,18) + TIME(16,29,4)</f>
        <v>41078.686851851853</v>
      </c>
      <c r="C1432">
        <v>80</v>
      </c>
      <c r="D1432">
        <v>79.964065551999994</v>
      </c>
      <c r="E1432">
        <v>50</v>
      </c>
      <c r="F1432">
        <v>47.164325714</v>
      </c>
      <c r="G1432">
        <v>1344.5705565999999</v>
      </c>
      <c r="H1432">
        <v>1340.8791504000001</v>
      </c>
      <c r="I1432">
        <v>1322.2873535000001</v>
      </c>
      <c r="J1432">
        <v>1318.4506836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780.59705199999996</v>
      </c>
      <c r="B1433" s="1">
        <f>DATE(2012,6,19) + TIME(14,19,45)</f>
        <v>41079.597048611111</v>
      </c>
      <c r="C1433">
        <v>80</v>
      </c>
      <c r="D1433">
        <v>79.964027404999996</v>
      </c>
      <c r="E1433">
        <v>50</v>
      </c>
      <c r="F1433">
        <v>47.128784179999997</v>
      </c>
      <c r="G1433">
        <v>1344.5571289</v>
      </c>
      <c r="H1433">
        <v>1340.8719481999999</v>
      </c>
      <c r="I1433">
        <v>1322.2745361</v>
      </c>
      <c r="J1433">
        <v>1318.4324951000001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781.53927399999998</v>
      </c>
      <c r="B1434" s="1">
        <f>DATE(2012,6,20) + TIME(12,56,33)</f>
        <v>41080.539270833331</v>
      </c>
      <c r="C1434">
        <v>80</v>
      </c>
      <c r="D1434">
        <v>79.963996886999993</v>
      </c>
      <c r="E1434">
        <v>50</v>
      </c>
      <c r="F1434">
        <v>47.092456818000002</v>
      </c>
      <c r="G1434">
        <v>1344.543457</v>
      </c>
      <c r="H1434">
        <v>1340.8645019999999</v>
      </c>
      <c r="I1434">
        <v>1322.2612305</v>
      </c>
      <c r="J1434">
        <v>1318.4134521000001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782.02411800000004</v>
      </c>
      <c r="B1435" s="1">
        <f>DATE(2012,6,21) + TIME(0,34,43)</f>
        <v>41081.024108796293</v>
      </c>
      <c r="C1435">
        <v>80</v>
      </c>
      <c r="D1435">
        <v>79.963958739999995</v>
      </c>
      <c r="E1435">
        <v>50</v>
      </c>
      <c r="F1435">
        <v>47.067108154000003</v>
      </c>
      <c r="G1435">
        <v>1344.5307617000001</v>
      </c>
      <c r="H1435">
        <v>1340.8580322</v>
      </c>
      <c r="I1435">
        <v>1322.2484131000001</v>
      </c>
      <c r="J1435">
        <v>1318.3955077999999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782.508961</v>
      </c>
      <c r="B1436" s="1">
        <f>DATE(2012,6,21) + TIME(12,12,54)</f>
        <v>41081.508958333332</v>
      </c>
      <c r="C1436">
        <v>80</v>
      </c>
      <c r="D1436">
        <v>79.963935852000006</v>
      </c>
      <c r="E1436">
        <v>50</v>
      </c>
      <c r="F1436">
        <v>47.044155121000003</v>
      </c>
      <c r="G1436">
        <v>1344.5229492000001</v>
      </c>
      <c r="H1436">
        <v>1340.8535156</v>
      </c>
      <c r="I1436">
        <v>1322.2404785000001</v>
      </c>
      <c r="J1436">
        <v>1318.3837891000001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782.99380499999995</v>
      </c>
      <c r="B1437" s="1">
        <f>DATE(2012,6,21) + TIME(23,51,4)</f>
        <v>41081.993796296294</v>
      </c>
      <c r="C1437">
        <v>80</v>
      </c>
      <c r="D1437">
        <v>79.963912964000002</v>
      </c>
      <c r="E1437">
        <v>50</v>
      </c>
      <c r="F1437">
        <v>47.022754669000001</v>
      </c>
      <c r="G1437">
        <v>1344.515625</v>
      </c>
      <c r="H1437">
        <v>1340.8494873</v>
      </c>
      <c r="I1437">
        <v>1322.2326660000001</v>
      </c>
      <c r="J1437">
        <v>1318.3724365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783.47864900000002</v>
      </c>
      <c r="B1438" s="1">
        <f>DATE(2012,6,22) + TIME(11,29,15)</f>
        <v>41082.478645833333</v>
      </c>
      <c r="C1438">
        <v>80</v>
      </c>
      <c r="D1438">
        <v>79.963897704999994</v>
      </c>
      <c r="E1438">
        <v>50</v>
      </c>
      <c r="F1438">
        <v>47.002365112</v>
      </c>
      <c r="G1438">
        <v>1344.5086670000001</v>
      </c>
      <c r="H1438">
        <v>1340.8455810999999</v>
      </c>
      <c r="I1438">
        <v>1322.2250977000001</v>
      </c>
      <c r="J1438">
        <v>1318.3613281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783.96349199999997</v>
      </c>
      <c r="B1439" s="1">
        <f>DATE(2012,6,22) + TIME(23,7,25)</f>
        <v>41082.963483796295</v>
      </c>
      <c r="C1439">
        <v>80</v>
      </c>
      <c r="D1439">
        <v>79.963874817000004</v>
      </c>
      <c r="E1439">
        <v>50</v>
      </c>
      <c r="F1439">
        <v>46.982646942000002</v>
      </c>
      <c r="G1439">
        <v>1344.5015868999999</v>
      </c>
      <c r="H1439">
        <v>1340.8417969</v>
      </c>
      <c r="I1439">
        <v>1322.2174072</v>
      </c>
      <c r="J1439">
        <v>1318.3503418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784.44833600000004</v>
      </c>
      <c r="B1440" s="1">
        <f>DATE(2012,6,23) + TIME(10,45,36)</f>
        <v>41083.448333333334</v>
      </c>
      <c r="C1440">
        <v>80</v>
      </c>
      <c r="D1440">
        <v>79.963859557999996</v>
      </c>
      <c r="E1440">
        <v>50</v>
      </c>
      <c r="F1440">
        <v>46.963386536000002</v>
      </c>
      <c r="G1440">
        <v>1344.494751</v>
      </c>
      <c r="H1440">
        <v>1340.8380127</v>
      </c>
      <c r="I1440">
        <v>1322.2099608999999</v>
      </c>
      <c r="J1440">
        <v>1318.3393555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784.933179</v>
      </c>
      <c r="B1441" s="1">
        <f>DATE(2012,6,23) + TIME(22,23,46)</f>
        <v>41083.933171296296</v>
      </c>
      <c r="C1441">
        <v>80</v>
      </c>
      <c r="D1441">
        <v>79.963844299000002</v>
      </c>
      <c r="E1441">
        <v>50</v>
      </c>
      <c r="F1441">
        <v>46.944442748999997</v>
      </c>
      <c r="G1441">
        <v>1344.4879149999999</v>
      </c>
      <c r="H1441">
        <v>1340.8342285000001</v>
      </c>
      <c r="I1441">
        <v>1322.2023925999999</v>
      </c>
      <c r="J1441">
        <v>1318.3284911999999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785.41802299999995</v>
      </c>
      <c r="B1442" s="1">
        <f>DATE(2012,6,24) + TIME(10,1,57)</f>
        <v>41084.418020833335</v>
      </c>
      <c r="C1442">
        <v>80</v>
      </c>
      <c r="D1442">
        <v>79.963829040999997</v>
      </c>
      <c r="E1442">
        <v>50</v>
      </c>
      <c r="F1442">
        <v>46.925735474</v>
      </c>
      <c r="G1442">
        <v>1344.4812012</v>
      </c>
      <c r="H1442">
        <v>1340.8305664</v>
      </c>
      <c r="I1442">
        <v>1322.1948242000001</v>
      </c>
      <c r="J1442">
        <v>1318.3175048999999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785.90286700000001</v>
      </c>
      <c r="B1443" s="1">
        <f>DATE(2012,6,24) + TIME(21,40,7)</f>
        <v>41084.902858796297</v>
      </c>
      <c r="C1443">
        <v>80</v>
      </c>
      <c r="D1443">
        <v>79.963813782000003</v>
      </c>
      <c r="E1443">
        <v>50</v>
      </c>
      <c r="F1443">
        <v>46.907203674000002</v>
      </c>
      <c r="G1443">
        <v>1344.4744873</v>
      </c>
      <c r="H1443">
        <v>1340.8269043</v>
      </c>
      <c r="I1443">
        <v>1322.1872559000001</v>
      </c>
      <c r="J1443">
        <v>1318.3063964999999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786.38770999999997</v>
      </c>
      <c r="B1444" s="1">
        <f>DATE(2012,6,25) + TIME(9,18,18)</f>
        <v>41085.387708333335</v>
      </c>
      <c r="C1444">
        <v>80</v>
      </c>
      <c r="D1444">
        <v>79.963798522999994</v>
      </c>
      <c r="E1444">
        <v>50</v>
      </c>
      <c r="F1444">
        <v>46.888816833</v>
      </c>
      <c r="G1444">
        <v>1344.4677733999999</v>
      </c>
      <c r="H1444">
        <v>1340.8232422000001</v>
      </c>
      <c r="I1444">
        <v>1322.1795654</v>
      </c>
      <c r="J1444">
        <v>1318.2954102000001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786.87255400000004</v>
      </c>
      <c r="B1445" s="1">
        <f>DATE(2012,6,25) + TIME(20,56,28)</f>
        <v>41085.872546296298</v>
      </c>
      <c r="C1445">
        <v>80</v>
      </c>
      <c r="D1445">
        <v>79.963783264</v>
      </c>
      <c r="E1445">
        <v>50</v>
      </c>
      <c r="F1445">
        <v>46.870548247999999</v>
      </c>
      <c r="G1445">
        <v>1344.4611815999999</v>
      </c>
      <c r="H1445">
        <v>1340.8195800999999</v>
      </c>
      <c r="I1445">
        <v>1322.1719971</v>
      </c>
      <c r="J1445">
        <v>1318.2843018000001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787.84224099999994</v>
      </c>
      <c r="B1446" s="1">
        <f>DATE(2012,6,26) + TIME(20,12,49)</f>
        <v>41086.842233796298</v>
      </c>
      <c r="C1446">
        <v>80</v>
      </c>
      <c r="D1446">
        <v>79.963775635000005</v>
      </c>
      <c r="E1446">
        <v>50</v>
      </c>
      <c r="F1446">
        <v>46.843990325999997</v>
      </c>
      <c r="G1446">
        <v>1344.4538574000001</v>
      </c>
      <c r="H1446">
        <v>1340.8151855000001</v>
      </c>
      <c r="I1446">
        <v>1322.1634521000001</v>
      </c>
      <c r="J1446">
        <v>1318.2714844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788.81527500000004</v>
      </c>
      <c r="B1447" s="1">
        <f>DATE(2012,6,27) + TIME(19,33,59)</f>
        <v>41087.815266203703</v>
      </c>
      <c r="C1447">
        <v>80</v>
      </c>
      <c r="D1447">
        <v>79.963745117000002</v>
      </c>
      <c r="E1447">
        <v>50</v>
      </c>
      <c r="F1447">
        <v>46.812438964999998</v>
      </c>
      <c r="G1447">
        <v>1344.4415283000001</v>
      </c>
      <c r="H1447">
        <v>1340.8085937999999</v>
      </c>
      <c r="I1447">
        <v>1322.1491699000001</v>
      </c>
      <c r="J1447">
        <v>1318.2509766000001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789.80685200000005</v>
      </c>
      <c r="B1448" s="1">
        <f>DATE(2012,6,28) + TIME(19,21,51)</f>
        <v>41088.806840277779</v>
      </c>
      <c r="C1448">
        <v>80</v>
      </c>
      <c r="D1448">
        <v>79.963722228999998</v>
      </c>
      <c r="E1448">
        <v>50</v>
      </c>
      <c r="F1448">
        <v>46.778446197999997</v>
      </c>
      <c r="G1448">
        <v>1344.4287108999999</v>
      </c>
      <c r="H1448">
        <v>1340.8015137</v>
      </c>
      <c r="I1448">
        <v>1322.1340332</v>
      </c>
      <c r="J1448">
        <v>1318.229126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790.82050400000003</v>
      </c>
      <c r="B1449" s="1">
        <f>DATE(2012,6,29) + TIME(19,41,31)</f>
        <v>41089.820497685185</v>
      </c>
      <c r="C1449">
        <v>80</v>
      </c>
      <c r="D1449">
        <v>79.963691710999996</v>
      </c>
      <c r="E1449">
        <v>50</v>
      </c>
      <c r="F1449">
        <v>46.743064879999999</v>
      </c>
      <c r="G1449">
        <v>1344.4157714999999</v>
      </c>
      <c r="H1449">
        <v>1340.7944336</v>
      </c>
      <c r="I1449">
        <v>1322.1182861</v>
      </c>
      <c r="J1449">
        <v>1318.2061768000001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791.86035100000004</v>
      </c>
      <c r="B1450" s="1">
        <f>DATE(2012,6,30) + TIME(20,38,54)</f>
        <v>41090.860347222224</v>
      </c>
      <c r="C1450">
        <v>80</v>
      </c>
      <c r="D1450">
        <v>79.963668823000006</v>
      </c>
      <c r="E1450">
        <v>50</v>
      </c>
      <c r="F1450">
        <v>46.706729889000002</v>
      </c>
      <c r="G1450">
        <v>1344.4027100000001</v>
      </c>
      <c r="H1450">
        <v>1340.7871094</v>
      </c>
      <c r="I1450">
        <v>1322.1019286999999</v>
      </c>
      <c r="J1450">
        <v>1318.182251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792</v>
      </c>
      <c r="B1451" s="1">
        <f>DATE(2012,7,1) + TIME(0,0,0)</f>
        <v>41091</v>
      </c>
      <c r="C1451">
        <v>80</v>
      </c>
      <c r="D1451">
        <v>79.963645935000002</v>
      </c>
      <c r="E1451">
        <v>50</v>
      </c>
      <c r="F1451">
        <v>46.697204589999998</v>
      </c>
      <c r="G1451">
        <v>1344.394043</v>
      </c>
      <c r="H1451">
        <v>1340.7834473</v>
      </c>
      <c r="I1451">
        <v>1322.0883789</v>
      </c>
      <c r="J1451">
        <v>1318.1634521000001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793.07009400000004</v>
      </c>
      <c r="B1452" s="1">
        <f>DATE(2012,7,2) + TIME(1,40,56)</f>
        <v>41092.070092592592</v>
      </c>
      <c r="C1452">
        <v>80</v>
      </c>
      <c r="D1452">
        <v>79.963630675999994</v>
      </c>
      <c r="E1452">
        <v>50</v>
      </c>
      <c r="F1452">
        <v>46.662647247000002</v>
      </c>
      <c r="G1452">
        <v>1344.3873291</v>
      </c>
      <c r="H1452">
        <v>1340.7784423999999</v>
      </c>
      <c r="I1452">
        <v>1322.0819091999999</v>
      </c>
      <c r="J1452">
        <v>1318.152832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794.16868699999998</v>
      </c>
      <c r="B1453" s="1">
        <f>DATE(2012,7,3) + TIME(4,2,54)</f>
        <v>41093.168680555558</v>
      </c>
      <c r="C1453">
        <v>80</v>
      </c>
      <c r="D1453">
        <v>79.963607788000004</v>
      </c>
      <c r="E1453">
        <v>50</v>
      </c>
      <c r="F1453">
        <v>46.625934600999997</v>
      </c>
      <c r="G1453">
        <v>1344.3742675999999</v>
      </c>
      <c r="H1453">
        <v>1340.7712402</v>
      </c>
      <c r="I1453">
        <v>1322.0646973</v>
      </c>
      <c r="J1453">
        <v>1318.1275635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795.29178300000001</v>
      </c>
      <c r="B1454" s="1">
        <f>DATE(2012,7,4) + TIME(7,0,10)</f>
        <v>41094.29178240741</v>
      </c>
      <c r="C1454">
        <v>80</v>
      </c>
      <c r="D1454">
        <v>79.963577271000005</v>
      </c>
      <c r="E1454">
        <v>50</v>
      </c>
      <c r="F1454">
        <v>46.587974547999998</v>
      </c>
      <c r="G1454">
        <v>1344.3608397999999</v>
      </c>
      <c r="H1454">
        <v>1340.7636719</v>
      </c>
      <c r="I1454">
        <v>1322.0465088000001</v>
      </c>
      <c r="J1454">
        <v>1318.1008300999999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796.44431499999996</v>
      </c>
      <c r="B1455" s="1">
        <f>DATE(2012,7,5) + TIME(10,39,48)</f>
        <v>41095.444305555553</v>
      </c>
      <c r="C1455">
        <v>80</v>
      </c>
      <c r="D1455">
        <v>79.963554381999998</v>
      </c>
      <c r="E1455">
        <v>50</v>
      </c>
      <c r="F1455">
        <v>46.549144745</v>
      </c>
      <c r="G1455">
        <v>1344.347168</v>
      </c>
      <c r="H1455">
        <v>1340.7559814000001</v>
      </c>
      <c r="I1455">
        <v>1322.0277100000001</v>
      </c>
      <c r="J1455">
        <v>1318.0731201000001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797.63114099999996</v>
      </c>
      <c r="B1456" s="1">
        <f>DATE(2012,7,6) + TIME(15,8,50)</f>
        <v>41096.63113425926</v>
      </c>
      <c r="C1456">
        <v>80</v>
      </c>
      <c r="D1456">
        <v>79.963523864999999</v>
      </c>
      <c r="E1456">
        <v>50</v>
      </c>
      <c r="F1456">
        <v>46.509536742999998</v>
      </c>
      <c r="G1456">
        <v>1344.333374</v>
      </c>
      <c r="H1456">
        <v>1340.7481689000001</v>
      </c>
      <c r="I1456">
        <v>1322.0083007999999</v>
      </c>
      <c r="J1456">
        <v>1318.0443115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798.22648800000002</v>
      </c>
      <c r="B1457" s="1">
        <f>DATE(2012,7,7) + TIME(5,26,8)</f>
        <v>41097.226481481484</v>
      </c>
      <c r="C1457">
        <v>80</v>
      </c>
      <c r="D1457">
        <v>79.963493346999996</v>
      </c>
      <c r="E1457">
        <v>50</v>
      </c>
      <c r="F1457">
        <v>46.48116684</v>
      </c>
      <c r="G1457">
        <v>1344.3208007999999</v>
      </c>
      <c r="H1457">
        <v>1340.7413329999999</v>
      </c>
      <c r="I1457">
        <v>1321.989624</v>
      </c>
      <c r="J1457">
        <v>1318.0173339999999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798.82183399999997</v>
      </c>
      <c r="B1458" s="1">
        <f>DATE(2012,7,7) + TIME(19,43,26)</f>
        <v>41097.821828703702</v>
      </c>
      <c r="C1458">
        <v>80</v>
      </c>
      <c r="D1458">
        <v>79.963470459000007</v>
      </c>
      <c r="E1458">
        <v>50</v>
      </c>
      <c r="F1458">
        <v>46.456344604000002</v>
      </c>
      <c r="G1458">
        <v>1344.3129882999999</v>
      </c>
      <c r="H1458">
        <v>1340.7366943</v>
      </c>
      <c r="I1458">
        <v>1321.9780272999999</v>
      </c>
      <c r="J1458">
        <v>1317.9996338000001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799.41718100000003</v>
      </c>
      <c r="B1459" s="1">
        <f>DATE(2012,7,8) + TIME(10,0,44)</f>
        <v>41098.417175925926</v>
      </c>
      <c r="C1459">
        <v>80</v>
      </c>
      <c r="D1459">
        <v>79.963455199999999</v>
      </c>
      <c r="E1459">
        <v>50</v>
      </c>
      <c r="F1459">
        <v>46.433628081999998</v>
      </c>
      <c r="G1459">
        <v>1344.3057861</v>
      </c>
      <c r="H1459">
        <v>1340.7324219</v>
      </c>
      <c r="I1459">
        <v>1321.9669189000001</v>
      </c>
      <c r="J1459">
        <v>1317.9829102000001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800.01252799999997</v>
      </c>
      <c r="B1460" s="1">
        <f>DATE(2012,7,9) + TIME(0,18,2)</f>
        <v>41099.012523148151</v>
      </c>
      <c r="C1460">
        <v>80</v>
      </c>
      <c r="D1460">
        <v>79.963447571000003</v>
      </c>
      <c r="E1460">
        <v>50</v>
      </c>
      <c r="F1460">
        <v>46.412174225000001</v>
      </c>
      <c r="G1460">
        <v>1344.2988281</v>
      </c>
      <c r="H1460">
        <v>1340.7283935999999</v>
      </c>
      <c r="I1460">
        <v>1321.9561768000001</v>
      </c>
      <c r="J1460">
        <v>1317.9666748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801.20322199999998</v>
      </c>
      <c r="B1461" s="1">
        <f>DATE(2012,7,10) + TIME(4,52,38)</f>
        <v>41100.203217592592</v>
      </c>
      <c r="C1461">
        <v>80</v>
      </c>
      <c r="D1461">
        <v>79.963439941000004</v>
      </c>
      <c r="E1461">
        <v>50</v>
      </c>
      <c r="F1461">
        <v>46.383079529</v>
      </c>
      <c r="G1461">
        <v>1344.2912598</v>
      </c>
      <c r="H1461">
        <v>1340.7237548999999</v>
      </c>
      <c r="I1461">
        <v>1321.9443358999999</v>
      </c>
      <c r="J1461">
        <v>1317.9484863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802.39395400000001</v>
      </c>
      <c r="B1462" s="1">
        <f>DATE(2012,7,11) + TIME(9,27,17)</f>
        <v>41101.393946759257</v>
      </c>
      <c r="C1462">
        <v>80</v>
      </c>
      <c r="D1462">
        <v>79.963424683</v>
      </c>
      <c r="E1462">
        <v>50</v>
      </c>
      <c r="F1462">
        <v>46.348178863999998</v>
      </c>
      <c r="G1462">
        <v>1344.2784423999999</v>
      </c>
      <c r="H1462">
        <v>1340.7165527</v>
      </c>
      <c r="I1462">
        <v>1321.9251709</v>
      </c>
      <c r="J1462">
        <v>1317.9201660000001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803.59446400000002</v>
      </c>
      <c r="B1463" s="1">
        <f>DATE(2012,7,12) + TIME(14,16,1)</f>
        <v>41102.594456018516</v>
      </c>
      <c r="C1463">
        <v>80</v>
      </c>
      <c r="D1463">
        <v>79.963401794000006</v>
      </c>
      <c r="E1463">
        <v>50</v>
      </c>
      <c r="F1463">
        <v>46.311069488999998</v>
      </c>
      <c r="G1463">
        <v>1344.2652588000001</v>
      </c>
      <c r="H1463">
        <v>1340.7091064000001</v>
      </c>
      <c r="I1463">
        <v>1321.9049072</v>
      </c>
      <c r="J1463">
        <v>1317.8900146000001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804.81837399999995</v>
      </c>
      <c r="B1464" s="1">
        <f>DATE(2012,7,13) + TIME(19,38,27)</f>
        <v>41103.818368055552</v>
      </c>
      <c r="C1464">
        <v>80</v>
      </c>
      <c r="D1464">
        <v>79.963378906000003</v>
      </c>
      <c r="E1464">
        <v>50</v>
      </c>
      <c r="F1464">
        <v>46.272983551000003</v>
      </c>
      <c r="G1464">
        <v>1344.2521973</v>
      </c>
      <c r="H1464">
        <v>1340.7014160000001</v>
      </c>
      <c r="I1464">
        <v>1321.8839111</v>
      </c>
      <c r="J1464">
        <v>1317.8586425999999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806.07066299999997</v>
      </c>
      <c r="B1465" s="1">
        <f>DATE(2012,7,15) + TIME(1,41,45)</f>
        <v>41105.070659722223</v>
      </c>
      <c r="C1465">
        <v>80</v>
      </c>
      <c r="D1465">
        <v>79.963356017999999</v>
      </c>
      <c r="E1465">
        <v>50</v>
      </c>
      <c r="F1465">
        <v>46.234302520999996</v>
      </c>
      <c r="G1465">
        <v>1344.2388916</v>
      </c>
      <c r="H1465">
        <v>1340.6937256000001</v>
      </c>
      <c r="I1465">
        <v>1321.8624268000001</v>
      </c>
      <c r="J1465">
        <v>1317.8261719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807.33866399999999</v>
      </c>
      <c r="B1466" s="1">
        <f>DATE(2012,7,16) + TIME(8,7,40)</f>
        <v>41106.33865740741</v>
      </c>
      <c r="C1466">
        <v>80</v>
      </c>
      <c r="D1466">
        <v>79.963333129999995</v>
      </c>
      <c r="E1466">
        <v>50</v>
      </c>
      <c r="F1466">
        <v>46.195339203000003</v>
      </c>
      <c r="G1466">
        <v>1344.2255858999999</v>
      </c>
      <c r="H1466">
        <v>1340.6859131000001</v>
      </c>
      <c r="I1466">
        <v>1321.840332</v>
      </c>
      <c r="J1466">
        <v>1317.7928466999999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808.62031500000001</v>
      </c>
      <c r="B1467" s="1">
        <f>DATE(2012,7,17) + TIME(14,53,15)</f>
        <v>41107.620312500003</v>
      </c>
      <c r="C1467">
        <v>80</v>
      </c>
      <c r="D1467">
        <v>79.963317871000001</v>
      </c>
      <c r="E1467">
        <v>50</v>
      </c>
      <c r="F1467">
        <v>46.156356811999999</v>
      </c>
      <c r="G1467">
        <v>1344.2121582</v>
      </c>
      <c r="H1467">
        <v>1340.6781006000001</v>
      </c>
      <c r="I1467">
        <v>1321.817749</v>
      </c>
      <c r="J1467">
        <v>1317.7586670000001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809.92882599999996</v>
      </c>
      <c r="B1468" s="1">
        <f>DATE(2012,7,18) + TIME(22,17,30)</f>
        <v>41108.928819444445</v>
      </c>
      <c r="C1468">
        <v>80</v>
      </c>
      <c r="D1468">
        <v>79.963294982999997</v>
      </c>
      <c r="E1468">
        <v>50</v>
      </c>
      <c r="F1468">
        <v>46.117347717000001</v>
      </c>
      <c r="G1468">
        <v>1344.1988524999999</v>
      </c>
      <c r="H1468">
        <v>1340.6702881000001</v>
      </c>
      <c r="I1468">
        <v>1321.7947998</v>
      </c>
      <c r="J1468">
        <v>1317.7238769999999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811.272018</v>
      </c>
      <c r="B1469" s="1">
        <f>DATE(2012,7,20) + TIME(6,31,42)</f>
        <v>41110.272013888891</v>
      </c>
      <c r="C1469">
        <v>80</v>
      </c>
      <c r="D1469">
        <v>79.963279724000003</v>
      </c>
      <c r="E1469">
        <v>50</v>
      </c>
      <c r="F1469">
        <v>46.078186035000002</v>
      </c>
      <c r="G1469">
        <v>1344.1854248</v>
      </c>
      <c r="H1469">
        <v>1340.6623535000001</v>
      </c>
      <c r="I1469">
        <v>1321.7713623</v>
      </c>
      <c r="J1469">
        <v>1317.6882324000001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812.65416400000004</v>
      </c>
      <c r="B1470" s="1">
        <f>DATE(2012,7,21) + TIME(15,41,59)</f>
        <v>41111.65415509259</v>
      </c>
      <c r="C1470">
        <v>80</v>
      </c>
      <c r="D1470">
        <v>79.963256835999999</v>
      </c>
      <c r="E1470">
        <v>50</v>
      </c>
      <c r="F1470">
        <v>46.038776398000003</v>
      </c>
      <c r="G1470">
        <v>1344.171875</v>
      </c>
      <c r="H1470">
        <v>1340.6542969</v>
      </c>
      <c r="I1470">
        <v>1321.7473144999999</v>
      </c>
      <c r="J1470">
        <v>1317.6514893000001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814.06480199999999</v>
      </c>
      <c r="B1471" s="1">
        <f>DATE(2012,7,23) + TIME(1,33,18)</f>
        <v>41113.064791666664</v>
      </c>
      <c r="C1471">
        <v>80</v>
      </c>
      <c r="D1471">
        <v>79.963241577000005</v>
      </c>
      <c r="E1471">
        <v>50</v>
      </c>
      <c r="F1471">
        <v>45.999240874999998</v>
      </c>
      <c r="G1471">
        <v>1344.1582031</v>
      </c>
      <c r="H1471">
        <v>1340.6461182</v>
      </c>
      <c r="I1471">
        <v>1321.7225341999999</v>
      </c>
      <c r="J1471">
        <v>1317.6135254000001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815.48683500000004</v>
      </c>
      <c r="B1472" s="1">
        <f>DATE(2012,7,24) + TIME(11,41,2)</f>
        <v>41114.486828703702</v>
      </c>
      <c r="C1472">
        <v>80</v>
      </c>
      <c r="D1472">
        <v>79.963226317999997</v>
      </c>
      <c r="E1472">
        <v>50</v>
      </c>
      <c r="F1472">
        <v>45.959949493000003</v>
      </c>
      <c r="G1472">
        <v>1344.1442870999999</v>
      </c>
      <c r="H1472">
        <v>1340.6379394999999</v>
      </c>
      <c r="I1472">
        <v>1321.6972656</v>
      </c>
      <c r="J1472">
        <v>1317.574707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816.92813100000001</v>
      </c>
      <c r="B1473" s="1">
        <f>DATE(2012,7,25) + TIME(22,16,30)</f>
        <v>41115.928124999999</v>
      </c>
      <c r="C1473">
        <v>80</v>
      </c>
      <c r="D1473">
        <v>79.963203429999993</v>
      </c>
      <c r="E1473">
        <v>50</v>
      </c>
      <c r="F1473">
        <v>45.921161652000002</v>
      </c>
      <c r="G1473">
        <v>1344.1306152</v>
      </c>
      <c r="H1473">
        <v>1340.6296387</v>
      </c>
      <c r="I1473">
        <v>1321.6717529</v>
      </c>
      <c r="J1473">
        <v>1317.5351562000001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818.38953100000003</v>
      </c>
      <c r="B1474" s="1">
        <f>DATE(2012,7,27) + TIME(9,20,55)</f>
        <v>41117.389525462961</v>
      </c>
      <c r="C1474">
        <v>80</v>
      </c>
      <c r="D1474">
        <v>79.963188170999999</v>
      </c>
      <c r="E1474">
        <v>50</v>
      </c>
      <c r="F1474">
        <v>45.882987976000003</v>
      </c>
      <c r="G1474">
        <v>1344.1168213000001</v>
      </c>
      <c r="H1474">
        <v>1340.6213379000001</v>
      </c>
      <c r="I1474">
        <v>1321.6457519999999</v>
      </c>
      <c r="J1474">
        <v>1317.4951172000001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819.86003100000005</v>
      </c>
      <c r="B1475" s="1">
        <f>DATE(2012,7,28) + TIME(20,38,26)</f>
        <v>41118.860023148147</v>
      </c>
      <c r="C1475">
        <v>80</v>
      </c>
      <c r="D1475">
        <v>79.963172912999994</v>
      </c>
      <c r="E1475">
        <v>50</v>
      </c>
      <c r="F1475">
        <v>45.845661163000003</v>
      </c>
      <c r="G1475">
        <v>1344.1030272999999</v>
      </c>
      <c r="H1475">
        <v>1340.6130370999999</v>
      </c>
      <c r="I1475">
        <v>1321.6195068</v>
      </c>
      <c r="J1475">
        <v>1317.4543457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821.34624499999995</v>
      </c>
      <c r="B1476" s="1">
        <f>DATE(2012,7,30) + TIME(8,18,35)</f>
        <v>41120.346238425926</v>
      </c>
      <c r="C1476">
        <v>80</v>
      </c>
      <c r="D1476">
        <v>79.963157654</v>
      </c>
      <c r="E1476">
        <v>50</v>
      </c>
      <c r="F1476">
        <v>45.809410094999997</v>
      </c>
      <c r="G1476">
        <v>1344.0893555</v>
      </c>
      <c r="H1476">
        <v>1340.6047363</v>
      </c>
      <c r="I1476">
        <v>1321.5931396000001</v>
      </c>
      <c r="J1476">
        <v>1317.4132079999999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822.84391400000004</v>
      </c>
      <c r="B1477" s="1">
        <f>DATE(2012,7,31) + TIME(20,15,14)</f>
        <v>41121.843912037039</v>
      </c>
      <c r="C1477">
        <v>80</v>
      </c>
      <c r="D1477">
        <v>79.963142395000006</v>
      </c>
      <c r="E1477">
        <v>50</v>
      </c>
      <c r="F1477">
        <v>45.774433135999999</v>
      </c>
      <c r="G1477">
        <v>1344.0758057</v>
      </c>
      <c r="H1477">
        <v>1340.5964355000001</v>
      </c>
      <c r="I1477">
        <v>1321.5666504000001</v>
      </c>
      <c r="J1477">
        <v>1317.371582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823</v>
      </c>
      <c r="B1478" s="1">
        <f>DATE(2012,8,1) + TIME(0,0,0)</f>
        <v>41122</v>
      </c>
      <c r="C1478">
        <v>80</v>
      </c>
      <c r="D1478">
        <v>79.963127135999997</v>
      </c>
      <c r="E1478">
        <v>50</v>
      </c>
      <c r="F1478">
        <v>45.765975951999998</v>
      </c>
      <c r="G1478">
        <v>1344.0678711</v>
      </c>
      <c r="H1478">
        <v>1340.5928954999999</v>
      </c>
      <c r="I1478">
        <v>1321.5462646000001</v>
      </c>
      <c r="J1478">
        <v>1317.3404541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824.50917100000004</v>
      </c>
      <c r="B1479" s="1">
        <f>DATE(2012,8,2) + TIME(12,13,12)</f>
        <v>41123.509166666663</v>
      </c>
      <c r="C1479">
        <v>80</v>
      </c>
      <c r="D1479">
        <v>79.963127135999997</v>
      </c>
      <c r="E1479">
        <v>50</v>
      </c>
      <c r="F1479">
        <v>45.735973358000003</v>
      </c>
      <c r="G1479">
        <v>1344.0604248</v>
      </c>
      <c r="H1479">
        <v>1340.5869141000001</v>
      </c>
      <c r="I1479">
        <v>1321.5358887</v>
      </c>
      <c r="J1479">
        <v>1317.3231201000001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826.03780099999994</v>
      </c>
      <c r="B1480" s="1">
        <f>DATE(2012,8,4) + TIME(0,54,26)</f>
        <v>41125.037800925929</v>
      </c>
      <c r="C1480">
        <v>80</v>
      </c>
      <c r="D1480">
        <v>79.963119507000002</v>
      </c>
      <c r="E1480">
        <v>50</v>
      </c>
      <c r="F1480">
        <v>45.705539702999999</v>
      </c>
      <c r="G1480">
        <v>1344.0473632999999</v>
      </c>
      <c r="H1480">
        <v>1340.5789795000001</v>
      </c>
      <c r="I1480">
        <v>1321.5100098</v>
      </c>
      <c r="J1480">
        <v>1317.2822266000001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827.59309599999995</v>
      </c>
      <c r="B1481" s="1">
        <f>DATE(2012,8,5) + TIME(14,14,3)</f>
        <v>41126.593090277776</v>
      </c>
      <c r="C1481">
        <v>80</v>
      </c>
      <c r="D1481">
        <v>79.963111877000003</v>
      </c>
      <c r="E1481">
        <v>50</v>
      </c>
      <c r="F1481">
        <v>45.676231383999998</v>
      </c>
      <c r="G1481">
        <v>1344.0340576000001</v>
      </c>
      <c r="H1481">
        <v>1340.5708007999999</v>
      </c>
      <c r="I1481">
        <v>1321.4833983999999</v>
      </c>
      <c r="J1481">
        <v>1317.2398682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829.19424100000003</v>
      </c>
      <c r="B1482" s="1">
        <f>DATE(2012,8,7) + TIME(4,39,42)</f>
        <v>41128.194236111114</v>
      </c>
      <c r="C1482">
        <v>80</v>
      </c>
      <c r="D1482">
        <v>79.963096618999998</v>
      </c>
      <c r="E1482">
        <v>50</v>
      </c>
      <c r="F1482">
        <v>45.648689269999998</v>
      </c>
      <c r="G1482">
        <v>1344.0206298999999</v>
      </c>
      <c r="H1482">
        <v>1340.5623779</v>
      </c>
      <c r="I1482">
        <v>1321.4562988</v>
      </c>
      <c r="J1482">
        <v>1317.1966553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830.84994300000005</v>
      </c>
      <c r="B1483" s="1">
        <f>DATE(2012,8,8) + TIME(20,23,55)</f>
        <v>41129.849942129629</v>
      </c>
      <c r="C1483">
        <v>80</v>
      </c>
      <c r="D1483">
        <v>79.963088988999999</v>
      </c>
      <c r="E1483">
        <v>50</v>
      </c>
      <c r="F1483">
        <v>45.623367309999999</v>
      </c>
      <c r="G1483">
        <v>1344.0069579999999</v>
      </c>
      <c r="H1483">
        <v>1340.5539550999999</v>
      </c>
      <c r="I1483">
        <v>1321.4285889</v>
      </c>
      <c r="J1483">
        <v>1317.1523437999999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832.539355</v>
      </c>
      <c r="B1484" s="1">
        <f>DATE(2012,8,10) + TIME(12,56,40)</f>
        <v>41131.539351851854</v>
      </c>
      <c r="C1484">
        <v>80</v>
      </c>
      <c r="D1484">
        <v>79.963081360000004</v>
      </c>
      <c r="E1484">
        <v>50</v>
      </c>
      <c r="F1484">
        <v>45.600986481</v>
      </c>
      <c r="G1484">
        <v>1343.9930420000001</v>
      </c>
      <c r="H1484">
        <v>1340.5451660000001</v>
      </c>
      <c r="I1484">
        <v>1321.4003906</v>
      </c>
      <c r="J1484">
        <v>1317.1068115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834.24050499999998</v>
      </c>
      <c r="B1485" s="1">
        <f>DATE(2012,8,12) + TIME(5,46,19)</f>
        <v>41133.240497685183</v>
      </c>
      <c r="C1485">
        <v>80</v>
      </c>
      <c r="D1485">
        <v>79.963073730000005</v>
      </c>
      <c r="E1485">
        <v>50</v>
      </c>
      <c r="F1485">
        <v>45.582424164000003</v>
      </c>
      <c r="G1485">
        <v>1343.9790039</v>
      </c>
      <c r="H1485">
        <v>1340.5363769999999</v>
      </c>
      <c r="I1485">
        <v>1321.3718262</v>
      </c>
      <c r="J1485">
        <v>1317.0605469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835.95885299999998</v>
      </c>
      <c r="B1486" s="1">
        <f>DATE(2012,8,13) + TIME(23,0,44)</f>
        <v>41134.95884259259</v>
      </c>
      <c r="C1486">
        <v>80</v>
      </c>
      <c r="D1486">
        <v>79.963066100999995</v>
      </c>
      <c r="E1486">
        <v>50</v>
      </c>
      <c r="F1486">
        <v>45.568542479999998</v>
      </c>
      <c r="G1486">
        <v>1343.9650879000001</v>
      </c>
      <c r="H1486">
        <v>1340.5275879000001</v>
      </c>
      <c r="I1486">
        <v>1321.3433838000001</v>
      </c>
      <c r="J1486">
        <v>1317.0141602000001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837.702763</v>
      </c>
      <c r="B1487" s="1">
        <f>DATE(2012,8,15) + TIME(16,51,58)</f>
        <v>41136.70275462963</v>
      </c>
      <c r="C1487">
        <v>80</v>
      </c>
      <c r="D1487">
        <v>79.963058472</v>
      </c>
      <c r="E1487">
        <v>50</v>
      </c>
      <c r="F1487">
        <v>45.560176849000001</v>
      </c>
      <c r="G1487">
        <v>1343.9511719</v>
      </c>
      <c r="H1487">
        <v>1340.5187988</v>
      </c>
      <c r="I1487">
        <v>1321.3150635</v>
      </c>
      <c r="J1487">
        <v>1316.9675293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839.48097099999995</v>
      </c>
      <c r="B1488" s="1">
        <f>DATE(2012,8,17) + TIME(11,32,35)</f>
        <v>41138.48096064815</v>
      </c>
      <c r="C1488">
        <v>80</v>
      </c>
      <c r="D1488">
        <v>79.963050842000001</v>
      </c>
      <c r="E1488">
        <v>50</v>
      </c>
      <c r="F1488">
        <v>45.558170318999998</v>
      </c>
      <c r="G1488">
        <v>1343.9372559000001</v>
      </c>
      <c r="H1488">
        <v>1340.5098877</v>
      </c>
      <c r="I1488">
        <v>1321.2867432</v>
      </c>
      <c r="J1488">
        <v>1316.9207764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841.27316399999995</v>
      </c>
      <c r="B1489" s="1">
        <f>DATE(2012,8,19) + TIME(6,33,21)</f>
        <v>41140.273159722223</v>
      </c>
      <c r="C1489">
        <v>80</v>
      </c>
      <c r="D1489">
        <v>79.963050842000001</v>
      </c>
      <c r="E1489">
        <v>50</v>
      </c>
      <c r="F1489">
        <v>45.563663482999999</v>
      </c>
      <c r="G1489">
        <v>1343.9232178</v>
      </c>
      <c r="H1489">
        <v>1340.5009766000001</v>
      </c>
      <c r="I1489">
        <v>1321.2585449000001</v>
      </c>
      <c r="J1489">
        <v>1316.8739014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843.07545800000003</v>
      </c>
      <c r="B1490" s="1">
        <f>DATE(2012,8,21) + TIME(1,48,39)</f>
        <v>41142.07545138889</v>
      </c>
      <c r="C1490">
        <v>80</v>
      </c>
      <c r="D1490">
        <v>79.963043213000006</v>
      </c>
      <c r="E1490">
        <v>50</v>
      </c>
      <c r="F1490">
        <v>45.577869415000002</v>
      </c>
      <c r="G1490">
        <v>1343.9093018000001</v>
      </c>
      <c r="H1490">
        <v>1340.4919434000001</v>
      </c>
      <c r="I1490">
        <v>1321.2305908000001</v>
      </c>
      <c r="J1490">
        <v>1316.8271483999999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844.89552700000002</v>
      </c>
      <c r="B1491" s="1">
        <f>DATE(2012,8,22) + TIME(21,29,33)</f>
        <v>41143.895520833335</v>
      </c>
      <c r="C1491">
        <v>80</v>
      </c>
      <c r="D1491">
        <v>79.963043213000006</v>
      </c>
      <c r="E1491">
        <v>50</v>
      </c>
      <c r="F1491">
        <v>45.602024077999999</v>
      </c>
      <c r="G1491">
        <v>1343.8955077999999</v>
      </c>
      <c r="H1491">
        <v>1340.4830322</v>
      </c>
      <c r="I1491">
        <v>1321.203125</v>
      </c>
      <c r="J1491">
        <v>1316.7807617000001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846.74111100000005</v>
      </c>
      <c r="B1492" s="1">
        <f>DATE(2012,8,24) + TIME(17,47,12)</f>
        <v>41145.741111111114</v>
      </c>
      <c r="C1492">
        <v>80</v>
      </c>
      <c r="D1492">
        <v>79.963035583000007</v>
      </c>
      <c r="E1492">
        <v>50</v>
      </c>
      <c r="F1492">
        <v>45.637615203999999</v>
      </c>
      <c r="G1492">
        <v>1343.8817139</v>
      </c>
      <c r="H1492">
        <v>1340.4741211</v>
      </c>
      <c r="I1492">
        <v>1321.1761475000001</v>
      </c>
      <c r="J1492">
        <v>1316.7348632999999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848.626397</v>
      </c>
      <c r="B1493" s="1">
        <f>DATE(2012,8,26) + TIME(15,2,0)</f>
        <v>41147.626388888886</v>
      </c>
      <c r="C1493">
        <v>80</v>
      </c>
      <c r="D1493">
        <v>79.963035583000007</v>
      </c>
      <c r="E1493">
        <v>50</v>
      </c>
      <c r="F1493">
        <v>45.686470032000003</v>
      </c>
      <c r="G1493">
        <v>1343.8679199000001</v>
      </c>
      <c r="H1493">
        <v>1340.4650879000001</v>
      </c>
      <c r="I1493">
        <v>1321.1495361</v>
      </c>
      <c r="J1493">
        <v>1316.6893310999999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850.57664999999997</v>
      </c>
      <c r="B1494" s="1">
        <f>DATE(2012,8,28) + TIME(13,50,22)</f>
        <v>41149.576643518521</v>
      </c>
      <c r="C1494">
        <v>80</v>
      </c>
      <c r="D1494">
        <v>79.963035583000007</v>
      </c>
      <c r="E1494">
        <v>50</v>
      </c>
      <c r="F1494">
        <v>45.751049041999998</v>
      </c>
      <c r="G1494">
        <v>1343.8540039</v>
      </c>
      <c r="H1494">
        <v>1340.4559326000001</v>
      </c>
      <c r="I1494">
        <v>1321.1231689000001</v>
      </c>
      <c r="J1494">
        <v>1316.644043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852.551784</v>
      </c>
      <c r="B1495" s="1">
        <f>DATE(2012,8,30) + TIME(13,14,34)</f>
        <v>41151.551782407405</v>
      </c>
      <c r="C1495">
        <v>80</v>
      </c>
      <c r="D1495">
        <v>79.963043213000006</v>
      </c>
      <c r="E1495">
        <v>50</v>
      </c>
      <c r="F1495">
        <v>45.834083557</v>
      </c>
      <c r="G1495">
        <v>1343.8399658000001</v>
      </c>
      <c r="H1495">
        <v>1340.4466553</v>
      </c>
      <c r="I1495">
        <v>1321.0969238</v>
      </c>
      <c r="J1495">
        <v>1316.5987548999999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854</v>
      </c>
      <c r="B1496" s="1">
        <f>DATE(2012,9,1) + TIME(0,0,0)</f>
        <v>41153</v>
      </c>
      <c r="C1496">
        <v>80</v>
      </c>
      <c r="D1496">
        <v>79.963027953999998</v>
      </c>
      <c r="E1496">
        <v>50</v>
      </c>
      <c r="F1496">
        <v>45.927898407000001</v>
      </c>
      <c r="G1496">
        <v>1343.8262939000001</v>
      </c>
      <c r="H1496">
        <v>1340.4377440999999</v>
      </c>
      <c r="I1496">
        <v>1321.072876</v>
      </c>
      <c r="J1496">
        <v>1316.5559082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856.00205500000004</v>
      </c>
      <c r="B1497" s="1">
        <f>DATE(2012,9,3) + TIME(0,2,57)</f>
        <v>41155.00204861111</v>
      </c>
      <c r="C1497">
        <v>80</v>
      </c>
      <c r="D1497">
        <v>79.963043213000006</v>
      </c>
      <c r="E1497">
        <v>50</v>
      </c>
      <c r="F1497">
        <v>46.033374786000003</v>
      </c>
      <c r="G1497">
        <v>1343.8151855000001</v>
      </c>
      <c r="H1497">
        <v>1340.4301757999999</v>
      </c>
      <c r="I1497">
        <v>1321.0515137</v>
      </c>
      <c r="J1497">
        <v>1316.5200195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858.06544399999996</v>
      </c>
      <c r="B1498" s="1">
        <f>DATE(2012,9,5) + TIME(1,34,14)</f>
        <v>41157.065439814818</v>
      </c>
      <c r="C1498">
        <v>80</v>
      </c>
      <c r="D1498">
        <v>79.963043213000006</v>
      </c>
      <c r="E1498">
        <v>50</v>
      </c>
      <c r="F1498">
        <v>46.172946930000002</v>
      </c>
      <c r="G1498">
        <v>1343.8013916</v>
      </c>
      <c r="H1498">
        <v>1340.4210204999999</v>
      </c>
      <c r="I1498">
        <v>1321.0284423999999</v>
      </c>
      <c r="J1498">
        <v>1316.4793701000001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860.17755</v>
      </c>
      <c r="B1499" s="1">
        <f>DATE(2012,9,7) + TIME(4,15,40)</f>
        <v>41159.177546296298</v>
      </c>
      <c r="C1499">
        <v>80</v>
      </c>
      <c r="D1499">
        <v>79.963050842000001</v>
      </c>
      <c r="E1499">
        <v>50</v>
      </c>
      <c r="F1499">
        <v>46.343505858999997</v>
      </c>
      <c r="G1499">
        <v>1343.7871094</v>
      </c>
      <c r="H1499">
        <v>1340.4113769999999</v>
      </c>
      <c r="I1499">
        <v>1321.0051269999999</v>
      </c>
      <c r="J1499">
        <v>1316.4383545000001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862.31989799999997</v>
      </c>
      <c r="B1500" s="1">
        <f>DATE(2012,9,9) + TIME(7,40,39)</f>
        <v>41161.319895833331</v>
      </c>
      <c r="C1500">
        <v>80</v>
      </c>
      <c r="D1500">
        <v>79.963058472</v>
      </c>
      <c r="E1500">
        <v>50</v>
      </c>
      <c r="F1500">
        <v>46.545253754000001</v>
      </c>
      <c r="G1500">
        <v>1343.7727050999999</v>
      </c>
      <c r="H1500">
        <v>1340.4017334</v>
      </c>
      <c r="I1500">
        <v>1320.9821777</v>
      </c>
      <c r="J1500">
        <v>1316.3980713000001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864.49968100000001</v>
      </c>
      <c r="B1501" s="1">
        <f>DATE(2012,9,11) + TIME(11,59,32)</f>
        <v>41163.499675925923</v>
      </c>
      <c r="C1501">
        <v>80</v>
      </c>
      <c r="D1501">
        <v>79.963066100999995</v>
      </c>
      <c r="E1501">
        <v>50</v>
      </c>
      <c r="F1501">
        <v>46.778961182000003</v>
      </c>
      <c r="G1501">
        <v>1343.7581786999999</v>
      </c>
      <c r="H1501">
        <v>1340.3919678</v>
      </c>
      <c r="I1501">
        <v>1320.9599608999999</v>
      </c>
      <c r="J1501">
        <v>1316.359375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866.72137099999998</v>
      </c>
      <c r="B1502" s="1">
        <f>DATE(2012,9,13) + TIME(17,18,46)</f>
        <v>41165.721365740741</v>
      </c>
      <c r="C1502">
        <v>80</v>
      </c>
      <c r="D1502">
        <v>79.963073730000005</v>
      </c>
      <c r="E1502">
        <v>50</v>
      </c>
      <c r="F1502">
        <v>47.046184539999999</v>
      </c>
      <c r="G1502">
        <v>1343.7437743999999</v>
      </c>
      <c r="H1502">
        <v>1340.3820800999999</v>
      </c>
      <c r="I1502">
        <v>1320.9385986</v>
      </c>
      <c r="J1502">
        <v>1316.3223877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868.97267599999998</v>
      </c>
      <c r="B1503" s="1">
        <f>DATE(2012,9,15) + TIME(23,20,39)</f>
        <v>41167.972673611112</v>
      </c>
      <c r="C1503">
        <v>80</v>
      </c>
      <c r="D1503">
        <v>79.963081360000004</v>
      </c>
      <c r="E1503">
        <v>50</v>
      </c>
      <c r="F1503">
        <v>47.347530364999997</v>
      </c>
      <c r="G1503">
        <v>1343.729126</v>
      </c>
      <c r="H1503">
        <v>1340.3721923999999</v>
      </c>
      <c r="I1503">
        <v>1320.9182129000001</v>
      </c>
      <c r="J1503">
        <v>1316.2873535000001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871.25864100000001</v>
      </c>
      <c r="B1504" s="1">
        <f>DATE(2012,9,18) + TIME(6,12,26)</f>
        <v>41170.258634259262</v>
      </c>
      <c r="C1504">
        <v>80</v>
      </c>
      <c r="D1504">
        <v>79.963088988999999</v>
      </c>
      <c r="E1504">
        <v>50</v>
      </c>
      <c r="F1504">
        <v>47.681888579999999</v>
      </c>
      <c r="G1504">
        <v>1343.7145995999999</v>
      </c>
      <c r="H1504">
        <v>1340.3621826000001</v>
      </c>
      <c r="I1504">
        <v>1320.8988036999999</v>
      </c>
      <c r="J1504">
        <v>1316.2545166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873.57451300000002</v>
      </c>
      <c r="B1505" s="1">
        <f>DATE(2012,9,20) + TIME(13,47,17)</f>
        <v>41172.574502314812</v>
      </c>
      <c r="C1505">
        <v>80</v>
      </c>
      <c r="D1505">
        <v>79.963096618999998</v>
      </c>
      <c r="E1505">
        <v>50</v>
      </c>
      <c r="F1505">
        <v>48.047660827999998</v>
      </c>
      <c r="G1505">
        <v>1343.7000731999999</v>
      </c>
      <c r="H1505">
        <v>1340.3521728999999</v>
      </c>
      <c r="I1505">
        <v>1320.8803711</v>
      </c>
      <c r="J1505">
        <v>1316.2237548999999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875.91166099999998</v>
      </c>
      <c r="B1506" s="1">
        <f>DATE(2012,9,22) + TIME(21,52,47)</f>
        <v>41174.91165509259</v>
      </c>
      <c r="C1506">
        <v>80</v>
      </c>
      <c r="D1506">
        <v>79.963111877000003</v>
      </c>
      <c r="E1506">
        <v>50</v>
      </c>
      <c r="F1506">
        <v>48.441158295000001</v>
      </c>
      <c r="G1506">
        <v>1343.6855469</v>
      </c>
      <c r="H1506">
        <v>1340.3420410000001</v>
      </c>
      <c r="I1506">
        <v>1320.8630370999999</v>
      </c>
      <c r="J1506">
        <v>1316.1954346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878.27596400000004</v>
      </c>
      <c r="B1507" s="1">
        <f>DATE(2012,9,25) + TIME(6,37,23)</f>
        <v>41177.275960648149</v>
      </c>
      <c r="C1507">
        <v>80</v>
      </c>
      <c r="D1507">
        <v>79.963119507000002</v>
      </c>
      <c r="E1507">
        <v>50</v>
      </c>
      <c r="F1507">
        <v>48.858024596999996</v>
      </c>
      <c r="G1507">
        <v>1343.6711425999999</v>
      </c>
      <c r="H1507">
        <v>1340.3320312000001</v>
      </c>
      <c r="I1507">
        <v>1320.8466797000001</v>
      </c>
      <c r="J1507">
        <v>1316.1695557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880.67945899999995</v>
      </c>
      <c r="B1508" s="1">
        <f>DATE(2012,9,27) + TIME(16,18,25)</f>
        <v>41179.679456018515</v>
      </c>
      <c r="C1508">
        <v>80</v>
      </c>
      <c r="D1508">
        <v>79.963134765999996</v>
      </c>
      <c r="E1508">
        <v>50</v>
      </c>
      <c r="F1508">
        <v>49.294948578000003</v>
      </c>
      <c r="G1508">
        <v>1343.6567382999999</v>
      </c>
      <c r="H1508">
        <v>1340.3221435999999</v>
      </c>
      <c r="I1508">
        <v>1320.8314209</v>
      </c>
      <c r="J1508">
        <v>1316.145874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883.13493500000004</v>
      </c>
      <c r="B1509" s="1">
        <f>DATE(2012,9,30) + TIME(3,14,18)</f>
        <v>41182.134930555556</v>
      </c>
      <c r="C1509">
        <v>80</v>
      </c>
      <c r="D1509">
        <v>79.963150024000001</v>
      </c>
      <c r="E1509">
        <v>50</v>
      </c>
      <c r="F1509">
        <v>49.749805449999997</v>
      </c>
      <c r="G1509">
        <v>1343.6424560999999</v>
      </c>
      <c r="H1509">
        <v>1340.3120117000001</v>
      </c>
      <c r="I1509">
        <v>1320.8171387</v>
      </c>
      <c r="J1509">
        <v>1316.1243896000001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884</v>
      </c>
      <c r="B1510" s="1">
        <f>DATE(2012,10,1) + TIME(0,0,0)</f>
        <v>41183</v>
      </c>
      <c r="C1510">
        <v>80</v>
      </c>
      <c r="D1510">
        <v>79.963134765999996</v>
      </c>
      <c r="E1510">
        <v>50</v>
      </c>
      <c r="F1510">
        <v>50.088069916000002</v>
      </c>
      <c r="G1510">
        <v>1343.630249</v>
      </c>
      <c r="H1510">
        <v>1340.3040771000001</v>
      </c>
      <c r="I1510">
        <v>1320.8117675999999</v>
      </c>
      <c r="J1510">
        <v>1316.1086425999999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886.50817500000005</v>
      </c>
      <c r="B1511" s="1">
        <f>DATE(2012,10,3) + TIME(12,11,46)</f>
        <v>41185.508171296293</v>
      </c>
      <c r="C1511">
        <v>80</v>
      </c>
      <c r="D1511">
        <v>79.963172912999994</v>
      </c>
      <c r="E1511">
        <v>50</v>
      </c>
      <c r="F1511">
        <v>50.421585082999997</v>
      </c>
      <c r="G1511">
        <v>1343.6223144999999</v>
      </c>
      <c r="H1511">
        <v>1340.2978516000001</v>
      </c>
      <c r="I1511">
        <v>1320.7976074000001</v>
      </c>
      <c r="J1511">
        <v>1316.0983887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889.11650899999995</v>
      </c>
      <c r="B1512" s="1">
        <f>DATE(2012,10,6) + TIME(2,47,46)</f>
        <v>41188.11650462963</v>
      </c>
      <c r="C1512">
        <v>80</v>
      </c>
      <c r="D1512">
        <v>79.963195800999998</v>
      </c>
      <c r="E1512">
        <v>50</v>
      </c>
      <c r="F1512">
        <v>50.875095367</v>
      </c>
      <c r="G1512">
        <v>1343.6085204999999</v>
      </c>
      <c r="H1512">
        <v>1340.2882079999999</v>
      </c>
      <c r="I1512">
        <v>1320.7867432</v>
      </c>
      <c r="J1512">
        <v>1316.0810547000001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891.81798300000003</v>
      </c>
      <c r="B1513" s="1">
        <f>DATE(2012,10,8) + TIME(19,37,53)</f>
        <v>41190.817974537036</v>
      </c>
      <c r="C1513">
        <v>80</v>
      </c>
      <c r="D1513">
        <v>79.963211060000006</v>
      </c>
      <c r="E1513">
        <v>50</v>
      </c>
      <c r="F1513">
        <v>51.364791869999998</v>
      </c>
      <c r="G1513">
        <v>1343.5938721</v>
      </c>
      <c r="H1513">
        <v>1340.2779541</v>
      </c>
      <c r="I1513">
        <v>1320.7757568</v>
      </c>
      <c r="J1513">
        <v>1316.0653076000001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894.54631800000004</v>
      </c>
      <c r="B1514" s="1">
        <f>DATE(2012,10,11) + TIME(13,6,41)</f>
        <v>41193.546307870369</v>
      </c>
      <c r="C1514">
        <v>80</v>
      </c>
      <c r="D1514">
        <v>79.963233947999996</v>
      </c>
      <c r="E1514">
        <v>50</v>
      </c>
      <c r="F1514">
        <v>51.866634369000003</v>
      </c>
      <c r="G1514">
        <v>1343.5791016000001</v>
      </c>
      <c r="H1514">
        <v>1340.2674560999999</v>
      </c>
      <c r="I1514">
        <v>1320.7652588000001</v>
      </c>
      <c r="J1514">
        <v>1316.0509033000001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897.29601700000001</v>
      </c>
      <c r="B1515" s="1">
        <f>DATE(2012,10,14) + TIME(7,6,15)</f>
        <v>41196.296006944445</v>
      </c>
      <c r="C1515">
        <v>80</v>
      </c>
      <c r="D1515">
        <v>79.963256835999999</v>
      </c>
      <c r="E1515">
        <v>50</v>
      </c>
      <c r="F1515">
        <v>52.365715027</v>
      </c>
      <c r="G1515">
        <v>1343.5643310999999</v>
      </c>
      <c r="H1515">
        <v>1340.2570800999999</v>
      </c>
      <c r="I1515">
        <v>1320.7556152</v>
      </c>
      <c r="J1515">
        <v>1316.0382079999999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900.04743800000006</v>
      </c>
      <c r="B1516" s="1">
        <f>DATE(2012,10,17) + TIME(1,8,18)</f>
        <v>41199.047430555554</v>
      </c>
      <c r="C1516">
        <v>80</v>
      </c>
      <c r="D1516">
        <v>79.963272094999994</v>
      </c>
      <c r="E1516">
        <v>50</v>
      </c>
      <c r="F1516">
        <v>52.855255127</v>
      </c>
      <c r="G1516">
        <v>1343.5498047000001</v>
      </c>
      <c r="H1516">
        <v>1340.2468262</v>
      </c>
      <c r="I1516">
        <v>1320.7467041</v>
      </c>
      <c r="J1516">
        <v>1316.0268555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902.82124099999999</v>
      </c>
      <c r="B1517" s="1">
        <f>DATE(2012,10,19) + TIME(19,42,35)</f>
        <v>41201.821238425924</v>
      </c>
      <c r="C1517">
        <v>80</v>
      </c>
      <c r="D1517">
        <v>79.963294982999997</v>
      </c>
      <c r="E1517">
        <v>50</v>
      </c>
      <c r="F1517">
        <v>53.331970214999998</v>
      </c>
      <c r="G1517">
        <v>1343.5355225000001</v>
      </c>
      <c r="H1517">
        <v>1340.2366943</v>
      </c>
      <c r="I1517">
        <v>1320.7387695</v>
      </c>
      <c r="J1517">
        <v>1316.0168457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905.63797799999998</v>
      </c>
      <c r="B1518" s="1">
        <f>DATE(2012,10,22) + TIME(15,18,41)</f>
        <v>41204.637974537036</v>
      </c>
      <c r="C1518">
        <v>80</v>
      </c>
      <c r="D1518">
        <v>79.963325499999996</v>
      </c>
      <c r="E1518">
        <v>50</v>
      </c>
      <c r="F1518">
        <v>53.795719147</v>
      </c>
      <c r="G1518">
        <v>1343.5214844</v>
      </c>
      <c r="H1518">
        <v>1340.2265625</v>
      </c>
      <c r="I1518">
        <v>1320.7314452999999</v>
      </c>
      <c r="J1518">
        <v>1316.0079346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908.51986399999998</v>
      </c>
      <c r="B1519" s="1">
        <f>DATE(2012,10,25) + TIME(12,28,36)</f>
        <v>41207.519861111112</v>
      </c>
      <c r="C1519">
        <v>80</v>
      </c>
      <c r="D1519">
        <v>79.963348389000004</v>
      </c>
      <c r="E1519">
        <v>50</v>
      </c>
      <c r="F1519">
        <v>54.249732971</v>
      </c>
      <c r="G1519">
        <v>1343.5074463000001</v>
      </c>
      <c r="H1519">
        <v>1340.2166748</v>
      </c>
      <c r="I1519">
        <v>1320.7248535000001</v>
      </c>
      <c r="J1519">
        <v>1315.9998779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911.49269800000002</v>
      </c>
      <c r="B1520" s="1">
        <f>DATE(2012,10,28) + TIME(11,49,29)</f>
        <v>41210.492696759262</v>
      </c>
      <c r="C1520">
        <v>80</v>
      </c>
      <c r="D1520">
        <v>79.963378906000003</v>
      </c>
      <c r="E1520">
        <v>50</v>
      </c>
      <c r="F1520">
        <v>54.695499419999997</v>
      </c>
      <c r="G1520">
        <v>1343.4934082</v>
      </c>
      <c r="H1520">
        <v>1340.2066649999999</v>
      </c>
      <c r="I1520">
        <v>1320.71875</v>
      </c>
      <c r="J1520">
        <v>1315.9925536999999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914.54185800000005</v>
      </c>
      <c r="B1521" s="1">
        <f>DATE(2012,10,31) + TIME(13,0,16)</f>
        <v>41213.541851851849</v>
      </c>
      <c r="C1521">
        <v>80</v>
      </c>
      <c r="D1521">
        <v>79.963401794000006</v>
      </c>
      <c r="E1521">
        <v>50</v>
      </c>
      <c r="F1521">
        <v>55.135070800999998</v>
      </c>
      <c r="G1521">
        <v>1343.4792480000001</v>
      </c>
      <c r="H1521">
        <v>1340.1965332</v>
      </c>
      <c r="I1521">
        <v>1320.7132568</v>
      </c>
      <c r="J1521">
        <v>1315.9859618999999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915</v>
      </c>
      <c r="B1522" s="1">
        <f>DATE(2012,11,1) + TIME(0,0,0)</f>
        <v>41214</v>
      </c>
      <c r="C1522">
        <v>80</v>
      </c>
      <c r="D1522">
        <v>79.963386536000002</v>
      </c>
      <c r="E1522">
        <v>50</v>
      </c>
      <c r="F1522">
        <v>55.359844207999998</v>
      </c>
      <c r="G1522">
        <v>1343.4698486</v>
      </c>
      <c r="H1522">
        <v>1340.1907959</v>
      </c>
      <c r="I1522">
        <v>1320.7198486</v>
      </c>
      <c r="J1522">
        <v>1315.9847411999999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915.000001</v>
      </c>
      <c r="B1523" s="1">
        <f>DATE(2012,11,1) + TIME(0,0,0)</f>
        <v>41214</v>
      </c>
      <c r="C1523">
        <v>80</v>
      </c>
      <c r="D1523">
        <v>79.963356017999999</v>
      </c>
      <c r="E1523">
        <v>50</v>
      </c>
      <c r="F1523">
        <v>55.359859467</v>
      </c>
      <c r="G1523">
        <v>1340.1807861</v>
      </c>
      <c r="H1523">
        <v>1338.3959961</v>
      </c>
      <c r="I1523">
        <v>1325.5791016000001</v>
      </c>
      <c r="J1523">
        <v>1320.7332764</v>
      </c>
      <c r="K1523">
        <v>0</v>
      </c>
      <c r="L1523">
        <v>2400</v>
      </c>
      <c r="M1523">
        <v>2400</v>
      </c>
      <c r="N1523">
        <v>0</v>
      </c>
    </row>
    <row r="1524" spans="1:14" x14ac:dyDescent="0.25">
      <c r="A1524">
        <v>915.00000399999999</v>
      </c>
      <c r="B1524" s="1">
        <f>DATE(2012,11,1) + TIME(0,0,0)</f>
        <v>41214</v>
      </c>
      <c r="C1524">
        <v>80</v>
      </c>
      <c r="D1524">
        <v>79.963256835999999</v>
      </c>
      <c r="E1524">
        <v>50</v>
      </c>
      <c r="F1524">
        <v>55.359909058</v>
      </c>
      <c r="G1524">
        <v>1340.1511230000001</v>
      </c>
      <c r="H1524">
        <v>1338.3663329999999</v>
      </c>
      <c r="I1524">
        <v>1325.6098632999999</v>
      </c>
      <c r="J1524">
        <v>1320.7729492000001</v>
      </c>
      <c r="K1524">
        <v>0</v>
      </c>
      <c r="L1524">
        <v>2400</v>
      </c>
      <c r="M1524">
        <v>2400</v>
      </c>
      <c r="N1524">
        <v>0</v>
      </c>
    </row>
    <row r="1525" spans="1:14" x14ac:dyDescent="0.25">
      <c r="A1525">
        <v>915.00001299999997</v>
      </c>
      <c r="B1525" s="1">
        <f>DATE(2012,11,1) + TIME(0,0,1)</f>
        <v>41214.000011574077</v>
      </c>
      <c r="C1525">
        <v>80</v>
      </c>
      <c r="D1525">
        <v>79.962982178000004</v>
      </c>
      <c r="E1525">
        <v>50</v>
      </c>
      <c r="F1525">
        <v>55.360046386999997</v>
      </c>
      <c r="G1525">
        <v>1340.0650635</v>
      </c>
      <c r="H1525">
        <v>1338.2801514</v>
      </c>
      <c r="I1525">
        <v>1325.7004394999999</v>
      </c>
      <c r="J1525">
        <v>1320.8894043</v>
      </c>
      <c r="K1525">
        <v>0</v>
      </c>
      <c r="L1525">
        <v>2400</v>
      </c>
      <c r="M1525">
        <v>2400</v>
      </c>
      <c r="N1525">
        <v>0</v>
      </c>
    </row>
    <row r="1526" spans="1:14" x14ac:dyDescent="0.25">
      <c r="A1526">
        <v>915.00004000000001</v>
      </c>
      <c r="B1526" s="1">
        <f>DATE(2012,11,1) + TIME(0,0,3)</f>
        <v>41214.000034722223</v>
      </c>
      <c r="C1526">
        <v>80</v>
      </c>
      <c r="D1526">
        <v>79.962219238000003</v>
      </c>
      <c r="E1526">
        <v>50</v>
      </c>
      <c r="F1526">
        <v>55.360427856000001</v>
      </c>
      <c r="G1526">
        <v>1339.8289795000001</v>
      </c>
      <c r="H1526">
        <v>1338.0440673999999</v>
      </c>
      <c r="I1526">
        <v>1325.9577637</v>
      </c>
      <c r="J1526">
        <v>1321.2145995999999</v>
      </c>
      <c r="K1526">
        <v>0</v>
      </c>
      <c r="L1526">
        <v>2400</v>
      </c>
      <c r="M1526">
        <v>2400</v>
      </c>
      <c r="N1526">
        <v>0</v>
      </c>
    </row>
    <row r="1527" spans="1:14" x14ac:dyDescent="0.25">
      <c r="A1527">
        <v>915.00012100000004</v>
      </c>
      <c r="B1527" s="1">
        <f>DATE(2012,11,1) + TIME(0,0,10)</f>
        <v>41214.000115740739</v>
      </c>
      <c r="C1527">
        <v>80</v>
      </c>
      <c r="D1527">
        <v>79.960411071999999</v>
      </c>
      <c r="E1527">
        <v>50</v>
      </c>
      <c r="F1527">
        <v>55.361297606999997</v>
      </c>
      <c r="G1527">
        <v>1339.2669678</v>
      </c>
      <c r="H1527">
        <v>1337.4818115</v>
      </c>
      <c r="I1527">
        <v>1326.6259766000001</v>
      </c>
      <c r="J1527">
        <v>1322.0238036999999</v>
      </c>
      <c r="K1527">
        <v>0</v>
      </c>
      <c r="L1527">
        <v>2400</v>
      </c>
      <c r="M1527">
        <v>2400</v>
      </c>
      <c r="N1527">
        <v>0</v>
      </c>
    </row>
    <row r="1528" spans="1:14" x14ac:dyDescent="0.25">
      <c r="A1528">
        <v>915.00036399999999</v>
      </c>
      <c r="B1528" s="1">
        <f>DATE(2012,11,1) + TIME(0,0,31)</f>
        <v>41214.000358796293</v>
      </c>
      <c r="C1528">
        <v>80</v>
      </c>
      <c r="D1528">
        <v>79.957092285000002</v>
      </c>
      <c r="E1528">
        <v>50</v>
      </c>
      <c r="F1528">
        <v>55.362384796000001</v>
      </c>
      <c r="G1528">
        <v>1338.239624</v>
      </c>
      <c r="H1528">
        <v>1336.4539795000001</v>
      </c>
      <c r="I1528">
        <v>1328.0538329999999</v>
      </c>
      <c r="J1528">
        <v>1323.6193848</v>
      </c>
      <c r="K1528">
        <v>0</v>
      </c>
      <c r="L1528">
        <v>2400</v>
      </c>
      <c r="M1528">
        <v>2400</v>
      </c>
      <c r="N1528">
        <v>0</v>
      </c>
    </row>
    <row r="1529" spans="1:14" x14ac:dyDescent="0.25">
      <c r="A1529">
        <v>915.00109299999997</v>
      </c>
      <c r="B1529" s="1">
        <f>DATE(2012,11,1) + TIME(0,1,34)</f>
        <v>41214.001087962963</v>
      </c>
      <c r="C1529">
        <v>80</v>
      </c>
      <c r="D1529">
        <v>79.952644348000007</v>
      </c>
      <c r="E1529">
        <v>50</v>
      </c>
      <c r="F1529">
        <v>55.360500336000001</v>
      </c>
      <c r="G1529">
        <v>1336.8811035000001</v>
      </c>
      <c r="H1529">
        <v>1335.0931396000001</v>
      </c>
      <c r="I1529">
        <v>1330.3116454999999</v>
      </c>
      <c r="J1529">
        <v>1325.9221190999999</v>
      </c>
      <c r="K1529">
        <v>0</v>
      </c>
      <c r="L1529">
        <v>2400</v>
      </c>
      <c r="M1529">
        <v>2400</v>
      </c>
      <c r="N1529">
        <v>0</v>
      </c>
    </row>
    <row r="1530" spans="1:14" x14ac:dyDescent="0.25">
      <c r="A1530">
        <v>915.00328000000002</v>
      </c>
      <c r="B1530" s="1">
        <f>DATE(2012,11,1) + TIME(0,4,43)</f>
        <v>41214.003275462965</v>
      </c>
      <c r="C1530">
        <v>80</v>
      </c>
      <c r="D1530">
        <v>79.947685242000006</v>
      </c>
      <c r="E1530">
        <v>50</v>
      </c>
      <c r="F1530">
        <v>55.346733092999997</v>
      </c>
      <c r="G1530">
        <v>1335.4274902</v>
      </c>
      <c r="H1530">
        <v>1333.6276855000001</v>
      </c>
      <c r="I1530">
        <v>1332.9976807</v>
      </c>
      <c r="J1530">
        <v>1328.5545654</v>
      </c>
      <c r="K1530">
        <v>0</v>
      </c>
      <c r="L1530">
        <v>2400</v>
      </c>
      <c r="M1530">
        <v>2400</v>
      </c>
      <c r="N1530">
        <v>0</v>
      </c>
    </row>
    <row r="1531" spans="1:14" x14ac:dyDescent="0.25">
      <c r="A1531">
        <v>915.00984100000005</v>
      </c>
      <c r="B1531" s="1">
        <f>DATE(2012,11,1) + TIME(0,14,10)</f>
        <v>41214.009837962964</v>
      </c>
      <c r="C1531">
        <v>80</v>
      </c>
      <c r="D1531">
        <v>79.941940308</v>
      </c>
      <c r="E1531">
        <v>50</v>
      </c>
      <c r="F1531">
        <v>55.295669556</v>
      </c>
      <c r="G1531">
        <v>1333.9317627</v>
      </c>
      <c r="H1531">
        <v>1332.0927733999999</v>
      </c>
      <c r="I1531">
        <v>1335.7698975000001</v>
      </c>
      <c r="J1531">
        <v>1331.2686768000001</v>
      </c>
      <c r="K1531">
        <v>0</v>
      </c>
      <c r="L1531">
        <v>2400</v>
      </c>
      <c r="M1531">
        <v>2400</v>
      </c>
      <c r="N1531">
        <v>0</v>
      </c>
    </row>
    <row r="1532" spans="1:14" x14ac:dyDescent="0.25">
      <c r="A1532">
        <v>915.02952400000004</v>
      </c>
      <c r="B1532" s="1">
        <f>DATE(2012,11,1) + TIME(0,42,30)</f>
        <v>41214.029513888891</v>
      </c>
      <c r="C1532">
        <v>80</v>
      </c>
      <c r="D1532">
        <v>79.933906554999993</v>
      </c>
      <c r="E1532">
        <v>50</v>
      </c>
      <c r="F1532">
        <v>55.135749816999997</v>
      </c>
      <c r="G1532">
        <v>1332.3331298999999</v>
      </c>
      <c r="H1532">
        <v>1330.4108887</v>
      </c>
      <c r="I1532">
        <v>1338.5570068</v>
      </c>
      <c r="J1532">
        <v>1333.9936522999999</v>
      </c>
      <c r="K1532">
        <v>0</v>
      </c>
      <c r="L1532">
        <v>2400</v>
      </c>
      <c r="M1532">
        <v>2400</v>
      </c>
      <c r="N1532">
        <v>0</v>
      </c>
    </row>
    <row r="1533" spans="1:14" x14ac:dyDescent="0.25">
      <c r="A1533">
        <v>915.07205299999998</v>
      </c>
      <c r="B1533" s="1">
        <f>DATE(2012,11,1) + TIME(1,43,45)</f>
        <v>41214.072048611109</v>
      </c>
      <c r="C1533">
        <v>80</v>
      </c>
      <c r="D1533">
        <v>79.922966002999999</v>
      </c>
      <c r="E1533">
        <v>50</v>
      </c>
      <c r="F1533">
        <v>54.803787231000001</v>
      </c>
      <c r="G1533">
        <v>1330.8891602000001</v>
      </c>
      <c r="H1533">
        <v>1328.8730469</v>
      </c>
      <c r="I1533">
        <v>1340.8577881000001</v>
      </c>
      <c r="J1533">
        <v>1336.2313231999999</v>
      </c>
      <c r="K1533">
        <v>0</v>
      </c>
      <c r="L1533">
        <v>2400</v>
      </c>
      <c r="M1533">
        <v>2400</v>
      </c>
      <c r="N1533">
        <v>0</v>
      </c>
    </row>
    <row r="1534" spans="1:14" x14ac:dyDescent="0.25">
      <c r="A1534">
        <v>915.11668299999997</v>
      </c>
      <c r="B1534" s="1">
        <f>DATE(2012,11,1) + TIME(2,48,1)</f>
        <v>41214.116678240738</v>
      </c>
      <c r="C1534">
        <v>80</v>
      </c>
      <c r="D1534">
        <v>79.913482665999993</v>
      </c>
      <c r="E1534">
        <v>50</v>
      </c>
      <c r="F1534">
        <v>54.476360321000001</v>
      </c>
      <c r="G1534">
        <v>1330.0321045000001</v>
      </c>
      <c r="H1534">
        <v>1327.9614257999999</v>
      </c>
      <c r="I1534">
        <v>1342.1379394999999</v>
      </c>
      <c r="J1534">
        <v>1337.4704589999999</v>
      </c>
      <c r="K1534">
        <v>0</v>
      </c>
      <c r="L1534">
        <v>2400</v>
      </c>
      <c r="M1534">
        <v>2400</v>
      </c>
      <c r="N1534">
        <v>0</v>
      </c>
    </row>
    <row r="1535" spans="1:14" x14ac:dyDescent="0.25">
      <c r="A1535">
        <v>915.163363</v>
      </c>
      <c r="B1535" s="1">
        <f>DATE(2012,11,1) + TIME(3,55,14)</f>
        <v>41214.163356481484</v>
      </c>
      <c r="C1535">
        <v>80</v>
      </c>
      <c r="D1535">
        <v>79.904571532999995</v>
      </c>
      <c r="E1535">
        <v>50</v>
      </c>
      <c r="F1535">
        <v>54.157413482999999</v>
      </c>
      <c r="G1535">
        <v>1329.4521483999999</v>
      </c>
      <c r="H1535">
        <v>1327.3483887</v>
      </c>
      <c r="I1535">
        <v>1342.9632568</v>
      </c>
      <c r="J1535">
        <v>1338.2694091999999</v>
      </c>
      <c r="K1535">
        <v>0</v>
      </c>
      <c r="L1535">
        <v>2400</v>
      </c>
      <c r="M1535">
        <v>2400</v>
      </c>
      <c r="N1535">
        <v>0</v>
      </c>
    </row>
    <row r="1536" spans="1:14" x14ac:dyDescent="0.25">
      <c r="A1536">
        <v>915.21207100000004</v>
      </c>
      <c r="B1536" s="1">
        <f>DATE(2012,11,1) + TIME(5,5,22)</f>
        <v>41214.212060185186</v>
      </c>
      <c r="C1536">
        <v>80</v>
      </c>
      <c r="D1536">
        <v>79.895889281999999</v>
      </c>
      <c r="E1536">
        <v>50</v>
      </c>
      <c r="F1536">
        <v>53.849288940000001</v>
      </c>
      <c r="G1536">
        <v>1329.0311279</v>
      </c>
      <c r="H1536">
        <v>1326.9064940999999</v>
      </c>
      <c r="I1536">
        <v>1343.5393065999999</v>
      </c>
      <c r="J1536">
        <v>1338.8283690999999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915.26284099999998</v>
      </c>
      <c r="B1537" s="1">
        <f>DATE(2012,11,1) + TIME(6,18,29)</f>
        <v>41214.262835648151</v>
      </c>
      <c r="C1537">
        <v>80</v>
      </c>
      <c r="D1537">
        <v>79.887275696000003</v>
      </c>
      <c r="E1537">
        <v>50</v>
      </c>
      <c r="F1537">
        <v>53.553298949999999</v>
      </c>
      <c r="G1537">
        <v>1328.7114257999999</v>
      </c>
      <c r="H1537">
        <v>1326.5732422000001</v>
      </c>
      <c r="I1537">
        <v>1343.9610596</v>
      </c>
      <c r="J1537">
        <v>1339.2395019999999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915.31572000000006</v>
      </c>
      <c r="B1538" s="1">
        <f>DATE(2012,11,1) + TIME(7,34,38)</f>
        <v>41214.315717592595</v>
      </c>
      <c r="C1538">
        <v>80</v>
      </c>
      <c r="D1538">
        <v>79.878646850999999</v>
      </c>
      <c r="E1538">
        <v>50</v>
      </c>
      <c r="F1538">
        <v>53.270298003999997</v>
      </c>
      <c r="G1538">
        <v>1328.4613036999999</v>
      </c>
      <c r="H1538">
        <v>1326.3138428</v>
      </c>
      <c r="I1538">
        <v>1344.2795410000001</v>
      </c>
      <c r="J1538">
        <v>1339.5517577999999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915.37085300000001</v>
      </c>
      <c r="B1539" s="1">
        <f>DATE(2012,11,1) + TIME(8,54,1)</f>
        <v>41214.370844907404</v>
      </c>
      <c r="C1539">
        <v>80</v>
      </c>
      <c r="D1539">
        <v>79.869934082</v>
      </c>
      <c r="E1539">
        <v>50</v>
      </c>
      <c r="F1539">
        <v>53.000408172999997</v>
      </c>
      <c r="G1539">
        <v>1328.2609863</v>
      </c>
      <c r="H1539">
        <v>1326.1069336</v>
      </c>
      <c r="I1539">
        <v>1344.5251464999999</v>
      </c>
      <c r="J1539">
        <v>1339.7944336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915.42839400000003</v>
      </c>
      <c r="B1540" s="1">
        <f>DATE(2012,11,1) + TIME(10,16,53)</f>
        <v>41214.428391203706</v>
      </c>
      <c r="C1540">
        <v>80</v>
      </c>
      <c r="D1540">
        <v>79.861091614000003</v>
      </c>
      <c r="E1540">
        <v>50</v>
      </c>
      <c r="F1540">
        <v>52.743701934999997</v>
      </c>
      <c r="G1540">
        <v>1328.0979004000001</v>
      </c>
      <c r="H1540">
        <v>1325.9390868999999</v>
      </c>
      <c r="I1540">
        <v>1344.7169189000001</v>
      </c>
      <c r="J1540">
        <v>1339.9854736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915.48852899999997</v>
      </c>
      <c r="B1541" s="1">
        <f>DATE(2012,11,1) + TIME(11,43,28)</f>
        <v>41214.488518518519</v>
      </c>
      <c r="C1541">
        <v>80</v>
      </c>
      <c r="D1541">
        <v>79.852073669000006</v>
      </c>
      <c r="E1541">
        <v>50</v>
      </c>
      <c r="F1541">
        <v>52.500087737999998</v>
      </c>
      <c r="G1541">
        <v>1327.9637451000001</v>
      </c>
      <c r="H1541">
        <v>1325.8012695</v>
      </c>
      <c r="I1541">
        <v>1344.8675536999999</v>
      </c>
      <c r="J1541">
        <v>1340.1370850000001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915.55148199999996</v>
      </c>
      <c r="B1542" s="1">
        <f>DATE(2012,11,1) + TIME(13,14,8)</f>
        <v>41214.551481481481</v>
      </c>
      <c r="C1542">
        <v>80</v>
      </c>
      <c r="D1542">
        <v>79.842842102000006</v>
      </c>
      <c r="E1542">
        <v>50</v>
      </c>
      <c r="F1542">
        <v>52.269397736000002</v>
      </c>
      <c r="G1542">
        <v>1327.8526611</v>
      </c>
      <c r="H1542">
        <v>1325.6871338000001</v>
      </c>
      <c r="I1542">
        <v>1344.9860839999999</v>
      </c>
      <c r="J1542">
        <v>1340.2576904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915.61750199999994</v>
      </c>
      <c r="B1543" s="1">
        <f>DATE(2012,11,1) + TIME(14,49,12)</f>
        <v>41214.6175</v>
      </c>
      <c r="C1543">
        <v>80</v>
      </c>
      <c r="D1543">
        <v>79.833358765</v>
      </c>
      <c r="E1543">
        <v>50</v>
      </c>
      <c r="F1543">
        <v>52.051433563000003</v>
      </c>
      <c r="G1543">
        <v>1327.7602539</v>
      </c>
      <c r="H1543">
        <v>1325.5924072</v>
      </c>
      <c r="I1543">
        <v>1345.0786132999999</v>
      </c>
      <c r="J1543">
        <v>1340.3532714999999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915.68690900000001</v>
      </c>
      <c r="B1544" s="1">
        <f>DATE(2012,11,1) + TIME(16,29,8)</f>
        <v>41214.686898148146</v>
      </c>
      <c r="C1544">
        <v>80</v>
      </c>
      <c r="D1544">
        <v>79.823585510000001</v>
      </c>
      <c r="E1544">
        <v>50</v>
      </c>
      <c r="F1544">
        <v>51.845905303999999</v>
      </c>
      <c r="G1544">
        <v>1327.6833495999999</v>
      </c>
      <c r="H1544">
        <v>1325.5134277</v>
      </c>
      <c r="I1544">
        <v>1345.1500243999999</v>
      </c>
      <c r="J1544">
        <v>1340.4285889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915.76006800000005</v>
      </c>
      <c r="B1545" s="1">
        <f>DATE(2012,11,1) + TIME(18,14,29)</f>
        <v>41214.760057870371</v>
      </c>
      <c r="C1545">
        <v>80</v>
      </c>
      <c r="D1545">
        <v>79.813484192000004</v>
      </c>
      <c r="E1545">
        <v>50</v>
      </c>
      <c r="F1545">
        <v>51.652534484999997</v>
      </c>
      <c r="G1545">
        <v>1327.6195068</v>
      </c>
      <c r="H1545">
        <v>1325.4477539</v>
      </c>
      <c r="I1545">
        <v>1345.2039795000001</v>
      </c>
      <c r="J1545">
        <v>1340.4869385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915.83740299999999</v>
      </c>
      <c r="B1546" s="1">
        <f>DATE(2012,11,1) + TIME(20,5,51)</f>
        <v>41214.837395833332</v>
      </c>
      <c r="C1546">
        <v>80</v>
      </c>
      <c r="D1546">
        <v>79.802993774000001</v>
      </c>
      <c r="E1546">
        <v>50</v>
      </c>
      <c r="F1546">
        <v>51.471054076999998</v>
      </c>
      <c r="G1546">
        <v>1327.5664062000001</v>
      </c>
      <c r="H1546">
        <v>1325.3930664</v>
      </c>
      <c r="I1546">
        <v>1345.2435303</v>
      </c>
      <c r="J1546">
        <v>1340.5313721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915.91941899999995</v>
      </c>
      <c r="B1547" s="1">
        <f>DATE(2012,11,1) + TIME(22,3,57)</f>
        <v>41214.919409722221</v>
      </c>
      <c r="C1547">
        <v>80</v>
      </c>
      <c r="D1547">
        <v>79.792076111</v>
      </c>
      <c r="E1547">
        <v>50</v>
      </c>
      <c r="F1547">
        <v>51.301204681000002</v>
      </c>
      <c r="G1547">
        <v>1327.5225829999999</v>
      </c>
      <c r="H1547">
        <v>1325.3477783000001</v>
      </c>
      <c r="I1547">
        <v>1345.2709961</v>
      </c>
      <c r="J1547">
        <v>1340.5640868999999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916.00671299999999</v>
      </c>
      <c r="B1548" s="1">
        <f>DATE(2012,11,2) + TIME(0,9,39)</f>
        <v>41215.006701388891</v>
      </c>
      <c r="C1548">
        <v>80</v>
      </c>
      <c r="D1548">
        <v>79.780662536999998</v>
      </c>
      <c r="E1548">
        <v>50</v>
      </c>
      <c r="F1548">
        <v>51.142730712999999</v>
      </c>
      <c r="G1548">
        <v>1327.4864502</v>
      </c>
      <c r="H1548">
        <v>1325.3101807</v>
      </c>
      <c r="I1548">
        <v>1345.2883300999999</v>
      </c>
      <c r="J1548">
        <v>1340.5871582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916.10000300000002</v>
      </c>
      <c r="B1549" s="1">
        <f>DATE(2012,11,2) + TIME(2,24,0)</f>
        <v>41215.1</v>
      </c>
      <c r="C1549">
        <v>80</v>
      </c>
      <c r="D1549">
        <v>79.768676757999998</v>
      </c>
      <c r="E1549">
        <v>50</v>
      </c>
      <c r="F1549">
        <v>50.99539566</v>
      </c>
      <c r="G1549">
        <v>1327.4566649999999</v>
      </c>
      <c r="H1549">
        <v>1325.2791748</v>
      </c>
      <c r="I1549">
        <v>1345.2974853999999</v>
      </c>
      <c r="J1549">
        <v>1340.6021728999999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916.20015799999999</v>
      </c>
      <c r="B1550" s="1">
        <f>DATE(2012,11,2) + TIME(4,48,13)</f>
        <v>41215.200150462966</v>
      </c>
      <c r="C1550">
        <v>80</v>
      </c>
      <c r="D1550">
        <v>79.756034850999995</v>
      </c>
      <c r="E1550">
        <v>50</v>
      </c>
      <c r="F1550">
        <v>50.858970642000003</v>
      </c>
      <c r="G1550">
        <v>1327.4323730000001</v>
      </c>
      <c r="H1550">
        <v>1325.253418</v>
      </c>
      <c r="I1550">
        <v>1345.2996826000001</v>
      </c>
      <c r="J1550">
        <v>1340.6107178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916.30824399999995</v>
      </c>
      <c r="B1551" s="1">
        <f>DATE(2012,11,2) + TIME(7,23,52)</f>
        <v>41215.308240740742</v>
      </c>
      <c r="C1551">
        <v>80</v>
      </c>
      <c r="D1551">
        <v>79.742637634000005</v>
      </c>
      <c r="E1551">
        <v>50</v>
      </c>
      <c r="F1551">
        <v>50.733249663999999</v>
      </c>
      <c r="G1551">
        <v>1327.4123535000001</v>
      </c>
      <c r="H1551">
        <v>1325.2320557</v>
      </c>
      <c r="I1551">
        <v>1345.2962646000001</v>
      </c>
      <c r="J1551">
        <v>1340.6137695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916.42558699999995</v>
      </c>
      <c r="B1552" s="1">
        <f>DATE(2012,11,2) + TIME(10,12,50)</f>
        <v>41215.425578703704</v>
      </c>
      <c r="C1552">
        <v>80</v>
      </c>
      <c r="D1552">
        <v>79.728363036999994</v>
      </c>
      <c r="E1552">
        <v>50</v>
      </c>
      <c r="F1552">
        <v>50.618030548</v>
      </c>
      <c r="G1552">
        <v>1327.3957519999999</v>
      </c>
      <c r="H1552">
        <v>1325.2141113</v>
      </c>
      <c r="I1552">
        <v>1345.2883300999999</v>
      </c>
      <c r="J1552">
        <v>1340.6125488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916.553853</v>
      </c>
      <c r="B1553" s="1">
        <f>DATE(2012,11,2) + TIME(13,17,32)</f>
        <v>41215.553842592592</v>
      </c>
      <c r="C1553">
        <v>80</v>
      </c>
      <c r="D1553">
        <v>79.713043213000006</v>
      </c>
      <c r="E1553">
        <v>50</v>
      </c>
      <c r="F1553">
        <v>50.513126372999999</v>
      </c>
      <c r="G1553">
        <v>1327.3820800999999</v>
      </c>
      <c r="H1553">
        <v>1325.1989745999999</v>
      </c>
      <c r="I1553">
        <v>1345.2767334</v>
      </c>
      <c r="J1553">
        <v>1340.6079102000001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916.69516799999997</v>
      </c>
      <c r="B1554" s="1">
        <f>DATE(2012,11,2) + TIME(16,41,2)</f>
        <v>41215.695162037038</v>
      </c>
      <c r="C1554">
        <v>80</v>
      </c>
      <c r="D1554">
        <v>79.696502686000002</v>
      </c>
      <c r="E1554">
        <v>50</v>
      </c>
      <c r="F1554">
        <v>50.418376922999997</v>
      </c>
      <c r="G1554">
        <v>1327.3702393000001</v>
      </c>
      <c r="H1554">
        <v>1325.1855469</v>
      </c>
      <c r="I1554">
        <v>1345.262207</v>
      </c>
      <c r="J1554">
        <v>1340.6007079999999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916.85237600000005</v>
      </c>
      <c r="B1555" s="1">
        <f>DATE(2012,11,2) + TIME(20,27,25)</f>
        <v>41215.852372685185</v>
      </c>
      <c r="C1555">
        <v>80</v>
      </c>
      <c r="D1555">
        <v>79.678482056000007</v>
      </c>
      <c r="E1555">
        <v>50</v>
      </c>
      <c r="F1555">
        <v>50.333591460999997</v>
      </c>
      <c r="G1555">
        <v>1327.3599853999999</v>
      </c>
      <c r="H1555">
        <v>1325.1735839999999</v>
      </c>
      <c r="I1555">
        <v>1345.2454834</v>
      </c>
      <c r="J1555">
        <v>1340.5914307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917.01671799999997</v>
      </c>
      <c r="B1556" s="1">
        <f>DATE(2012,11,3) + TIME(0,24,4)</f>
        <v>41216.016712962963</v>
      </c>
      <c r="C1556">
        <v>80</v>
      </c>
      <c r="D1556">
        <v>79.659843445000007</v>
      </c>
      <c r="E1556">
        <v>50</v>
      </c>
      <c r="F1556">
        <v>50.262840271000002</v>
      </c>
      <c r="G1556">
        <v>1327.3508300999999</v>
      </c>
      <c r="H1556">
        <v>1325.1624756000001</v>
      </c>
      <c r="I1556">
        <v>1345.2283935999999</v>
      </c>
      <c r="J1556">
        <v>1340.5817870999999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917.18688999999995</v>
      </c>
      <c r="B1557" s="1">
        <f>DATE(2012,11,3) + TIME(4,29,7)</f>
        <v>41216.186886574076</v>
      </c>
      <c r="C1557">
        <v>80</v>
      </c>
      <c r="D1557">
        <v>79.640716553000004</v>
      </c>
      <c r="E1557">
        <v>50</v>
      </c>
      <c r="F1557">
        <v>50.204723358000003</v>
      </c>
      <c r="G1557">
        <v>1327.3426514</v>
      </c>
      <c r="H1557">
        <v>1325.1522216999999</v>
      </c>
      <c r="I1557">
        <v>1345.2113036999999</v>
      </c>
      <c r="J1557">
        <v>1340.5718993999999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917.36329000000001</v>
      </c>
      <c r="B1558" s="1">
        <f>DATE(2012,11,3) + TIME(8,43,8)</f>
        <v>41216.363287037035</v>
      </c>
      <c r="C1558">
        <v>80</v>
      </c>
      <c r="D1558">
        <v>79.621063231999997</v>
      </c>
      <c r="E1558">
        <v>50</v>
      </c>
      <c r="F1558">
        <v>50.157245635999999</v>
      </c>
      <c r="G1558">
        <v>1327.3348389</v>
      </c>
      <c r="H1558">
        <v>1325.1422118999999</v>
      </c>
      <c r="I1558">
        <v>1345.1944579999999</v>
      </c>
      <c r="J1558">
        <v>1340.5620117000001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917.54629199999999</v>
      </c>
      <c r="B1559" s="1">
        <f>DATE(2012,11,3) + TIME(13,6,39)</f>
        <v>41216.546284722222</v>
      </c>
      <c r="C1559">
        <v>80</v>
      </c>
      <c r="D1559">
        <v>79.600852966000005</v>
      </c>
      <c r="E1559">
        <v>50</v>
      </c>
      <c r="F1559">
        <v>50.118694304999998</v>
      </c>
      <c r="G1559">
        <v>1327.3272704999999</v>
      </c>
      <c r="H1559">
        <v>1325.1323242000001</v>
      </c>
      <c r="I1559">
        <v>1345.1778564000001</v>
      </c>
      <c r="J1559">
        <v>1340.5522461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917.73630500000002</v>
      </c>
      <c r="B1560" s="1">
        <f>DATE(2012,11,3) + TIME(17,40,16)</f>
        <v>41216.736296296294</v>
      </c>
      <c r="C1560">
        <v>80</v>
      </c>
      <c r="D1560">
        <v>79.580055236999996</v>
      </c>
      <c r="E1560">
        <v>50</v>
      </c>
      <c r="F1560">
        <v>50.087596892999997</v>
      </c>
      <c r="G1560">
        <v>1327.3197021000001</v>
      </c>
      <c r="H1560">
        <v>1325.1224365</v>
      </c>
      <c r="I1560">
        <v>1345.1616211</v>
      </c>
      <c r="J1560">
        <v>1340.5428466999999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917.93330500000002</v>
      </c>
      <c r="B1561" s="1">
        <f>DATE(2012,11,3) + TIME(22,23,57)</f>
        <v>41216.933298611111</v>
      </c>
      <c r="C1561">
        <v>80</v>
      </c>
      <c r="D1561">
        <v>79.558670043999996</v>
      </c>
      <c r="E1561">
        <v>50</v>
      </c>
      <c r="F1561">
        <v>50.062728882000002</v>
      </c>
      <c r="G1561">
        <v>1327.3121338000001</v>
      </c>
      <c r="H1561">
        <v>1325.1121826000001</v>
      </c>
      <c r="I1561">
        <v>1345.1459961</v>
      </c>
      <c r="J1561">
        <v>1340.5338135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918.13598200000001</v>
      </c>
      <c r="B1562" s="1">
        <f>DATE(2012,11,4) + TIME(3,15,48)</f>
        <v>41217.135972222219</v>
      </c>
      <c r="C1562">
        <v>80</v>
      </c>
      <c r="D1562">
        <v>79.536827087000006</v>
      </c>
      <c r="E1562">
        <v>50</v>
      </c>
      <c r="F1562">
        <v>50.043102263999998</v>
      </c>
      <c r="G1562">
        <v>1327.3043213000001</v>
      </c>
      <c r="H1562">
        <v>1325.1016846</v>
      </c>
      <c r="I1562">
        <v>1345.1308594</v>
      </c>
      <c r="J1562">
        <v>1340.5251464999999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918.34459300000003</v>
      </c>
      <c r="B1563" s="1">
        <f>DATE(2012,11,4) + TIME(8,16,12)</f>
        <v>41217.344583333332</v>
      </c>
      <c r="C1563">
        <v>80</v>
      </c>
      <c r="D1563">
        <v>79.514503478999998</v>
      </c>
      <c r="E1563">
        <v>50</v>
      </c>
      <c r="F1563">
        <v>50.027694701999998</v>
      </c>
      <c r="G1563">
        <v>1327.2963867000001</v>
      </c>
      <c r="H1563">
        <v>1325.0909423999999</v>
      </c>
      <c r="I1563">
        <v>1345.1162108999999</v>
      </c>
      <c r="J1563">
        <v>1340.5167236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918.555655</v>
      </c>
      <c r="B1564" s="1">
        <f>DATE(2012,11,4) + TIME(13,20,8)</f>
        <v>41217.555648148147</v>
      </c>
      <c r="C1564">
        <v>80</v>
      </c>
      <c r="D1564">
        <v>79.492004394999995</v>
      </c>
      <c r="E1564">
        <v>50</v>
      </c>
      <c r="F1564">
        <v>50.015827178999999</v>
      </c>
      <c r="G1564">
        <v>1327.2880858999999</v>
      </c>
      <c r="H1564">
        <v>1325.0797118999999</v>
      </c>
      <c r="I1564">
        <v>1345.1020507999999</v>
      </c>
      <c r="J1564">
        <v>1340.5087891000001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918.76960499999996</v>
      </c>
      <c r="B1565" s="1">
        <f>DATE(2012,11,4) + TIME(18,28,13)</f>
        <v>41217.769594907404</v>
      </c>
      <c r="C1565">
        <v>80</v>
      </c>
      <c r="D1565">
        <v>79.469314574999999</v>
      </c>
      <c r="E1565">
        <v>50</v>
      </c>
      <c r="F1565">
        <v>50.006683350000003</v>
      </c>
      <c r="G1565">
        <v>1327.2797852000001</v>
      </c>
      <c r="H1565">
        <v>1325.0682373</v>
      </c>
      <c r="I1565">
        <v>1345.0886230000001</v>
      </c>
      <c r="J1565">
        <v>1340.5013428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918.98687399999994</v>
      </c>
      <c r="B1566" s="1">
        <f>DATE(2012,11,4) + TIME(23,41,5)</f>
        <v>41217.986863425926</v>
      </c>
      <c r="C1566">
        <v>80</v>
      </c>
      <c r="D1566">
        <v>79.446395874000004</v>
      </c>
      <c r="E1566">
        <v>50</v>
      </c>
      <c r="F1566">
        <v>49.999645233000003</v>
      </c>
      <c r="G1566">
        <v>1327.2712402</v>
      </c>
      <c r="H1566">
        <v>1325.0566406</v>
      </c>
      <c r="I1566">
        <v>1345.0756836</v>
      </c>
      <c r="J1566">
        <v>1340.4940185999999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919.20788000000005</v>
      </c>
      <c r="B1567" s="1">
        <f>DATE(2012,11,5) + TIME(4,59,20)</f>
        <v>41218.207870370374</v>
      </c>
      <c r="C1567">
        <v>80</v>
      </c>
      <c r="D1567">
        <v>79.423233031999999</v>
      </c>
      <c r="E1567">
        <v>50</v>
      </c>
      <c r="F1567">
        <v>49.994232177999997</v>
      </c>
      <c r="G1567">
        <v>1327.2625731999999</v>
      </c>
      <c r="H1567">
        <v>1325.0446777</v>
      </c>
      <c r="I1567">
        <v>1345.0632324000001</v>
      </c>
      <c r="J1567">
        <v>1340.4871826000001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919.43304999999998</v>
      </c>
      <c r="B1568" s="1">
        <f>DATE(2012,11,5) + TIME(10,23,35)</f>
        <v>41218.43304398148</v>
      </c>
      <c r="C1568">
        <v>80</v>
      </c>
      <c r="D1568">
        <v>79.399787903000004</v>
      </c>
      <c r="E1568">
        <v>50</v>
      </c>
      <c r="F1568">
        <v>49.990070342999999</v>
      </c>
      <c r="G1568">
        <v>1327.2536620999999</v>
      </c>
      <c r="H1568">
        <v>1325.0323486</v>
      </c>
      <c r="I1568">
        <v>1345.0511475000001</v>
      </c>
      <c r="J1568">
        <v>1340.4804687999999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919.66263800000002</v>
      </c>
      <c r="B1569" s="1">
        <f>DATE(2012,11,5) + TIME(15,54,11)</f>
        <v>41218.662627314814</v>
      </c>
      <c r="C1569">
        <v>80</v>
      </c>
      <c r="D1569">
        <v>79.376045227000006</v>
      </c>
      <c r="E1569">
        <v>50</v>
      </c>
      <c r="F1569">
        <v>49.986881255999997</v>
      </c>
      <c r="G1569">
        <v>1327.2446289</v>
      </c>
      <c r="H1569">
        <v>1325.0197754000001</v>
      </c>
      <c r="I1569">
        <v>1345.0395507999999</v>
      </c>
      <c r="J1569">
        <v>1340.473999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919.89722600000005</v>
      </c>
      <c r="B1570" s="1">
        <f>DATE(2012,11,5) + TIME(21,32,0)</f>
        <v>41218.897222222222</v>
      </c>
      <c r="C1570">
        <v>80</v>
      </c>
      <c r="D1570">
        <v>79.351966857999997</v>
      </c>
      <c r="E1570">
        <v>50</v>
      </c>
      <c r="F1570">
        <v>49.984439850000001</v>
      </c>
      <c r="G1570">
        <v>1327.2352295000001</v>
      </c>
      <c r="H1570">
        <v>1325.0067139</v>
      </c>
      <c r="I1570">
        <v>1345.0280762</v>
      </c>
      <c r="J1570">
        <v>1340.4676514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920.13725499999998</v>
      </c>
      <c r="B1571" s="1">
        <f>DATE(2012,11,6) + TIME(3,17,38)</f>
        <v>41219.137245370373</v>
      </c>
      <c r="C1571">
        <v>80</v>
      </c>
      <c r="D1571">
        <v>79.327514648000005</v>
      </c>
      <c r="E1571">
        <v>50</v>
      </c>
      <c r="F1571">
        <v>49.982570647999999</v>
      </c>
      <c r="G1571">
        <v>1327.2255858999999</v>
      </c>
      <c r="H1571">
        <v>1324.9934082</v>
      </c>
      <c r="I1571">
        <v>1345.0170897999999</v>
      </c>
      <c r="J1571">
        <v>1340.4615478999999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920.38317700000005</v>
      </c>
      <c r="B1572" s="1">
        <f>DATE(2012,11,6) + TIME(9,11,46)</f>
        <v>41219.383171296293</v>
      </c>
      <c r="C1572">
        <v>80</v>
      </c>
      <c r="D1572">
        <v>79.302665709999999</v>
      </c>
      <c r="E1572">
        <v>50</v>
      </c>
      <c r="F1572">
        <v>49.981143951</v>
      </c>
      <c r="G1572">
        <v>1327.2156981999999</v>
      </c>
      <c r="H1572">
        <v>1324.9796143000001</v>
      </c>
      <c r="I1572">
        <v>1345.0061035000001</v>
      </c>
      <c r="J1572">
        <v>1340.4555664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920.63545999999997</v>
      </c>
      <c r="B1573" s="1">
        <f>DATE(2012,11,6) + TIME(15,15,3)</f>
        <v>41219.635451388887</v>
      </c>
      <c r="C1573">
        <v>80</v>
      </c>
      <c r="D1573">
        <v>79.277374268000003</v>
      </c>
      <c r="E1573">
        <v>50</v>
      </c>
      <c r="F1573">
        <v>49.980056763</v>
      </c>
      <c r="G1573">
        <v>1327.2054443</v>
      </c>
      <c r="H1573">
        <v>1324.9654541</v>
      </c>
      <c r="I1573">
        <v>1344.9954834</v>
      </c>
      <c r="J1573">
        <v>1340.4495850000001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920.89458400000001</v>
      </c>
      <c r="B1574" s="1">
        <f>DATE(2012,11,6) + TIME(21,28,12)</f>
        <v>41219.894583333335</v>
      </c>
      <c r="C1574">
        <v>80</v>
      </c>
      <c r="D1574">
        <v>79.251602172999995</v>
      </c>
      <c r="E1574">
        <v>50</v>
      </c>
      <c r="F1574">
        <v>49.979228972999998</v>
      </c>
      <c r="G1574">
        <v>1327.1949463000001</v>
      </c>
      <c r="H1574">
        <v>1324.9508057</v>
      </c>
      <c r="I1574">
        <v>1344.9849853999999</v>
      </c>
      <c r="J1574">
        <v>1340.4438477000001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921.161069</v>
      </c>
      <c r="B1575" s="1">
        <f>DATE(2012,11,7) + TIME(3,51,56)</f>
        <v>41220.161064814813</v>
      </c>
      <c r="C1575">
        <v>80</v>
      </c>
      <c r="D1575">
        <v>79.225326538000004</v>
      </c>
      <c r="E1575">
        <v>50</v>
      </c>
      <c r="F1575">
        <v>49.978599547999998</v>
      </c>
      <c r="G1575">
        <v>1327.184082</v>
      </c>
      <c r="H1575">
        <v>1324.9356689000001</v>
      </c>
      <c r="I1575">
        <v>1344.9747314000001</v>
      </c>
      <c r="J1575">
        <v>1340.4381103999999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921.43546700000002</v>
      </c>
      <c r="B1576" s="1">
        <f>DATE(2012,11,7) + TIME(10,27,4)</f>
        <v>41220.43546296296</v>
      </c>
      <c r="C1576">
        <v>80</v>
      </c>
      <c r="D1576">
        <v>79.198493958</v>
      </c>
      <c r="E1576">
        <v>50</v>
      </c>
      <c r="F1576">
        <v>49.978118895999998</v>
      </c>
      <c r="G1576">
        <v>1327.1728516000001</v>
      </c>
      <c r="H1576">
        <v>1324.9200439000001</v>
      </c>
      <c r="I1576">
        <v>1344.9644774999999</v>
      </c>
      <c r="J1576">
        <v>1340.4324951000001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921.71836699999994</v>
      </c>
      <c r="B1577" s="1">
        <f>DATE(2012,11,7) + TIME(17,14,26)</f>
        <v>41220.718356481484</v>
      </c>
      <c r="C1577">
        <v>80</v>
      </c>
      <c r="D1577">
        <v>79.171058654999996</v>
      </c>
      <c r="E1577">
        <v>50</v>
      </c>
      <c r="F1577">
        <v>49.977752686000002</v>
      </c>
      <c r="G1577">
        <v>1327.1612548999999</v>
      </c>
      <c r="H1577">
        <v>1324.9038086</v>
      </c>
      <c r="I1577">
        <v>1344.9543457</v>
      </c>
      <c r="J1577">
        <v>1340.4268798999999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922.010401</v>
      </c>
      <c r="B1578" s="1">
        <f>DATE(2012,11,8) + TIME(0,14,58)</f>
        <v>41221.010393518518</v>
      </c>
      <c r="C1578">
        <v>80</v>
      </c>
      <c r="D1578">
        <v>79.142990112000007</v>
      </c>
      <c r="E1578">
        <v>50</v>
      </c>
      <c r="F1578">
        <v>49.977470398000001</v>
      </c>
      <c r="G1578">
        <v>1327.1491699000001</v>
      </c>
      <c r="H1578">
        <v>1324.8870850000001</v>
      </c>
      <c r="I1578">
        <v>1344.9443358999999</v>
      </c>
      <c r="J1578">
        <v>1340.4213867000001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922.31216400000005</v>
      </c>
      <c r="B1579" s="1">
        <f>DATE(2012,11,8) + TIME(7,29,30)</f>
        <v>41221.312152777777</v>
      </c>
      <c r="C1579">
        <v>80</v>
      </c>
      <c r="D1579">
        <v>79.114227295000006</v>
      </c>
      <c r="E1579">
        <v>50</v>
      </c>
      <c r="F1579">
        <v>49.977252960000001</v>
      </c>
      <c r="G1579">
        <v>1327.1367187999999</v>
      </c>
      <c r="H1579">
        <v>1324.8696289</v>
      </c>
      <c r="I1579">
        <v>1344.9344481999999</v>
      </c>
      <c r="J1579">
        <v>1340.4158935999999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922.62446899999998</v>
      </c>
      <c r="B1580" s="1">
        <f>DATE(2012,11,8) + TIME(14,59,14)</f>
        <v>41221.624467592592</v>
      </c>
      <c r="C1580">
        <v>80</v>
      </c>
      <c r="D1580">
        <v>79.084732056000007</v>
      </c>
      <c r="E1580">
        <v>50</v>
      </c>
      <c r="F1580">
        <v>49.977085113999998</v>
      </c>
      <c r="G1580">
        <v>1327.1237793</v>
      </c>
      <c r="H1580">
        <v>1324.8515625</v>
      </c>
      <c r="I1580">
        <v>1344.9245605000001</v>
      </c>
      <c r="J1580">
        <v>1340.4104004000001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922.94817699999999</v>
      </c>
      <c r="B1581" s="1">
        <f>DATE(2012,11,8) + TIME(22,45,22)</f>
        <v>41221.948171296295</v>
      </c>
      <c r="C1581">
        <v>80</v>
      </c>
      <c r="D1581">
        <v>79.054435729999994</v>
      </c>
      <c r="E1581">
        <v>50</v>
      </c>
      <c r="F1581">
        <v>49.976955414000003</v>
      </c>
      <c r="G1581">
        <v>1327.1103516000001</v>
      </c>
      <c r="H1581">
        <v>1324.8327637</v>
      </c>
      <c r="I1581">
        <v>1344.9147949000001</v>
      </c>
      <c r="J1581">
        <v>1340.4050293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923.28419399999996</v>
      </c>
      <c r="B1582" s="1">
        <f>DATE(2012,11,9) + TIME(6,49,14)</f>
        <v>41222.284189814818</v>
      </c>
      <c r="C1582">
        <v>80</v>
      </c>
      <c r="D1582">
        <v>79.023277282999999</v>
      </c>
      <c r="E1582">
        <v>50</v>
      </c>
      <c r="F1582">
        <v>49.976852417000003</v>
      </c>
      <c r="G1582">
        <v>1327.0964355000001</v>
      </c>
      <c r="H1582">
        <v>1324.8132324000001</v>
      </c>
      <c r="I1582">
        <v>1344.9049072</v>
      </c>
      <c r="J1582">
        <v>1340.3995361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923.633512</v>
      </c>
      <c r="B1583" s="1">
        <f>DATE(2012,11,9) + TIME(15,12,15)</f>
        <v>41222.633506944447</v>
      </c>
      <c r="C1583">
        <v>80</v>
      </c>
      <c r="D1583">
        <v>78.991188049000002</v>
      </c>
      <c r="E1583">
        <v>50</v>
      </c>
      <c r="F1583">
        <v>49.976768493999998</v>
      </c>
      <c r="G1583">
        <v>1327.0819091999999</v>
      </c>
      <c r="H1583">
        <v>1324.7928466999999</v>
      </c>
      <c r="I1583">
        <v>1344.8951416</v>
      </c>
      <c r="J1583">
        <v>1340.394043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923.99722999999994</v>
      </c>
      <c r="B1584" s="1">
        <f>DATE(2012,11,9) + TIME(23,56,0)</f>
        <v>41222.99722222222</v>
      </c>
      <c r="C1584">
        <v>80</v>
      </c>
      <c r="D1584">
        <v>78.958099364999995</v>
      </c>
      <c r="E1584">
        <v>50</v>
      </c>
      <c r="F1584">
        <v>49.976699828999998</v>
      </c>
      <c r="G1584">
        <v>1327.0666504000001</v>
      </c>
      <c r="H1584">
        <v>1324.7716064000001</v>
      </c>
      <c r="I1584">
        <v>1344.8852539</v>
      </c>
      <c r="J1584">
        <v>1340.3886719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924.37656300000003</v>
      </c>
      <c r="B1585" s="1">
        <f>DATE(2012,11,10) + TIME(9,2,15)</f>
        <v>41223.376562500001</v>
      </c>
      <c r="C1585">
        <v>80</v>
      </c>
      <c r="D1585">
        <v>78.923934936999999</v>
      </c>
      <c r="E1585">
        <v>50</v>
      </c>
      <c r="F1585">
        <v>49.976642609000002</v>
      </c>
      <c r="G1585">
        <v>1327.0507812000001</v>
      </c>
      <c r="H1585">
        <v>1324.7495117000001</v>
      </c>
      <c r="I1585">
        <v>1344.8754882999999</v>
      </c>
      <c r="J1585">
        <v>1340.3831786999999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924.77286100000003</v>
      </c>
      <c r="B1586" s="1">
        <f>DATE(2012,11,10) + TIME(18,32,55)</f>
        <v>41223.772858796299</v>
      </c>
      <c r="C1586">
        <v>80</v>
      </c>
      <c r="D1586">
        <v>78.888595581000004</v>
      </c>
      <c r="E1586">
        <v>50</v>
      </c>
      <c r="F1586">
        <v>49.976596831999998</v>
      </c>
      <c r="G1586">
        <v>1327.0343018000001</v>
      </c>
      <c r="H1586">
        <v>1324.7263184000001</v>
      </c>
      <c r="I1586">
        <v>1344.8656006000001</v>
      </c>
      <c r="J1586">
        <v>1340.3776855000001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925.187635</v>
      </c>
      <c r="B1587" s="1">
        <f>DATE(2012,11,11) + TIME(4,30,11)</f>
        <v>41224.187627314815</v>
      </c>
      <c r="C1587">
        <v>80</v>
      </c>
      <c r="D1587">
        <v>78.851997374999996</v>
      </c>
      <c r="E1587">
        <v>50</v>
      </c>
      <c r="F1587">
        <v>49.976558685000001</v>
      </c>
      <c r="G1587">
        <v>1327.0169678</v>
      </c>
      <c r="H1587">
        <v>1324.7019043</v>
      </c>
      <c r="I1587">
        <v>1344.8555908000001</v>
      </c>
      <c r="J1587">
        <v>1340.3721923999999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925.62257099999999</v>
      </c>
      <c r="B1588" s="1">
        <f>DATE(2012,11,11) + TIME(14,56,30)</f>
        <v>41224.622569444444</v>
      </c>
      <c r="C1588">
        <v>80</v>
      </c>
      <c r="D1588">
        <v>78.814033507999994</v>
      </c>
      <c r="E1588">
        <v>50</v>
      </c>
      <c r="F1588">
        <v>49.976524353000002</v>
      </c>
      <c r="G1588">
        <v>1326.9986572</v>
      </c>
      <c r="H1588">
        <v>1324.6763916</v>
      </c>
      <c r="I1588">
        <v>1344.8455810999999</v>
      </c>
      <c r="J1588">
        <v>1340.3665771000001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926.07651099999998</v>
      </c>
      <c r="B1589" s="1">
        <f>DATE(2012,11,12) + TIME(1,50,10)</f>
        <v>41225.076504629629</v>
      </c>
      <c r="C1589">
        <v>80</v>
      </c>
      <c r="D1589">
        <v>78.774757385000001</v>
      </c>
      <c r="E1589">
        <v>50</v>
      </c>
      <c r="F1589">
        <v>49.976490020999996</v>
      </c>
      <c r="G1589">
        <v>1326.9796143000001</v>
      </c>
      <c r="H1589">
        <v>1324.6496582</v>
      </c>
      <c r="I1589">
        <v>1344.8354492000001</v>
      </c>
      <c r="J1589">
        <v>1340.3610839999999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926.54991900000005</v>
      </c>
      <c r="B1590" s="1">
        <f>DATE(2012,11,12) + TIME(13,11,53)</f>
        <v>41225.54991898148</v>
      </c>
      <c r="C1590">
        <v>80</v>
      </c>
      <c r="D1590">
        <v>78.734161377000007</v>
      </c>
      <c r="E1590">
        <v>50</v>
      </c>
      <c r="F1590">
        <v>49.976463318</v>
      </c>
      <c r="G1590">
        <v>1326.9595947</v>
      </c>
      <c r="H1590">
        <v>1324.6217041</v>
      </c>
      <c r="I1590">
        <v>1344.8253173999999</v>
      </c>
      <c r="J1590">
        <v>1340.3554687999999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927.03454399999998</v>
      </c>
      <c r="B1591" s="1">
        <f>DATE(2012,11,13) + TIME(0,49,44)</f>
        <v>41226.034537037034</v>
      </c>
      <c r="C1591">
        <v>80</v>
      </c>
      <c r="D1591">
        <v>78.692710876000007</v>
      </c>
      <c r="E1591">
        <v>50</v>
      </c>
      <c r="F1591">
        <v>49.976440429999997</v>
      </c>
      <c r="G1591">
        <v>1326.9388428</v>
      </c>
      <c r="H1591">
        <v>1324.5924072</v>
      </c>
      <c r="I1591">
        <v>1344.8150635</v>
      </c>
      <c r="J1591">
        <v>1340.3497314000001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927.52618099999995</v>
      </c>
      <c r="B1592" s="1">
        <f>DATE(2012,11,13) + TIME(12,37,42)</f>
        <v>41226.526180555556</v>
      </c>
      <c r="C1592">
        <v>80</v>
      </c>
      <c r="D1592">
        <v>78.650726317999997</v>
      </c>
      <c r="E1592">
        <v>50</v>
      </c>
      <c r="F1592">
        <v>49.976417542</v>
      </c>
      <c r="G1592">
        <v>1326.9173584</v>
      </c>
      <c r="H1592">
        <v>1324.5625</v>
      </c>
      <c r="I1592">
        <v>1344.8050536999999</v>
      </c>
      <c r="J1592">
        <v>1340.3442382999999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928.025892</v>
      </c>
      <c r="B1593" s="1">
        <f>DATE(2012,11,14) + TIME(0,37,17)</f>
        <v>41227.025891203702</v>
      </c>
      <c r="C1593">
        <v>80</v>
      </c>
      <c r="D1593">
        <v>78.608283997000001</v>
      </c>
      <c r="E1593">
        <v>50</v>
      </c>
      <c r="F1593">
        <v>49.976398467999999</v>
      </c>
      <c r="G1593">
        <v>1326.8955077999999</v>
      </c>
      <c r="H1593">
        <v>1324.5318603999999</v>
      </c>
      <c r="I1593">
        <v>1344.7952881000001</v>
      </c>
      <c r="J1593">
        <v>1340.3387451000001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928.53469900000005</v>
      </c>
      <c r="B1594" s="1">
        <f>DATE(2012,11,14) + TIME(12,49,57)</f>
        <v>41227.534687500003</v>
      </c>
      <c r="C1594">
        <v>80</v>
      </c>
      <c r="D1594">
        <v>78.565391540999997</v>
      </c>
      <c r="E1594">
        <v>50</v>
      </c>
      <c r="F1594">
        <v>49.976379395000002</v>
      </c>
      <c r="G1594">
        <v>1326.8732910000001</v>
      </c>
      <c r="H1594">
        <v>1324.5006103999999</v>
      </c>
      <c r="I1594">
        <v>1344.7856445</v>
      </c>
      <c r="J1594">
        <v>1340.3334961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929.05365500000005</v>
      </c>
      <c r="B1595" s="1">
        <f>DATE(2012,11,15) + TIME(1,17,15)</f>
        <v>41228.05364583333</v>
      </c>
      <c r="C1595">
        <v>80</v>
      </c>
      <c r="D1595">
        <v>78.522048949999999</v>
      </c>
      <c r="E1595">
        <v>50</v>
      </c>
      <c r="F1595">
        <v>49.976364136000001</v>
      </c>
      <c r="G1595">
        <v>1326.8507079999999</v>
      </c>
      <c r="H1595">
        <v>1324.4688721</v>
      </c>
      <c r="I1595">
        <v>1344.7762451000001</v>
      </c>
      <c r="J1595">
        <v>1340.3283690999999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929.58383200000003</v>
      </c>
      <c r="B1596" s="1">
        <f>DATE(2012,11,15) + TIME(14,0,43)</f>
        <v>41228.583831018521</v>
      </c>
      <c r="C1596">
        <v>80</v>
      </c>
      <c r="D1596">
        <v>78.478202820000007</v>
      </c>
      <c r="E1596">
        <v>50</v>
      </c>
      <c r="F1596">
        <v>49.976348877</v>
      </c>
      <c r="G1596">
        <v>1326.8275146000001</v>
      </c>
      <c r="H1596">
        <v>1324.4362793</v>
      </c>
      <c r="I1596">
        <v>1344.7669678</v>
      </c>
      <c r="J1596">
        <v>1340.3232422000001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930.126351</v>
      </c>
      <c r="B1597" s="1">
        <f>DATE(2012,11,16) + TIME(3,1,56)</f>
        <v>41229.126342592594</v>
      </c>
      <c r="C1597">
        <v>80</v>
      </c>
      <c r="D1597">
        <v>78.433815002000003</v>
      </c>
      <c r="E1597">
        <v>50</v>
      </c>
      <c r="F1597">
        <v>49.976333617999998</v>
      </c>
      <c r="G1597">
        <v>1326.8038329999999</v>
      </c>
      <c r="H1597">
        <v>1324.4030762</v>
      </c>
      <c r="I1597">
        <v>1344.7578125</v>
      </c>
      <c r="J1597">
        <v>1340.3182373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930.68240200000002</v>
      </c>
      <c r="B1598" s="1">
        <f>DATE(2012,11,16) + TIME(16,22,39)</f>
        <v>41229.682395833333</v>
      </c>
      <c r="C1598">
        <v>80</v>
      </c>
      <c r="D1598">
        <v>78.388824463000006</v>
      </c>
      <c r="E1598">
        <v>50</v>
      </c>
      <c r="F1598">
        <v>49.976318358999997</v>
      </c>
      <c r="G1598">
        <v>1326.7796631000001</v>
      </c>
      <c r="H1598">
        <v>1324.3691406</v>
      </c>
      <c r="I1598">
        <v>1344.7489014</v>
      </c>
      <c r="J1598">
        <v>1340.3132324000001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931.25322500000004</v>
      </c>
      <c r="B1599" s="1">
        <f>DATE(2012,11,17) + TIME(6,4,38)</f>
        <v>41230.253217592595</v>
      </c>
      <c r="C1599">
        <v>80</v>
      </c>
      <c r="D1599">
        <v>78.343162536999998</v>
      </c>
      <c r="E1599">
        <v>50</v>
      </c>
      <c r="F1599">
        <v>49.976306915000002</v>
      </c>
      <c r="G1599">
        <v>1326.7548827999999</v>
      </c>
      <c r="H1599">
        <v>1324.3342285000001</v>
      </c>
      <c r="I1599">
        <v>1344.7398682</v>
      </c>
      <c r="J1599">
        <v>1340.3083495999999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931.84004200000004</v>
      </c>
      <c r="B1600" s="1">
        <f>DATE(2012,11,17) + TIME(20,9,39)</f>
        <v>41230.84003472222</v>
      </c>
      <c r="C1600">
        <v>80</v>
      </c>
      <c r="D1600">
        <v>78.296768188000001</v>
      </c>
      <c r="E1600">
        <v>50</v>
      </c>
      <c r="F1600">
        <v>49.976291656000001</v>
      </c>
      <c r="G1600">
        <v>1326.7293701000001</v>
      </c>
      <c r="H1600">
        <v>1324.2984618999999</v>
      </c>
      <c r="I1600">
        <v>1344.7310791</v>
      </c>
      <c r="J1600">
        <v>1340.3035889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932.44416999999999</v>
      </c>
      <c r="B1601" s="1">
        <f>DATE(2012,11,18) + TIME(10,39,36)</f>
        <v>41231.444166666668</v>
      </c>
      <c r="C1601">
        <v>80</v>
      </c>
      <c r="D1601">
        <v>78.249565125000004</v>
      </c>
      <c r="E1601">
        <v>50</v>
      </c>
      <c r="F1601">
        <v>49.976280211999999</v>
      </c>
      <c r="G1601">
        <v>1326.7032471</v>
      </c>
      <c r="H1601">
        <v>1324.2618408000001</v>
      </c>
      <c r="I1601">
        <v>1344.7222899999999</v>
      </c>
      <c r="J1601">
        <v>1340.2987060999999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933.06728099999998</v>
      </c>
      <c r="B1602" s="1">
        <f>DATE(2012,11,19) + TIME(1,36,53)</f>
        <v>41232.067280092589</v>
      </c>
      <c r="C1602">
        <v>80</v>
      </c>
      <c r="D1602">
        <v>78.201469420999999</v>
      </c>
      <c r="E1602">
        <v>50</v>
      </c>
      <c r="F1602">
        <v>49.976268767999997</v>
      </c>
      <c r="G1602">
        <v>1326.6763916</v>
      </c>
      <c r="H1602">
        <v>1324.223999</v>
      </c>
      <c r="I1602">
        <v>1344.713501</v>
      </c>
      <c r="J1602">
        <v>1340.2939452999999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933.71103200000005</v>
      </c>
      <c r="B1603" s="1">
        <f>DATE(2012,11,19) + TIME(17,3,53)</f>
        <v>41232.711030092592</v>
      </c>
      <c r="C1603">
        <v>80</v>
      </c>
      <c r="D1603">
        <v>78.152389525999993</v>
      </c>
      <c r="E1603">
        <v>50</v>
      </c>
      <c r="F1603">
        <v>49.976257324000002</v>
      </c>
      <c r="G1603">
        <v>1326.6486815999999</v>
      </c>
      <c r="H1603">
        <v>1324.1851807</v>
      </c>
      <c r="I1603">
        <v>1344.7048339999999</v>
      </c>
      <c r="J1603">
        <v>1340.2891846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934.37722599999995</v>
      </c>
      <c r="B1604" s="1">
        <f>DATE(2012,11,20) + TIME(9,3,12)</f>
        <v>41233.377222222225</v>
      </c>
      <c r="C1604">
        <v>80</v>
      </c>
      <c r="D1604">
        <v>78.102241516000007</v>
      </c>
      <c r="E1604">
        <v>50</v>
      </c>
      <c r="F1604">
        <v>49.97624588</v>
      </c>
      <c r="G1604">
        <v>1326.6201172000001</v>
      </c>
      <c r="H1604">
        <v>1324.1450195</v>
      </c>
      <c r="I1604">
        <v>1344.6960449000001</v>
      </c>
      <c r="J1604">
        <v>1340.2845459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935.06783600000006</v>
      </c>
      <c r="B1605" s="1">
        <f>DATE(2012,11,21) + TIME(1,37,41)</f>
        <v>41234.067835648151</v>
      </c>
      <c r="C1605">
        <v>80</v>
      </c>
      <c r="D1605">
        <v>78.050910950000002</v>
      </c>
      <c r="E1605">
        <v>50</v>
      </c>
      <c r="F1605">
        <v>49.976234435999999</v>
      </c>
      <c r="G1605">
        <v>1326.5905762</v>
      </c>
      <c r="H1605">
        <v>1324.1036377</v>
      </c>
      <c r="I1605">
        <v>1344.6873779</v>
      </c>
      <c r="J1605">
        <v>1340.2797852000001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935.78501700000004</v>
      </c>
      <c r="B1606" s="1">
        <f>DATE(2012,11,21) + TIME(18,50,25)</f>
        <v>41234.785011574073</v>
      </c>
      <c r="C1606">
        <v>80</v>
      </c>
      <c r="D1606">
        <v>77.998306274000001</v>
      </c>
      <c r="E1606">
        <v>50</v>
      </c>
      <c r="F1606">
        <v>49.976226807000003</v>
      </c>
      <c r="G1606">
        <v>1326.5600586</v>
      </c>
      <c r="H1606">
        <v>1324.0607910000001</v>
      </c>
      <c r="I1606">
        <v>1344.6785889</v>
      </c>
      <c r="J1606">
        <v>1340.2750243999999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936.531159</v>
      </c>
      <c r="B1607" s="1">
        <f>DATE(2012,11,22) + TIME(12,44,52)</f>
        <v>41235.531157407408</v>
      </c>
      <c r="C1607">
        <v>80</v>
      </c>
      <c r="D1607">
        <v>77.944305420000006</v>
      </c>
      <c r="E1607">
        <v>50</v>
      </c>
      <c r="F1607">
        <v>49.976215363000001</v>
      </c>
      <c r="G1607">
        <v>1326.5284423999999</v>
      </c>
      <c r="H1607">
        <v>1324.0164795000001</v>
      </c>
      <c r="I1607">
        <v>1344.6697998</v>
      </c>
      <c r="J1607">
        <v>1340.2703856999999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937.30891299999996</v>
      </c>
      <c r="B1608" s="1">
        <f>DATE(2012,11,23) + TIME(7,24,50)</f>
        <v>41236.308912037035</v>
      </c>
      <c r="C1608">
        <v>80</v>
      </c>
      <c r="D1608">
        <v>77.888778686999999</v>
      </c>
      <c r="E1608">
        <v>50</v>
      </c>
      <c r="F1608">
        <v>49.976207733000003</v>
      </c>
      <c r="G1608">
        <v>1326.4956055</v>
      </c>
      <c r="H1608">
        <v>1323.9703368999999</v>
      </c>
      <c r="I1608">
        <v>1344.6610106999999</v>
      </c>
      <c r="J1608">
        <v>1340.265625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938.12039600000003</v>
      </c>
      <c r="B1609" s="1">
        <f>DATE(2012,11,24) + TIME(2,53,22)</f>
        <v>41237.120393518519</v>
      </c>
      <c r="C1609">
        <v>80</v>
      </c>
      <c r="D1609">
        <v>77.831626892000003</v>
      </c>
      <c r="E1609">
        <v>50</v>
      </c>
      <c r="F1609">
        <v>49.976196289000001</v>
      </c>
      <c r="G1609">
        <v>1326.4614257999999</v>
      </c>
      <c r="H1609">
        <v>1323.9226074000001</v>
      </c>
      <c r="I1609">
        <v>1344.6520995999999</v>
      </c>
      <c r="J1609">
        <v>1340.2608643000001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938.95334700000001</v>
      </c>
      <c r="B1610" s="1">
        <f>DATE(2012,11,24) + TIME(22,52,49)</f>
        <v>41237.953344907408</v>
      </c>
      <c r="C1610">
        <v>80</v>
      </c>
      <c r="D1610">
        <v>77.773246764999996</v>
      </c>
      <c r="E1610">
        <v>50</v>
      </c>
      <c r="F1610">
        <v>49.976188659999998</v>
      </c>
      <c r="G1610">
        <v>1326.4260254000001</v>
      </c>
      <c r="H1610">
        <v>1323.8729248</v>
      </c>
      <c r="I1610">
        <v>1344.6431885</v>
      </c>
      <c r="J1610">
        <v>1340.2561035000001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939.79893300000003</v>
      </c>
      <c r="B1611" s="1">
        <f>DATE(2012,11,25) + TIME(19,10,27)</f>
        <v>41238.79892361111</v>
      </c>
      <c r="C1611">
        <v>80</v>
      </c>
      <c r="D1611">
        <v>77.714149474999999</v>
      </c>
      <c r="E1611">
        <v>50</v>
      </c>
      <c r="F1611">
        <v>49.976181029999999</v>
      </c>
      <c r="G1611">
        <v>1326.3896483999999</v>
      </c>
      <c r="H1611">
        <v>1323.8220214999999</v>
      </c>
      <c r="I1611">
        <v>1344.6342772999999</v>
      </c>
      <c r="J1611">
        <v>1340.2513428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940.65911800000003</v>
      </c>
      <c r="B1612" s="1">
        <f>DATE(2012,11,26) + TIME(15,49,7)</f>
        <v>41239.659108796295</v>
      </c>
      <c r="C1612">
        <v>80</v>
      </c>
      <c r="D1612">
        <v>77.654563904</v>
      </c>
      <c r="E1612">
        <v>50</v>
      </c>
      <c r="F1612">
        <v>49.976169585999997</v>
      </c>
      <c r="G1612">
        <v>1326.3526611</v>
      </c>
      <c r="H1612">
        <v>1323.7702637</v>
      </c>
      <c r="I1612">
        <v>1344.6256103999999</v>
      </c>
      <c r="J1612">
        <v>1340.2467041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941.53576599999997</v>
      </c>
      <c r="B1613" s="1">
        <f>DATE(2012,11,27) + TIME(12,51,30)</f>
        <v>41240.535763888889</v>
      </c>
      <c r="C1613">
        <v>80</v>
      </c>
      <c r="D1613">
        <v>77.594543457</v>
      </c>
      <c r="E1613">
        <v>50</v>
      </c>
      <c r="F1613">
        <v>49.976161957000002</v>
      </c>
      <c r="G1613">
        <v>1326.3151855000001</v>
      </c>
      <c r="H1613">
        <v>1323.7176514</v>
      </c>
      <c r="I1613">
        <v>1344.6169434000001</v>
      </c>
      <c r="J1613">
        <v>1340.2421875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942.430836</v>
      </c>
      <c r="B1614" s="1">
        <f>DATE(2012,11,28) + TIME(10,20,24)</f>
        <v>41241.430833333332</v>
      </c>
      <c r="C1614">
        <v>80</v>
      </c>
      <c r="D1614">
        <v>77.534065247000001</v>
      </c>
      <c r="E1614">
        <v>50</v>
      </c>
      <c r="F1614">
        <v>49.976154327000003</v>
      </c>
      <c r="G1614">
        <v>1326.2770995999999</v>
      </c>
      <c r="H1614">
        <v>1323.6643065999999</v>
      </c>
      <c r="I1614">
        <v>1344.6085204999999</v>
      </c>
      <c r="J1614">
        <v>1340.2376709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943.34644000000003</v>
      </c>
      <c r="B1615" s="1">
        <f>DATE(2012,11,29) + TIME(8,18,52)</f>
        <v>41242.346435185187</v>
      </c>
      <c r="C1615">
        <v>80</v>
      </c>
      <c r="D1615">
        <v>77.473037719999994</v>
      </c>
      <c r="E1615">
        <v>50</v>
      </c>
      <c r="F1615">
        <v>49.976150513</v>
      </c>
      <c r="G1615">
        <v>1326.2382812000001</v>
      </c>
      <c r="H1615">
        <v>1323.6098632999999</v>
      </c>
      <c r="I1615">
        <v>1344.6002197</v>
      </c>
      <c r="J1615">
        <v>1340.2332764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944.28472199999999</v>
      </c>
      <c r="B1616" s="1">
        <f>DATE(2012,11,30) + TIME(6,50,0)</f>
        <v>41243.284722222219</v>
      </c>
      <c r="C1616">
        <v>80</v>
      </c>
      <c r="D1616">
        <v>77.411376953000001</v>
      </c>
      <c r="E1616">
        <v>50</v>
      </c>
      <c r="F1616">
        <v>49.976142883000001</v>
      </c>
      <c r="G1616">
        <v>1326.1987305</v>
      </c>
      <c r="H1616">
        <v>1323.5545654</v>
      </c>
      <c r="I1616">
        <v>1344.5919189000001</v>
      </c>
      <c r="J1616">
        <v>1340.2290039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945</v>
      </c>
      <c r="B1617" s="1">
        <f>DATE(2012,12,1) + TIME(0,0,0)</f>
        <v>41244</v>
      </c>
      <c r="C1617">
        <v>80</v>
      </c>
      <c r="D1617">
        <v>77.357261657999999</v>
      </c>
      <c r="E1617">
        <v>50</v>
      </c>
      <c r="F1617">
        <v>49.976135253999999</v>
      </c>
      <c r="G1617">
        <v>1326.1594238</v>
      </c>
      <c r="H1617">
        <v>1323.5</v>
      </c>
      <c r="I1617">
        <v>1344.5836182</v>
      </c>
      <c r="J1617">
        <v>1340.2246094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945.96314600000005</v>
      </c>
      <c r="B1618" s="1">
        <f>DATE(2012,12,1) + TIME(23,6,55)</f>
        <v>41244.963136574072</v>
      </c>
      <c r="C1618">
        <v>80</v>
      </c>
      <c r="D1618">
        <v>77.299079895000006</v>
      </c>
      <c r="E1618">
        <v>50</v>
      </c>
      <c r="F1618">
        <v>49.976131439</v>
      </c>
      <c r="G1618">
        <v>1326.1258545000001</v>
      </c>
      <c r="H1618">
        <v>1323.4521483999999</v>
      </c>
      <c r="I1618">
        <v>1344.5776367000001</v>
      </c>
      <c r="J1618">
        <v>1340.2215576000001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946.97515099999998</v>
      </c>
      <c r="B1619" s="1">
        <f>DATE(2012,12,2) + TIME(23,24,13)</f>
        <v>41245.97515046296</v>
      </c>
      <c r="C1619">
        <v>80</v>
      </c>
      <c r="D1619">
        <v>77.237442017000006</v>
      </c>
      <c r="E1619">
        <v>50</v>
      </c>
      <c r="F1619">
        <v>49.976127624999997</v>
      </c>
      <c r="G1619">
        <v>1326.0855713000001</v>
      </c>
      <c r="H1619">
        <v>1323.3959961</v>
      </c>
      <c r="I1619">
        <v>1344.5697021000001</v>
      </c>
      <c r="J1619">
        <v>1340.2174072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948.018461</v>
      </c>
      <c r="B1620" s="1">
        <f>DATE(2012,12,4) + TIME(0,26,35)</f>
        <v>41247.018460648149</v>
      </c>
      <c r="C1620">
        <v>80</v>
      </c>
      <c r="D1620">
        <v>77.173393250000004</v>
      </c>
      <c r="E1620">
        <v>50</v>
      </c>
      <c r="F1620">
        <v>49.976123809999997</v>
      </c>
      <c r="G1620">
        <v>1326.0432129000001</v>
      </c>
      <c r="H1620">
        <v>1323.3367920000001</v>
      </c>
      <c r="I1620">
        <v>1344.5615233999999</v>
      </c>
      <c r="J1620">
        <v>1340.2132568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949.09664599999996</v>
      </c>
      <c r="B1621" s="1">
        <f>DATE(2012,12,5) + TIME(2,19,10)</f>
        <v>41248.096643518518</v>
      </c>
      <c r="C1621">
        <v>80</v>
      </c>
      <c r="D1621">
        <v>77.107543945000003</v>
      </c>
      <c r="E1621">
        <v>50</v>
      </c>
      <c r="F1621">
        <v>49.976119994999998</v>
      </c>
      <c r="G1621">
        <v>1325.9993896000001</v>
      </c>
      <c r="H1621">
        <v>1323.2755127</v>
      </c>
      <c r="I1621">
        <v>1344.5534668</v>
      </c>
      <c r="J1621">
        <v>1340.2089844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950.21295399999997</v>
      </c>
      <c r="B1622" s="1">
        <f>DATE(2012,12,6) + TIME(5,6,39)</f>
        <v>41249.212951388887</v>
      </c>
      <c r="C1622">
        <v>80</v>
      </c>
      <c r="D1622">
        <v>77.040069579999994</v>
      </c>
      <c r="E1622">
        <v>50</v>
      </c>
      <c r="F1622">
        <v>49.976116179999998</v>
      </c>
      <c r="G1622">
        <v>1325.9541016000001</v>
      </c>
      <c r="H1622">
        <v>1323.2124022999999</v>
      </c>
      <c r="I1622">
        <v>1344.5452881000001</v>
      </c>
      <c r="J1622">
        <v>1340.2048339999999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951.37097500000004</v>
      </c>
      <c r="B1623" s="1">
        <f>DATE(2012,12,7) + TIME(8,54,12)</f>
        <v>41250.370972222219</v>
      </c>
      <c r="C1623">
        <v>80</v>
      </c>
      <c r="D1623">
        <v>76.970939635999997</v>
      </c>
      <c r="E1623">
        <v>50</v>
      </c>
      <c r="F1623">
        <v>49.976112366000002</v>
      </c>
      <c r="G1623">
        <v>1325.9074707</v>
      </c>
      <c r="H1623">
        <v>1323.1472168</v>
      </c>
      <c r="I1623">
        <v>1344.5371094</v>
      </c>
      <c r="J1623">
        <v>1340.2006836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952.57466499999998</v>
      </c>
      <c r="B1624" s="1">
        <f>DATE(2012,12,8) + TIME(13,47,31)</f>
        <v>41251.574664351851</v>
      </c>
      <c r="C1624">
        <v>80</v>
      </c>
      <c r="D1624">
        <v>76.900054932000003</v>
      </c>
      <c r="E1624">
        <v>50</v>
      </c>
      <c r="F1624">
        <v>49.976108551000003</v>
      </c>
      <c r="G1624">
        <v>1325.859375</v>
      </c>
      <c r="H1624">
        <v>1323.0800781</v>
      </c>
      <c r="I1624">
        <v>1344.5289307</v>
      </c>
      <c r="J1624">
        <v>1340.1965332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953.82842600000004</v>
      </c>
      <c r="B1625" s="1">
        <f>DATE(2012,12,9) + TIME(19,52,55)</f>
        <v>41252.828414351854</v>
      </c>
      <c r="C1625">
        <v>80</v>
      </c>
      <c r="D1625">
        <v>76.827232361</v>
      </c>
      <c r="E1625">
        <v>50</v>
      </c>
      <c r="F1625">
        <v>49.976108551000003</v>
      </c>
      <c r="G1625">
        <v>1325.8095702999999</v>
      </c>
      <c r="H1625">
        <v>1323.0107422000001</v>
      </c>
      <c r="I1625">
        <v>1344.5206298999999</v>
      </c>
      <c r="J1625">
        <v>1340.1922606999999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955.12534300000004</v>
      </c>
      <c r="B1626" s="1">
        <f>DATE(2012,12,11) + TIME(3,0,29)</f>
        <v>41254.125335648147</v>
      </c>
      <c r="C1626">
        <v>80</v>
      </c>
      <c r="D1626">
        <v>76.752517699999999</v>
      </c>
      <c r="E1626">
        <v>50</v>
      </c>
      <c r="F1626">
        <v>49.976104736000003</v>
      </c>
      <c r="G1626">
        <v>1325.7581786999999</v>
      </c>
      <c r="H1626">
        <v>1322.9389647999999</v>
      </c>
      <c r="I1626">
        <v>1344.5123291</v>
      </c>
      <c r="J1626">
        <v>1340.1881103999999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956.44417199999998</v>
      </c>
      <c r="B1627" s="1">
        <f>DATE(2012,12,12) + TIME(10,39,36)</f>
        <v>41255.444166666668</v>
      </c>
      <c r="C1627">
        <v>80</v>
      </c>
      <c r="D1627">
        <v>76.676475525000001</v>
      </c>
      <c r="E1627">
        <v>50</v>
      </c>
      <c r="F1627">
        <v>49.976104736000003</v>
      </c>
      <c r="G1627">
        <v>1325.7053223</v>
      </c>
      <c r="H1627">
        <v>1322.8652344</v>
      </c>
      <c r="I1627">
        <v>1344.5039062000001</v>
      </c>
      <c r="J1627">
        <v>1340.1838379000001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957.78835800000002</v>
      </c>
      <c r="B1628" s="1">
        <f>DATE(2012,12,13) + TIME(18,55,14)</f>
        <v>41256.788356481484</v>
      </c>
      <c r="C1628">
        <v>80</v>
      </c>
      <c r="D1628">
        <v>76.599609375</v>
      </c>
      <c r="E1628">
        <v>50</v>
      </c>
      <c r="F1628">
        <v>49.976100922000001</v>
      </c>
      <c r="G1628">
        <v>1325.6514893000001</v>
      </c>
      <c r="H1628">
        <v>1322.7904053</v>
      </c>
      <c r="I1628">
        <v>1344.4957274999999</v>
      </c>
      <c r="J1628">
        <v>1340.1796875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959.16107999999997</v>
      </c>
      <c r="B1629" s="1">
        <f>DATE(2012,12,15) + TIME(3,51,57)</f>
        <v>41258.161076388889</v>
      </c>
      <c r="C1629">
        <v>80</v>
      </c>
      <c r="D1629">
        <v>76.521949767999999</v>
      </c>
      <c r="E1629">
        <v>50</v>
      </c>
      <c r="F1629">
        <v>49.976100922000001</v>
      </c>
      <c r="G1629">
        <v>1325.5970459</v>
      </c>
      <c r="H1629">
        <v>1322.7143555</v>
      </c>
      <c r="I1629">
        <v>1344.4875488</v>
      </c>
      <c r="J1629">
        <v>1340.1756591999999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960.56575699999996</v>
      </c>
      <c r="B1630" s="1">
        <f>DATE(2012,12,16) + TIME(13,34,41)</f>
        <v>41259.565752314818</v>
      </c>
      <c r="C1630">
        <v>80</v>
      </c>
      <c r="D1630">
        <v>76.443397521999998</v>
      </c>
      <c r="E1630">
        <v>50</v>
      </c>
      <c r="F1630">
        <v>49.976100922000001</v>
      </c>
      <c r="G1630">
        <v>1325.5418701000001</v>
      </c>
      <c r="H1630">
        <v>1322.6373291</v>
      </c>
      <c r="I1630">
        <v>1344.4794922000001</v>
      </c>
      <c r="J1630">
        <v>1340.1716309000001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962.00607500000001</v>
      </c>
      <c r="B1631" s="1">
        <f>DATE(2012,12,18) + TIME(0,8,44)</f>
        <v>41261.006064814814</v>
      </c>
      <c r="C1631">
        <v>80</v>
      </c>
      <c r="D1631">
        <v>76.363754271999994</v>
      </c>
      <c r="E1631">
        <v>50</v>
      </c>
      <c r="F1631">
        <v>49.976100922000001</v>
      </c>
      <c r="G1631">
        <v>1325.4857178</v>
      </c>
      <c r="H1631">
        <v>1322.5592041</v>
      </c>
      <c r="I1631">
        <v>1344.4714355000001</v>
      </c>
      <c r="J1631">
        <v>1340.1676024999999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963.48594200000002</v>
      </c>
      <c r="B1632" s="1">
        <f>DATE(2012,12,19) + TIME(11,39,45)</f>
        <v>41262.485937500001</v>
      </c>
      <c r="C1632">
        <v>80</v>
      </c>
      <c r="D1632">
        <v>76.282814025999997</v>
      </c>
      <c r="E1632">
        <v>50</v>
      </c>
      <c r="F1632">
        <v>49.976104736000003</v>
      </c>
      <c r="G1632">
        <v>1325.4285889</v>
      </c>
      <c r="H1632">
        <v>1322.4796143000001</v>
      </c>
      <c r="I1632">
        <v>1344.463501</v>
      </c>
      <c r="J1632">
        <v>1340.1636963000001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965.008779</v>
      </c>
      <c r="B1633" s="1">
        <f>DATE(2012,12,21) + TIME(0,12,38)</f>
        <v>41264.008773148147</v>
      </c>
      <c r="C1633">
        <v>80</v>
      </c>
      <c r="D1633">
        <v>76.200332642000006</v>
      </c>
      <c r="E1633">
        <v>50</v>
      </c>
      <c r="F1633">
        <v>49.976104736000003</v>
      </c>
      <c r="G1633">
        <v>1325.3703613</v>
      </c>
      <c r="H1633">
        <v>1322.3985596</v>
      </c>
      <c r="I1633">
        <v>1344.4554443</v>
      </c>
      <c r="J1633">
        <v>1340.1597899999999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966.57917499999996</v>
      </c>
      <c r="B1634" s="1">
        <f>DATE(2012,12,22) + TIME(13,54,0)</f>
        <v>41265.57916666667</v>
      </c>
      <c r="C1634">
        <v>80</v>
      </c>
      <c r="D1634">
        <v>76.116081238000007</v>
      </c>
      <c r="E1634">
        <v>50</v>
      </c>
      <c r="F1634">
        <v>49.976108551000003</v>
      </c>
      <c r="G1634">
        <v>1325.3109131000001</v>
      </c>
      <c r="H1634">
        <v>1322.315918</v>
      </c>
      <c r="I1634">
        <v>1344.4475098</v>
      </c>
      <c r="J1634">
        <v>1340.1557617000001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968.20204100000001</v>
      </c>
      <c r="B1635" s="1">
        <f>DATE(2012,12,24) + TIME(4,50,56)</f>
        <v>41267.202037037037</v>
      </c>
      <c r="C1635">
        <v>80</v>
      </c>
      <c r="D1635">
        <v>76.029769896999994</v>
      </c>
      <c r="E1635">
        <v>50</v>
      </c>
      <c r="F1635">
        <v>49.976108551000003</v>
      </c>
      <c r="G1635">
        <v>1325.2501221</v>
      </c>
      <c r="H1635">
        <v>1322.2314452999999</v>
      </c>
      <c r="I1635">
        <v>1344.4395752</v>
      </c>
      <c r="J1635">
        <v>1340.1518555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969.88271099999997</v>
      </c>
      <c r="B1636" s="1">
        <f>DATE(2012,12,25) + TIME(21,11,6)</f>
        <v>41268.882708333331</v>
      </c>
      <c r="C1636">
        <v>80</v>
      </c>
      <c r="D1636">
        <v>75.941093445000007</v>
      </c>
      <c r="E1636">
        <v>50</v>
      </c>
      <c r="F1636">
        <v>49.976112366000002</v>
      </c>
      <c r="G1636">
        <v>1325.1878661999999</v>
      </c>
      <c r="H1636">
        <v>1322.1448975000001</v>
      </c>
      <c r="I1636">
        <v>1344.4315185999999</v>
      </c>
      <c r="J1636">
        <v>1340.1479492000001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971.62703799999997</v>
      </c>
      <c r="B1637" s="1">
        <f>DATE(2012,12,27) + TIME(15,2,56)</f>
        <v>41270.62703703704</v>
      </c>
      <c r="C1637">
        <v>80</v>
      </c>
      <c r="D1637">
        <v>75.849708557</v>
      </c>
      <c r="E1637">
        <v>50</v>
      </c>
      <c r="F1637">
        <v>49.976116179999998</v>
      </c>
      <c r="G1637">
        <v>1325.1240233999999</v>
      </c>
      <c r="H1637">
        <v>1322.0561522999999</v>
      </c>
      <c r="I1637">
        <v>1344.4234618999999</v>
      </c>
      <c r="J1637">
        <v>1340.144043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973.44148800000005</v>
      </c>
      <c r="B1638" s="1">
        <f>DATE(2012,12,29) + TIME(10,35,44)</f>
        <v>41272.441481481481</v>
      </c>
      <c r="C1638">
        <v>80</v>
      </c>
      <c r="D1638">
        <v>75.755249023000005</v>
      </c>
      <c r="E1638">
        <v>50</v>
      </c>
      <c r="F1638">
        <v>49.976123809999997</v>
      </c>
      <c r="G1638">
        <v>1325.0583495999999</v>
      </c>
      <c r="H1638">
        <v>1321.9649658000001</v>
      </c>
      <c r="I1638">
        <v>1344.4152832</v>
      </c>
      <c r="J1638">
        <v>1340.1400146000001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975.33326199999999</v>
      </c>
      <c r="B1639" s="1">
        <f>DATE(2012,12,31) + TIME(7,59,53)</f>
        <v>41274.333252314813</v>
      </c>
      <c r="C1639">
        <v>80</v>
      </c>
      <c r="D1639">
        <v>75.657279967999997</v>
      </c>
      <c r="E1639">
        <v>50</v>
      </c>
      <c r="F1639">
        <v>49.976127624999997</v>
      </c>
      <c r="G1639">
        <v>1324.9907227000001</v>
      </c>
      <c r="H1639">
        <v>1321.8712158000001</v>
      </c>
      <c r="I1639">
        <v>1344.4071045000001</v>
      </c>
      <c r="J1639">
        <v>1340.1359863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976</v>
      </c>
      <c r="B1640" s="1">
        <f>DATE(2013,1,1) + TIME(0,0,0)</f>
        <v>41275</v>
      </c>
      <c r="C1640">
        <v>80</v>
      </c>
      <c r="D1640">
        <v>75.589057921999995</v>
      </c>
      <c r="E1640">
        <v>50</v>
      </c>
      <c r="F1640">
        <v>49.976119994999998</v>
      </c>
      <c r="G1640">
        <v>1324.9257812000001</v>
      </c>
      <c r="H1640">
        <v>1321.7832031</v>
      </c>
      <c r="I1640">
        <v>1344.3986815999999</v>
      </c>
      <c r="J1640">
        <v>1340.1318358999999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977.95881999999995</v>
      </c>
      <c r="B1641" s="1">
        <f>DATE(2013,1,2) + TIME(23,0,42)</f>
        <v>41276.958819444444</v>
      </c>
      <c r="C1641">
        <v>80</v>
      </c>
      <c r="D1641">
        <v>75.511436462000006</v>
      </c>
      <c r="E1641">
        <v>50</v>
      </c>
      <c r="F1641">
        <v>49.976135253999999</v>
      </c>
      <c r="G1641">
        <v>1324.8889160000001</v>
      </c>
      <c r="H1641">
        <v>1321.7276611</v>
      </c>
      <c r="I1641">
        <v>1344.3957519999999</v>
      </c>
      <c r="J1641">
        <v>1340.1304932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979.966362</v>
      </c>
      <c r="B1642" s="1">
        <f>DATE(2013,1,4) + TIME(23,11,33)</f>
        <v>41278.966354166667</v>
      </c>
      <c r="C1642">
        <v>80</v>
      </c>
      <c r="D1642">
        <v>75.412559509000005</v>
      </c>
      <c r="E1642">
        <v>50</v>
      </c>
      <c r="F1642">
        <v>49.976142883000001</v>
      </c>
      <c r="G1642">
        <v>1324.8229980000001</v>
      </c>
      <c r="H1642">
        <v>1321.6379394999999</v>
      </c>
      <c r="I1642">
        <v>1344.3874512</v>
      </c>
      <c r="J1642">
        <v>1340.1265868999999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982.02506000000005</v>
      </c>
      <c r="B1643" s="1">
        <f>DATE(2013,1,7) + TIME(0,36,5)</f>
        <v>41281.025057870371</v>
      </c>
      <c r="C1643">
        <v>80</v>
      </c>
      <c r="D1643">
        <v>75.306015015</v>
      </c>
      <c r="E1643">
        <v>50</v>
      </c>
      <c r="F1643">
        <v>49.976150513</v>
      </c>
      <c r="G1643">
        <v>1324.7518310999999</v>
      </c>
      <c r="H1643">
        <v>1321.5397949000001</v>
      </c>
      <c r="I1643">
        <v>1344.3791504000001</v>
      </c>
      <c r="J1643">
        <v>1340.1224365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984.136979</v>
      </c>
      <c r="B1644" s="1">
        <f>DATE(2013,1,9) + TIME(3,17,14)</f>
        <v>41283.136967592596</v>
      </c>
      <c r="C1644">
        <v>80</v>
      </c>
      <c r="D1644">
        <v>75.195243834999999</v>
      </c>
      <c r="E1644">
        <v>50</v>
      </c>
      <c r="F1644">
        <v>49.976161957000002</v>
      </c>
      <c r="G1644">
        <v>1324.6787108999999</v>
      </c>
      <c r="H1644">
        <v>1321.4384766000001</v>
      </c>
      <c r="I1644">
        <v>1344.3708495999999</v>
      </c>
      <c r="J1644">
        <v>1340.1184082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986.30761600000005</v>
      </c>
      <c r="B1645" s="1">
        <f>DATE(2013,1,11) + TIME(7,22,57)</f>
        <v>41285.307604166665</v>
      </c>
      <c r="C1645">
        <v>80</v>
      </c>
      <c r="D1645">
        <v>75.080924988000007</v>
      </c>
      <c r="E1645">
        <v>50</v>
      </c>
      <c r="F1645">
        <v>49.976169585999997</v>
      </c>
      <c r="G1645">
        <v>1324.604126</v>
      </c>
      <c r="H1645">
        <v>1321.3350829999999</v>
      </c>
      <c r="I1645">
        <v>1344.3625488</v>
      </c>
      <c r="J1645">
        <v>1340.1143798999999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988.54385500000001</v>
      </c>
      <c r="B1646" s="1">
        <f>DATE(2013,1,13) + TIME(13,3,9)</f>
        <v>41287.543854166666</v>
      </c>
      <c r="C1646">
        <v>80</v>
      </c>
      <c r="D1646">
        <v>74.962783813000001</v>
      </c>
      <c r="E1646">
        <v>50</v>
      </c>
      <c r="F1646">
        <v>49.976181029999999</v>
      </c>
      <c r="G1646">
        <v>1324.5283202999999</v>
      </c>
      <c r="H1646">
        <v>1321.2301024999999</v>
      </c>
      <c r="I1646">
        <v>1344.354126</v>
      </c>
      <c r="J1646">
        <v>1340.1103516000001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990.85260600000004</v>
      </c>
      <c r="B1647" s="1">
        <f>DATE(2013,1,15) + TIME(20,27,45)</f>
        <v>41289.85260416667</v>
      </c>
      <c r="C1647">
        <v>80</v>
      </c>
      <c r="D1647">
        <v>74.840270996000001</v>
      </c>
      <c r="E1647">
        <v>50</v>
      </c>
      <c r="F1647">
        <v>49.976192474000001</v>
      </c>
      <c r="G1647">
        <v>1324.4511719</v>
      </c>
      <c r="H1647">
        <v>1321.1234131000001</v>
      </c>
      <c r="I1647">
        <v>1344.3458252</v>
      </c>
      <c r="J1647">
        <v>1340.1063231999999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993.24111600000003</v>
      </c>
      <c r="B1648" s="1">
        <f>DATE(2013,1,18) + TIME(5,47,12)</f>
        <v>41292.241111111114</v>
      </c>
      <c r="C1648">
        <v>80</v>
      </c>
      <c r="D1648">
        <v>74.712905883999994</v>
      </c>
      <c r="E1648">
        <v>50</v>
      </c>
      <c r="F1648">
        <v>49.976203918000003</v>
      </c>
      <c r="G1648">
        <v>1324.3725586</v>
      </c>
      <c r="H1648">
        <v>1321.0145264</v>
      </c>
      <c r="I1648">
        <v>1344.3374022999999</v>
      </c>
      <c r="J1648">
        <v>1340.1021728999999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995.66457500000001</v>
      </c>
      <c r="B1649" s="1">
        <f>DATE(2013,1,20) + TIME(15,56,59)</f>
        <v>41294.664571759262</v>
      </c>
      <c r="C1649">
        <v>80</v>
      </c>
      <c r="D1649">
        <v>74.580696106000005</v>
      </c>
      <c r="E1649">
        <v>50</v>
      </c>
      <c r="F1649">
        <v>49.976215363000001</v>
      </c>
      <c r="G1649">
        <v>1324.2924805</v>
      </c>
      <c r="H1649">
        <v>1320.9036865</v>
      </c>
      <c r="I1649">
        <v>1344.3288574000001</v>
      </c>
      <c r="J1649">
        <v>1340.0980225000001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998.13121999999998</v>
      </c>
      <c r="B1650" s="1">
        <f>DATE(2013,1,23) + TIME(3,8,57)</f>
        <v>41297.131215277775</v>
      </c>
      <c r="C1650">
        <v>80</v>
      </c>
      <c r="D1650">
        <v>74.444801330999994</v>
      </c>
      <c r="E1650">
        <v>50</v>
      </c>
      <c r="F1650">
        <v>49.976226807000003</v>
      </c>
      <c r="G1650">
        <v>1324.2117920000001</v>
      </c>
      <c r="H1650">
        <v>1320.7921143000001</v>
      </c>
      <c r="I1650">
        <v>1344.3204346</v>
      </c>
      <c r="J1650">
        <v>1340.0939940999999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1000.662392</v>
      </c>
      <c r="B1651" s="1">
        <f>DATE(2013,1,25) + TIME(15,53,50)</f>
        <v>41299.66238425926</v>
      </c>
      <c r="C1651">
        <v>80</v>
      </c>
      <c r="D1651">
        <v>74.304832458000007</v>
      </c>
      <c r="E1651">
        <v>50</v>
      </c>
      <c r="F1651">
        <v>49.976242065000001</v>
      </c>
      <c r="G1651">
        <v>1324.1307373</v>
      </c>
      <c r="H1651">
        <v>1320.6799315999999</v>
      </c>
      <c r="I1651">
        <v>1344.3120117000001</v>
      </c>
      <c r="J1651">
        <v>1340.0898437999999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1003.27323</v>
      </c>
      <c r="B1652" s="1">
        <f>DATE(2013,1,28) + TIME(6,33,27)</f>
        <v>41302.273229166669</v>
      </c>
      <c r="C1652">
        <v>80</v>
      </c>
      <c r="D1652">
        <v>74.159660338999998</v>
      </c>
      <c r="E1652">
        <v>50</v>
      </c>
      <c r="F1652">
        <v>49.976257324000002</v>
      </c>
      <c r="G1652">
        <v>1324.0488281</v>
      </c>
      <c r="H1652">
        <v>1320.5666504000001</v>
      </c>
      <c r="I1652">
        <v>1344.3035889</v>
      </c>
      <c r="J1652">
        <v>1340.0856934000001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1005.934338</v>
      </c>
      <c r="B1653" s="1">
        <f>DATE(2013,1,30) + TIME(22,25,26)</f>
        <v>41304.934328703705</v>
      </c>
      <c r="C1653">
        <v>80</v>
      </c>
      <c r="D1653">
        <v>74.008628845000004</v>
      </c>
      <c r="E1653">
        <v>50</v>
      </c>
      <c r="F1653">
        <v>49.976272582999997</v>
      </c>
      <c r="G1653">
        <v>1323.9658202999999</v>
      </c>
      <c r="H1653">
        <v>1320.4519043</v>
      </c>
      <c r="I1653">
        <v>1344.2950439000001</v>
      </c>
      <c r="J1653">
        <v>1340.0814209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1007</v>
      </c>
      <c r="B1654" s="1">
        <f>DATE(2013,2,1) + TIME(0,0,0)</f>
        <v>41306</v>
      </c>
      <c r="C1654">
        <v>80</v>
      </c>
      <c r="D1654">
        <v>73.886787415000001</v>
      </c>
      <c r="E1654">
        <v>50</v>
      </c>
      <c r="F1654">
        <v>49.976268767999997</v>
      </c>
      <c r="G1654">
        <v>1323.8858643000001</v>
      </c>
      <c r="H1654">
        <v>1320.3438721</v>
      </c>
      <c r="I1654">
        <v>1344.2866211</v>
      </c>
      <c r="J1654">
        <v>1340.0772704999999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1009.732419</v>
      </c>
      <c r="B1655" s="1">
        <f>DATE(2013,2,3) + TIME(17,34,41)</f>
        <v>41308.732418981483</v>
      </c>
      <c r="C1655">
        <v>80</v>
      </c>
      <c r="D1655">
        <v>73.778038025000001</v>
      </c>
      <c r="E1655">
        <v>50</v>
      </c>
      <c r="F1655">
        <v>49.976291656000001</v>
      </c>
      <c r="G1655">
        <v>1323.8389893000001</v>
      </c>
      <c r="H1655">
        <v>1320.2729492000001</v>
      </c>
      <c r="I1655">
        <v>1344.2830810999999</v>
      </c>
      <c r="J1655">
        <v>1340.0754394999999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1012.566204</v>
      </c>
      <c r="B1656" s="1">
        <f>DATE(2013,2,6) + TIME(13,35,20)</f>
        <v>41311.566203703704</v>
      </c>
      <c r="C1656">
        <v>80</v>
      </c>
      <c r="D1656">
        <v>73.623413085999999</v>
      </c>
      <c r="E1656">
        <v>50</v>
      </c>
      <c r="F1656">
        <v>49.976310730000002</v>
      </c>
      <c r="G1656">
        <v>1323.7625731999999</v>
      </c>
      <c r="H1656">
        <v>1320.1702881000001</v>
      </c>
      <c r="I1656">
        <v>1344.2746582</v>
      </c>
      <c r="J1656">
        <v>1340.0712891000001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1015.455097</v>
      </c>
      <c r="B1657" s="1">
        <f>DATE(2013,2,9) + TIME(10,55,20)</f>
        <v>41314.455092592594</v>
      </c>
      <c r="C1657">
        <v>80</v>
      </c>
      <c r="D1657">
        <v>73.453376770000006</v>
      </c>
      <c r="E1657">
        <v>50</v>
      </c>
      <c r="F1657">
        <v>49.976329802999999</v>
      </c>
      <c r="G1657">
        <v>1323.6785889</v>
      </c>
      <c r="H1657">
        <v>1320.0548096</v>
      </c>
      <c r="I1657">
        <v>1344.2659911999999</v>
      </c>
      <c r="J1657">
        <v>1340.0670166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1018.425918</v>
      </c>
      <c r="B1658" s="1">
        <f>DATE(2013,2,12) + TIME(10,13,19)</f>
        <v>41317.42591435185</v>
      </c>
      <c r="C1658">
        <v>80</v>
      </c>
      <c r="D1658">
        <v>73.275558472</v>
      </c>
      <c r="E1658">
        <v>50</v>
      </c>
      <c r="F1658">
        <v>49.976348877</v>
      </c>
      <c r="G1658">
        <v>1323.5926514</v>
      </c>
      <c r="H1658">
        <v>1319.9361572</v>
      </c>
      <c r="I1658">
        <v>1344.2573242000001</v>
      </c>
      <c r="J1658">
        <v>1340.0626221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1021.488258</v>
      </c>
      <c r="B1659" s="1">
        <f>DATE(2013,2,15) + TIME(11,43,5)</f>
        <v>41320.488252314812</v>
      </c>
      <c r="C1659">
        <v>80</v>
      </c>
      <c r="D1659">
        <v>73.089714049999998</v>
      </c>
      <c r="E1659">
        <v>50</v>
      </c>
      <c r="F1659">
        <v>49.976367949999997</v>
      </c>
      <c r="G1659">
        <v>1323.5054932</v>
      </c>
      <c r="H1659">
        <v>1319.815918</v>
      </c>
      <c r="I1659">
        <v>1344.2486572</v>
      </c>
      <c r="J1659">
        <v>1340.0581055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1024.612824</v>
      </c>
      <c r="B1660" s="1">
        <f>DATE(2013,2,18) + TIME(14,42,28)</f>
        <v>41323.612824074073</v>
      </c>
      <c r="C1660">
        <v>80</v>
      </c>
      <c r="D1660">
        <v>72.895545959000003</v>
      </c>
      <c r="E1660">
        <v>50</v>
      </c>
      <c r="F1660">
        <v>49.976390838999997</v>
      </c>
      <c r="G1660">
        <v>1323.4173584</v>
      </c>
      <c r="H1660">
        <v>1319.6940918</v>
      </c>
      <c r="I1660">
        <v>1344.2397461</v>
      </c>
      <c r="J1660">
        <v>1340.0535889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1027.768949</v>
      </c>
      <c r="B1661" s="1">
        <f>DATE(2013,2,21) + TIME(18,27,17)</f>
        <v>41326.768946759257</v>
      </c>
      <c r="C1661">
        <v>80</v>
      </c>
      <c r="D1661">
        <v>72.694229125999996</v>
      </c>
      <c r="E1661">
        <v>50</v>
      </c>
      <c r="F1661">
        <v>49.976409912000001</v>
      </c>
      <c r="G1661">
        <v>1323.3286132999999</v>
      </c>
      <c r="H1661">
        <v>1319.5716553</v>
      </c>
      <c r="I1661">
        <v>1344.2308350000001</v>
      </c>
      <c r="J1661">
        <v>1340.0489502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1030.9950260000001</v>
      </c>
      <c r="B1662" s="1">
        <f>DATE(2013,2,24) + TIME(23,52,50)</f>
        <v>41329.995023148149</v>
      </c>
      <c r="C1662">
        <v>80</v>
      </c>
      <c r="D1662">
        <v>72.486877441000004</v>
      </c>
      <c r="E1662">
        <v>50</v>
      </c>
      <c r="F1662">
        <v>49.976432799999998</v>
      </c>
      <c r="G1662">
        <v>1323.2402344</v>
      </c>
      <c r="H1662">
        <v>1319.4494629000001</v>
      </c>
      <c r="I1662">
        <v>1344.2220459</v>
      </c>
      <c r="J1662">
        <v>1340.0443115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1034.316748</v>
      </c>
      <c r="B1663" s="1">
        <f>DATE(2013,2,28) + TIME(7,36,6)</f>
        <v>41333.316736111112</v>
      </c>
      <c r="C1663">
        <v>80</v>
      </c>
      <c r="D1663">
        <v>72.271430968999994</v>
      </c>
      <c r="E1663">
        <v>50</v>
      </c>
      <c r="F1663">
        <v>49.976459503000001</v>
      </c>
      <c r="G1663">
        <v>1323.1516113</v>
      </c>
      <c r="H1663">
        <v>1319.3271483999999</v>
      </c>
      <c r="I1663">
        <v>1344.2131348</v>
      </c>
      <c r="J1663">
        <v>1340.0395507999999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1035</v>
      </c>
      <c r="B1664" s="1">
        <f>DATE(2013,3,1) + TIME(0,0,0)</f>
        <v>41334</v>
      </c>
      <c r="C1664">
        <v>80</v>
      </c>
      <c r="D1664">
        <v>72.127998352000006</v>
      </c>
      <c r="E1664">
        <v>50</v>
      </c>
      <c r="F1664">
        <v>49.976451873999999</v>
      </c>
      <c r="G1664">
        <v>1323.0683594</v>
      </c>
      <c r="H1664">
        <v>1319.2174072</v>
      </c>
      <c r="I1664">
        <v>1344.2049560999999</v>
      </c>
      <c r="J1664">
        <v>1340.0354004000001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1038.432423</v>
      </c>
      <c r="B1665" s="1">
        <f>DATE(2013,3,4) + TIME(10,22,41)</f>
        <v>41337.43241898148</v>
      </c>
      <c r="C1665">
        <v>80</v>
      </c>
      <c r="D1665">
        <v>71.984985351999995</v>
      </c>
      <c r="E1665">
        <v>50</v>
      </c>
      <c r="F1665">
        <v>49.976486205999997</v>
      </c>
      <c r="G1665">
        <v>1323.0332031</v>
      </c>
      <c r="H1665">
        <v>1319.1590576000001</v>
      </c>
      <c r="I1665">
        <v>1344.2020264</v>
      </c>
      <c r="J1665">
        <v>1340.0335693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1041.972921</v>
      </c>
      <c r="B1666" s="1">
        <f>DATE(2013,3,7) + TIME(23,21,0)</f>
        <v>41340.972916666666</v>
      </c>
      <c r="C1666">
        <v>80</v>
      </c>
      <c r="D1666">
        <v>71.759674071999996</v>
      </c>
      <c r="E1666">
        <v>50</v>
      </c>
      <c r="F1666">
        <v>49.976512909</v>
      </c>
      <c r="G1666">
        <v>1322.9519043</v>
      </c>
      <c r="H1666">
        <v>1319.0506591999999</v>
      </c>
      <c r="I1666">
        <v>1344.1929932</v>
      </c>
      <c r="J1666">
        <v>1340.0286865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1045.6301860000001</v>
      </c>
      <c r="B1667" s="1">
        <f>DATE(2013,3,11) + TIME(15,7,28)</f>
        <v>41344.630185185182</v>
      </c>
      <c r="C1667">
        <v>80</v>
      </c>
      <c r="D1667">
        <v>71.511520386000001</v>
      </c>
      <c r="E1667">
        <v>50</v>
      </c>
      <c r="F1667">
        <v>49.976539612000003</v>
      </c>
      <c r="G1667">
        <v>1322.8620605000001</v>
      </c>
      <c r="H1667">
        <v>1318.927124</v>
      </c>
      <c r="I1667">
        <v>1344.1837158000001</v>
      </c>
      <c r="J1667">
        <v>1340.0235596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1049.3592679999999</v>
      </c>
      <c r="B1668" s="1">
        <f>DATE(2013,3,15) + TIME(8,37,20)</f>
        <v>41348.359259259261</v>
      </c>
      <c r="C1668">
        <v>80</v>
      </c>
      <c r="D1668">
        <v>71.250083923000005</v>
      </c>
      <c r="E1668">
        <v>50</v>
      </c>
      <c r="F1668">
        <v>49.976570129000002</v>
      </c>
      <c r="G1668">
        <v>1322.7698975000001</v>
      </c>
      <c r="H1668">
        <v>1318.8000488</v>
      </c>
      <c r="I1668">
        <v>1344.1741943</v>
      </c>
      <c r="J1668">
        <v>1340.0183105000001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1053.107135</v>
      </c>
      <c r="B1669" s="1">
        <f>DATE(2013,3,19) + TIME(2,34,16)</f>
        <v>41352.107129629629</v>
      </c>
      <c r="C1669">
        <v>80</v>
      </c>
      <c r="D1669">
        <v>70.978111267000003</v>
      </c>
      <c r="E1669">
        <v>50</v>
      </c>
      <c r="F1669">
        <v>49.976596831999998</v>
      </c>
      <c r="G1669">
        <v>1322.6773682</v>
      </c>
      <c r="H1669">
        <v>1318.6721190999999</v>
      </c>
      <c r="I1669">
        <v>1344.1645507999999</v>
      </c>
      <c r="J1669">
        <v>1340.0129394999999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1056.9021769999999</v>
      </c>
      <c r="B1670" s="1">
        <f>DATE(2013,3,22) + TIME(21,39,8)</f>
        <v>41355.902175925927</v>
      </c>
      <c r="C1670">
        <v>80</v>
      </c>
      <c r="D1670">
        <v>70.699722289999997</v>
      </c>
      <c r="E1670">
        <v>50</v>
      </c>
      <c r="F1670">
        <v>49.976623535000002</v>
      </c>
      <c r="G1670">
        <v>1322.5858154</v>
      </c>
      <c r="H1670">
        <v>1318.5454102000001</v>
      </c>
      <c r="I1670">
        <v>1344.1550293</v>
      </c>
      <c r="J1670">
        <v>1340.0074463000001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1060.7934519999999</v>
      </c>
      <c r="B1671" s="1">
        <f>DATE(2013,3,26) + TIME(19,2,34)</f>
        <v>41359.793449074074</v>
      </c>
      <c r="C1671">
        <v>80</v>
      </c>
      <c r="D1671">
        <v>70.411682128999999</v>
      </c>
      <c r="E1671">
        <v>50</v>
      </c>
      <c r="F1671">
        <v>49.976654052999997</v>
      </c>
      <c r="G1671">
        <v>1322.4951172000001</v>
      </c>
      <c r="H1671">
        <v>1318.4199219</v>
      </c>
      <c r="I1671">
        <v>1344.1453856999999</v>
      </c>
      <c r="J1671">
        <v>1340.0019531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1064.7858269999999</v>
      </c>
      <c r="B1672" s="1">
        <f>DATE(2013,3,30) + TIME(18,51,35)</f>
        <v>41363.785821759258</v>
      </c>
      <c r="C1672">
        <v>80</v>
      </c>
      <c r="D1672">
        <v>70.112510681000003</v>
      </c>
      <c r="E1672">
        <v>50</v>
      </c>
      <c r="F1672">
        <v>49.976688385000003</v>
      </c>
      <c r="G1672">
        <v>1322.4044189000001</v>
      </c>
      <c r="H1672">
        <v>1318.2943115</v>
      </c>
      <c r="I1672">
        <v>1344.1357422000001</v>
      </c>
      <c r="J1672">
        <v>1339.9963379000001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1066</v>
      </c>
      <c r="B1673" s="1">
        <f>DATE(2013,4,1) + TIME(0,0,0)</f>
        <v>41365</v>
      </c>
      <c r="C1673">
        <v>80</v>
      </c>
      <c r="D1673">
        <v>69.866500853999995</v>
      </c>
      <c r="E1673">
        <v>50</v>
      </c>
      <c r="F1673">
        <v>49.976684570000003</v>
      </c>
      <c r="G1673">
        <v>1322.3167725000001</v>
      </c>
      <c r="H1673">
        <v>1318.1773682</v>
      </c>
      <c r="I1673">
        <v>1344.1267089999999</v>
      </c>
      <c r="J1673">
        <v>1339.9910889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1070.0921860000001</v>
      </c>
      <c r="B1674" s="1">
        <f>DATE(2013,4,5) + TIME(2,12,44)</f>
        <v>41369.092175925929</v>
      </c>
      <c r="C1674">
        <v>80</v>
      </c>
      <c r="D1674">
        <v>69.683280945000007</v>
      </c>
      <c r="E1674">
        <v>50</v>
      </c>
      <c r="F1674">
        <v>49.976726532000001</v>
      </c>
      <c r="G1674">
        <v>1322.2744141000001</v>
      </c>
      <c r="H1674">
        <v>1318.1087646000001</v>
      </c>
      <c r="I1674">
        <v>1344.1226807</v>
      </c>
      <c r="J1674">
        <v>1339.9885254000001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1074.371112</v>
      </c>
      <c r="B1675" s="1">
        <f>DATE(2013,4,9) + TIME(8,54,24)</f>
        <v>41373.371111111112</v>
      </c>
      <c r="C1675">
        <v>80</v>
      </c>
      <c r="D1675">
        <v>69.369522094999994</v>
      </c>
      <c r="E1675">
        <v>50</v>
      </c>
      <c r="F1675">
        <v>49.976764678999999</v>
      </c>
      <c r="G1675">
        <v>1322.1939697</v>
      </c>
      <c r="H1675">
        <v>1318.0019531</v>
      </c>
      <c r="I1675">
        <v>1344.1129149999999</v>
      </c>
      <c r="J1675">
        <v>1339.9826660000001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1078.835636</v>
      </c>
      <c r="B1676" s="1">
        <f>DATE(2013,4,13) + TIME(20,3,18)</f>
        <v>41377.835625</v>
      </c>
      <c r="C1676">
        <v>80</v>
      </c>
      <c r="D1676">
        <v>69.019271850999999</v>
      </c>
      <c r="E1676">
        <v>50</v>
      </c>
      <c r="F1676">
        <v>49.976799010999997</v>
      </c>
      <c r="G1676">
        <v>1322.1033935999999</v>
      </c>
      <c r="H1676">
        <v>1317.8770752</v>
      </c>
      <c r="I1676">
        <v>1344.1025391000001</v>
      </c>
      <c r="J1676">
        <v>1339.9764404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1083.3131559999999</v>
      </c>
      <c r="B1677" s="1">
        <f>DATE(2013,4,18) + TIME(7,30,56)</f>
        <v>41382.313148148147</v>
      </c>
      <c r="C1677">
        <v>80</v>
      </c>
      <c r="D1677">
        <v>68.650573730000005</v>
      </c>
      <c r="E1677">
        <v>50</v>
      </c>
      <c r="F1677">
        <v>49.976837158000002</v>
      </c>
      <c r="G1677">
        <v>1322.0102539</v>
      </c>
      <c r="H1677">
        <v>1317.7480469</v>
      </c>
      <c r="I1677">
        <v>1344.0917969</v>
      </c>
      <c r="J1677">
        <v>1339.9698486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1087.8371259999999</v>
      </c>
      <c r="B1678" s="1">
        <f>DATE(2013,4,22) + TIME(20,5,27)</f>
        <v>41386.837118055555</v>
      </c>
      <c r="C1678">
        <v>80</v>
      </c>
      <c r="D1678">
        <v>68.266189574999999</v>
      </c>
      <c r="E1678">
        <v>50</v>
      </c>
      <c r="F1678">
        <v>49.976871490000001</v>
      </c>
      <c r="G1678">
        <v>1321.9182129000001</v>
      </c>
      <c r="H1678">
        <v>1317.6201172000001</v>
      </c>
      <c r="I1678">
        <v>1344.0811768000001</v>
      </c>
      <c r="J1678">
        <v>1339.9631348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1092.395753</v>
      </c>
      <c r="B1679" s="1">
        <f>DATE(2013,4,27) + TIME(9,29,53)</f>
        <v>41391.395752314813</v>
      </c>
      <c r="C1679">
        <v>80</v>
      </c>
      <c r="D1679">
        <v>67.882209778000004</v>
      </c>
      <c r="E1679">
        <v>50</v>
      </c>
      <c r="F1679">
        <v>49.976909636999999</v>
      </c>
      <c r="G1679">
        <v>1321.8278809000001</v>
      </c>
      <c r="H1679">
        <v>1317.4942627</v>
      </c>
      <c r="I1679">
        <v>1344.0704346</v>
      </c>
      <c r="J1679">
        <v>1339.9564209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1096</v>
      </c>
      <c r="B1680" s="1">
        <f>DATE(2013,5,1) + TIME(0,0,0)</f>
        <v>41395</v>
      </c>
      <c r="C1680">
        <v>80</v>
      </c>
      <c r="D1680">
        <v>67.479072571000003</v>
      </c>
      <c r="E1680">
        <v>50</v>
      </c>
      <c r="F1680">
        <v>49.976932525999999</v>
      </c>
      <c r="G1680">
        <v>1321.7398682</v>
      </c>
      <c r="H1680">
        <v>1317.3720702999999</v>
      </c>
      <c r="I1680">
        <v>1344.0599365</v>
      </c>
      <c r="J1680">
        <v>1339.9495850000001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1096.0000010000001</v>
      </c>
      <c r="B1681" s="1">
        <f>DATE(2013,5,1) + TIME(0,0,0)</f>
        <v>41395</v>
      </c>
      <c r="C1681">
        <v>80</v>
      </c>
      <c r="D1681">
        <v>67.479133606000005</v>
      </c>
      <c r="E1681">
        <v>50</v>
      </c>
      <c r="F1681">
        <v>49.976917266999997</v>
      </c>
      <c r="G1681">
        <v>1326.3869629000001</v>
      </c>
      <c r="H1681">
        <v>1321.7548827999999</v>
      </c>
      <c r="I1681">
        <v>1339.9398193</v>
      </c>
      <c r="J1681">
        <v>1336.3811035000001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1096.000004</v>
      </c>
      <c r="B1682" s="1">
        <f>DATE(2013,5,1) + TIME(0,0,0)</f>
        <v>41395</v>
      </c>
      <c r="C1682">
        <v>80</v>
      </c>
      <c r="D1682">
        <v>67.479316710999996</v>
      </c>
      <c r="E1682">
        <v>50</v>
      </c>
      <c r="F1682">
        <v>49.976871490000001</v>
      </c>
      <c r="G1682">
        <v>1326.4196777</v>
      </c>
      <c r="H1682">
        <v>1321.7995605000001</v>
      </c>
      <c r="I1682">
        <v>1339.9106445</v>
      </c>
      <c r="J1682">
        <v>1336.3519286999999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1096.0000130000001</v>
      </c>
      <c r="B1683" s="1">
        <f>DATE(2013,5,1) + TIME(0,0,1)</f>
        <v>41395.000011574077</v>
      </c>
      <c r="C1683">
        <v>80</v>
      </c>
      <c r="D1683">
        <v>67.479858398000005</v>
      </c>
      <c r="E1683">
        <v>50</v>
      </c>
      <c r="F1683">
        <v>49.976734161000003</v>
      </c>
      <c r="G1683">
        <v>1326.5157471</v>
      </c>
      <c r="H1683">
        <v>1321.9293213000001</v>
      </c>
      <c r="I1683">
        <v>1339.8248291</v>
      </c>
      <c r="J1683">
        <v>1336.2659911999999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1096.0000399999999</v>
      </c>
      <c r="B1684" s="1">
        <f>DATE(2013,5,1) + TIME(0,0,3)</f>
        <v>41395.000034722223</v>
      </c>
      <c r="C1684">
        <v>80</v>
      </c>
      <c r="D1684">
        <v>67.481391907000003</v>
      </c>
      <c r="E1684">
        <v>50</v>
      </c>
      <c r="F1684">
        <v>49.976348877</v>
      </c>
      <c r="G1684">
        <v>1326.7860106999999</v>
      </c>
      <c r="H1684">
        <v>1322.2863769999999</v>
      </c>
      <c r="I1684">
        <v>1339.5822754000001</v>
      </c>
      <c r="J1684">
        <v>1336.0234375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1096.000121</v>
      </c>
      <c r="B1685" s="1">
        <f>DATE(2013,5,1) + TIME(0,0,10)</f>
        <v>41395.000115740739</v>
      </c>
      <c r="C1685">
        <v>80</v>
      </c>
      <c r="D1685">
        <v>67.485404967999997</v>
      </c>
      <c r="E1685">
        <v>50</v>
      </c>
      <c r="F1685">
        <v>49.975364685000002</v>
      </c>
      <c r="G1685">
        <v>1327.4705810999999</v>
      </c>
      <c r="H1685">
        <v>1323.1428223</v>
      </c>
      <c r="I1685">
        <v>1338.9633789</v>
      </c>
      <c r="J1685">
        <v>1335.4044189000001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1096.000364</v>
      </c>
      <c r="B1686" s="1">
        <f>DATE(2013,5,1) + TIME(0,0,31)</f>
        <v>41395.000358796293</v>
      </c>
      <c r="C1686">
        <v>80</v>
      </c>
      <c r="D1686">
        <v>67.494812011999997</v>
      </c>
      <c r="E1686">
        <v>50</v>
      </c>
      <c r="F1686">
        <v>49.973331451</v>
      </c>
      <c r="G1686">
        <v>1328.8793945</v>
      </c>
      <c r="H1686">
        <v>1324.7391356999999</v>
      </c>
      <c r="I1686">
        <v>1337.6898193</v>
      </c>
      <c r="J1686">
        <v>1334.1306152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1096.0010930000001</v>
      </c>
      <c r="B1687" s="1">
        <f>DATE(2013,5,1) + TIME(0,1,34)</f>
        <v>41395.001087962963</v>
      </c>
      <c r="C1687">
        <v>80</v>
      </c>
      <c r="D1687">
        <v>67.516357421999999</v>
      </c>
      <c r="E1687">
        <v>50</v>
      </c>
      <c r="F1687">
        <v>49.970252991000002</v>
      </c>
      <c r="G1687">
        <v>1331.0362548999999</v>
      </c>
      <c r="H1687">
        <v>1326.934082</v>
      </c>
      <c r="I1687">
        <v>1335.7825928</v>
      </c>
      <c r="J1687">
        <v>1332.2236327999999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1096.0032799999999</v>
      </c>
      <c r="B1688" s="1">
        <f>DATE(2013,5,1) + TIME(0,4,43)</f>
        <v>41395.003275462965</v>
      </c>
      <c r="C1688">
        <v>80</v>
      </c>
      <c r="D1688">
        <v>67.571334839000002</v>
      </c>
      <c r="E1688">
        <v>50</v>
      </c>
      <c r="F1688">
        <v>49.966629028</v>
      </c>
      <c r="G1688">
        <v>1333.5618896000001</v>
      </c>
      <c r="H1688">
        <v>1329.3797606999999</v>
      </c>
      <c r="I1688">
        <v>1333.6196289</v>
      </c>
      <c r="J1688">
        <v>1330.0614014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1096.0098410000001</v>
      </c>
      <c r="B1689" s="1">
        <f>DATE(2013,5,1) + TIME(0,14,10)</f>
        <v>41395.009837962964</v>
      </c>
      <c r="C1689">
        <v>80</v>
      </c>
      <c r="D1689">
        <v>67.725357056000007</v>
      </c>
      <c r="E1689">
        <v>50</v>
      </c>
      <c r="F1689">
        <v>49.962532043000003</v>
      </c>
      <c r="G1689">
        <v>1336.1418457</v>
      </c>
      <c r="H1689">
        <v>1331.8792725000001</v>
      </c>
      <c r="I1689">
        <v>1331.4282227000001</v>
      </c>
      <c r="J1689">
        <v>1327.8704834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1096.029524</v>
      </c>
      <c r="B1690" s="1">
        <f>DATE(2013,5,1) + TIME(0,42,30)</f>
        <v>41395.029513888891</v>
      </c>
      <c r="C1690">
        <v>80</v>
      </c>
      <c r="D1690">
        <v>68.166709900000001</v>
      </c>
      <c r="E1690">
        <v>50</v>
      </c>
      <c r="F1690">
        <v>49.957160950000002</v>
      </c>
      <c r="G1690">
        <v>1338.6881103999999</v>
      </c>
      <c r="H1690">
        <v>1334.3717041</v>
      </c>
      <c r="I1690">
        <v>1329.2242432</v>
      </c>
      <c r="J1690">
        <v>1325.6577147999999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1096.0507439999999</v>
      </c>
      <c r="B1691" s="1">
        <f>DATE(2013,5,1) + TIME(1,13,4)</f>
        <v>41395.050740740742</v>
      </c>
      <c r="C1691">
        <v>80</v>
      </c>
      <c r="D1691">
        <v>68.626716614000003</v>
      </c>
      <c r="E1691">
        <v>50</v>
      </c>
      <c r="F1691">
        <v>49.953155518000003</v>
      </c>
      <c r="G1691">
        <v>1340.0913086</v>
      </c>
      <c r="H1691">
        <v>1335.7454834</v>
      </c>
      <c r="I1691">
        <v>1327.9963379000001</v>
      </c>
      <c r="J1691">
        <v>1324.4151611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1096.072584</v>
      </c>
      <c r="B1692" s="1">
        <f>DATE(2013,5,1) + TIME(1,44,31)</f>
        <v>41395.072581018518</v>
      </c>
      <c r="C1692">
        <v>80</v>
      </c>
      <c r="D1692">
        <v>69.084075928000004</v>
      </c>
      <c r="E1692">
        <v>50</v>
      </c>
      <c r="F1692">
        <v>49.949733733999999</v>
      </c>
      <c r="G1692">
        <v>1341.0003661999999</v>
      </c>
      <c r="H1692">
        <v>1336.6409911999999</v>
      </c>
      <c r="I1692">
        <v>1327.1789550999999</v>
      </c>
      <c r="J1692">
        <v>1323.5816649999999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1096.094983</v>
      </c>
      <c r="B1693" s="1">
        <f>DATE(2013,5,1) + TIME(2,16,46)</f>
        <v>41395.094976851855</v>
      </c>
      <c r="C1693">
        <v>80</v>
      </c>
      <c r="D1693">
        <v>69.536376953000001</v>
      </c>
      <c r="E1693">
        <v>50</v>
      </c>
      <c r="F1693">
        <v>49.946586609000001</v>
      </c>
      <c r="G1693">
        <v>1341.6552733999999</v>
      </c>
      <c r="H1693">
        <v>1337.2906493999999</v>
      </c>
      <c r="I1693">
        <v>1326.5714111</v>
      </c>
      <c r="J1693">
        <v>1322.9588623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1096.1179239999999</v>
      </c>
      <c r="B1694" s="1">
        <f>DATE(2013,5,1) + TIME(2,49,48)</f>
        <v>41395.11791666667</v>
      </c>
      <c r="C1694">
        <v>80</v>
      </c>
      <c r="D1694">
        <v>69.982200622999997</v>
      </c>
      <c r="E1694">
        <v>50</v>
      </c>
      <c r="F1694">
        <v>49.943599700999997</v>
      </c>
      <c r="G1694">
        <v>1342.1572266000001</v>
      </c>
      <c r="H1694">
        <v>1337.7921143000001</v>
      </c>
      <c r="I1694">
        <v>1326.0911865</v>
      </c>
      <c r="J1694">
        <v>1322.465332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1096.141408</v>
      </c>
      <c r="B1695" s="1">
        <f>DATE(2013,5,1) + TIME(3,23,37)</f>
        <v>41395.141400462962</v>
      </c>
      <c r="C1695">
        <v>80</v>
      </c>
      <c r="D1695">
        <v>70.420387267999999</v>
      </c>
      <c r="E1695">
        <v>50</v>
      </c>
      <c r="F1695">
        <v>49.940700530999997</v>
      </c>
      <c r="G1695">
        <v>1342.5576172000001</v>
      </c>
      <c r="H1695">
        <v>1338.1950684000001</v>
      </c>
      <c r="I1695">
        <v>1325.6968993999999</v>
      </c>
      <c r="J1695">
        <v>1322.0598144999999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1096.165446</v>
      </c>
      <c r="B1696" s="1">
        <f>DATE(2013,5,1) + TIME(3,58,14)</f>
        <v>41395.165439814817</v>
      </c>
      <c r="C1696">
        <v>80</v>
      </c>
      <c r="D1696">
        <v>70.850570679</v>
      </c>
      <c r="E1696">
        <v>50</v>
      </c>
      <c r="F1696">
        <v>49.937858581999997</v>
      </c>
      <c r="G1696">
        <v>1342.8861084</v>
      </c>
      <c r="H1696">
        <v>1338.5280762</v>
      </c>
      <c r="I1696">
        <v>1325.3648682</v>
      </c>
      <c r="J1696">
        <v>1321.7185059000001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1096.190055</v>
      </c>
      <c r="B1697" s="1">
        <f>DATE(2013,5,1) + TIME(4,33,40)</f>
        <v>41395.190046296295</v>
      </c>
      <c r="C1697">
        <v>80</v>
      </c>
      <c r="D1697">
        <v>71.272285460999996</v>
      </c>
      <c r="E1697">
        <v>50</v>
      </c>
      <c r="F1697">
        <v>49.935047150000003</v>
      </c>
      <c r="G1697">
        <v>1343.1613769999999</v>
      </c>
      <c r="H1697">
        <v>1338.8092041</v>
      </c>
      <c r="I1697">
        <v>1325.0802002</v>
      </c>
      <c r="J1697">
        <v>1321.4261475000001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1096.2152550000001</v>
      </c>
      <c r="B1698" s="1">
        <f>DATE(2013,5,1) + TIME(5,9,58)</f>
        <v>41395.215254629627</v>
      </c>
      <c r="C1698">
        <v>80</v>
      </c>
      <c r="D1698">
        <v>71.685165405000006</v>
      </c>
      <c r="E1698">
        <v>50</v>
      </c>
      <c r="F1698">
        <v>49.932254790999998</v>
      </c>
      <c r="G1698">
        <v>1343.3959961</v>
      </c>
      <c r="H1698">
        <v>1339.0506591999999</v>
      </c>
      <c r="I1698">
        <v>1324.8327637</v>
      </c>
      <c r="J1698">
        <v>1321.1724853999999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1096.241066</v>
      </c>
      <c r="B1699" s="1">
        <f>DATE(2013,5,1) + TIME(5,47,8)</f>
        <v>41395.241064814814</v>
      </c>
      <c r="C1699">
        <v>80</v>
      </c>
      <c r="D1699">
        <v>72.088874817000004</v>
      </c>
      <c r="E1699">
        <v>50</v>
      </c>
      <c r="F1699">
        <v>49.929466247999997</v>
      </c>
      <c r="G1699">
        <v>1343.5988769999999</v>
      </c>
      <c r="H1699">
        <v>1339.2607422000001</v>
      </c>
      <c r="I1699">
        <v>1324.6153564000001</v>
      </c>
      <c r="J1699">
        <v>1320.9499512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1096.267517</v>
      </c>
      <c r="B1700" s="1">
        <f>DATE(2013,5,1) + TIME(6,25,13)</f>
        <v>41395.267511574071</v>
      </c>
      <c r="C1700">
        <v>80</v>
      </c>
      <c r="D1700">
        <v>72.483207703000005</v>
      </c>
      <c r="E1700">
        <v>50</v>
      </c>
      <c r="F1700">
        <v>49.926673889</v>
      </c>
      <c r="G1700">
        <v>1343.7764893000001</v>
      </c>
      <c r="H1700">
        <v>1339.4459228999999</v>
      </c>
      <c r="I1700">
        <v>1324.4228516000001</v>
      </c>
      <c r="J1700">
        <v>1320.7531738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1096.2946400000001</v>
      </c>
      <c r="B1701" s="1">
        <f>DATE(2013,5,1) + TIME(7,4,16)</f>
        <v>41395.294629629629</v>
      </c>
      <c r="C1701">
        <v>80</v>
      </c>
      <c r="D1701">
        <v>72.868011475000003</v>
      </c>
      <c r="E1701">
        <v>50</v>
      </c>
      <c r="F1701">
        <v>49.923870086999997</v>
      </c>
      <c r="G1701">
        <v>1343.9334716999999</v>
      </c>
      <c r="H1701">
        <v>1339.6105957</v>
      </c>
      <c r="I1701">
        <v>1324.2512207</v>
      </c>
      <c r="J1701">
        <v>1320.5780029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1096.3224680000001</v>
      </c>
      <c r="B1702" s="1">
        <f>DATE(2013,5,1) + TIME(7,44,21)</f>
        <v>41395.322465277779</v>
      </c>
      <c r="C1702">
        <v>80</v>
      </c>
      <c r="D1702">
        <v>73.243133545000006</v>
      </c>
      <c r="E1702">
        <v>50</v>
      </c>
      <c r="F1702">
        <v>49.921047211000001</v>
      </c>
      <c r="G1702">
        <v>1344.0737305</v>
      </c>
      <c r="H1702">
        <v>1339.7581786999999</v>
      </c>
      <c r="I1702">
        <v>1324.0975341999999</v>
      </c>
      <c r="J1702">
        <v>1320.4211425999999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1096.351015</v>
      </c>
      <c r="B1703" s="1">
        <f>DATE(2013,5,1) + TIME(8,25,27)</f>
        <v>41395.351006944446</v>
      </c>
      <c r="C1703">
        <v>80</v>
      </c>
      <c r="D1703">
        <v>73.608161925999994</v>
      </c>
      <c r="E1703">
        <v>50</v>
      </c>
      <c r="F1703">
        <v>49.918201447000001</v>
      </c>
      <c r="G1703">
        <v>1344.199707</v>
      </c>
      <c r="H1703">
        <v>1339.8914795000001</v>
      </c>
      <c r="I1703">
        <v>1323.9592285000001</v>
      </c>
      <c r="J1703">
        <v>1320.2802733999999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1096.380275</v>
      </c>
      <c r="B1704" s="1">
        <f>DATE(2013,5,1) + TIME(9,7,35)</f>
        <v>41395.380266203705</v>
      </c>
      <c r="C1704">
        <v>80</v>
      </c>
      <c r="D1704">
        <v>73.962516785000005</v>
      </c>
      <c r="E1704">
        <v>50</v>
      </c>
      <c r="F1704">
        <v>49.915332794000001</v>
      </c>
      <c r="G1704">
        <v>1344.3137207</v>
      </c>
      <c r="H1704">
        <v>1340.0123291</v>
      </c>
      <c r="I1704">
        <v>1323.8345947</v>
      </c>
      <c r="J1704">
        <v>1320.1534423999999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1096.4102809999999</v>
      </c>
      <c r="B1705" s="1">
        <f>DATE(2013,5,1) + TIME(9,50,48)</f>
        <v>41395.410277777781</v>
      </c>
      <c r="C1705">
        <v>80</v>
      </c>
      <c r="D1705">
        <v>74.306114196999999</v>
      </c>
      <c r="E1705">
        <v>50</v>
      </c>
      <c r="F1705">
        <v>49.912437439000001</v>
      </c>
      <c r="G1705">
        <v>1344.4173584</v>
      </c>
      <c r="H1705">
        <v>1340.1224365</v>
      </c>
      <c r="I1705">
        <v>1323.722168</v>
      </c>
      <c r="J1705">
        <v>1320.0390625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1096.4410640000001</v>
      </c>
      <c r="B1706" s="1">
        <f>DATE(2013,5,1) + TIME(10,35,7)</f>
        <v>41395.441053240742</v>
      </c>
      <c r="C1706">
        <v>80</v>
      </c>
      <c r="D1706">
        <v>74.638847350999995</v>
      </c>
      <c r="E1706">
        <v>50</v>
      </c>
      <c r="F1706">
        <v>49.909507751</v>
      </c>
      <c r="G1706">
        <v>1344.512207</v>
      </c>
      <c r="H1706">
        <v>1340.2232666</v>
      </c>
      <c r="I1706">
        <v>1323.6206055</v>
      </c>
      <c r="J1706">
        <v>1319.9356689000001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1096.4726700000001</v>
      </c>
      <c r="B1707" s="1">
        <f>DATE(2013,5,1) + TIME(11,20,38)</f>
        <v>41395.472662037035</v>
      </c>
      <c r="C1707">
        <v>80</v>
      </c>
      <c r="D1707">
        <v>74.960754394999995</v>
      </c>
      <c r="E1707">
        <v>50</v>
      </c>
      <c r="F1707">
        <v>49.906543732000003</v>
      </c>
      <c r="G1707">
        <v>1344.5991211</v>
      </c>
      <c r="H1707">
        <v>1340.3157959</v>
      </c>
      <c r="I1707">
        <v>1323.5286865</v>
      </c>
      <c r="J1707">
        <v>1319.8422852000001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1096.505142</v>
      </c>
      <c r="B1708" s="1">
        <f>DATE(2013,5,1) + TIME(12,7,24)</f>
        <v>41395.50513888889</v>
      </c>
      <c r="C1708">
        <v>80</v>
      </c>
      <c r="D1708">
        <v>75.271621703999998</v>
      </c>
      <c r="E1708">
        <v>50</v>
      </c>
      <c r="F1708">
        <v>49.903537749999998</v>
      </c>
      <c r="G1708">
        <v>1344.6793213000001</v>
      </c>
      <c r="H1708">
        <v>1340.4011230000001</v>
      </c>
      <c r="I1708">
        <v>1323.4454346</v>
      </c>
      <c r="J1708">
        <v>1319.7576904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1096.5385269999999</v>
      </c>
      <c r="B1709" s="1">
        <f>DATE(2013,5,1) + TIME(12,55,28)</f>
        <v>41395.538518518515</v>
      </c>
      <c r="C1709">
        <v>80</v>
      </c>
      <c r="D1709">
        <v>75.571578978999995</v>
      </c>
      <c r="E1709">
        <v>50</v>
      </c>
      <c r="F1709">
        <v>49.900485992</v>
      </c>
      <c r="G1709">
        <v>1344.753418</v>
      </c>
      <c r="H1709">
        <v>1340.4798584</v>
      </c>
      <c r="I1709">
        <v>1323.3702393000001</v>
      </c>
      <c r="J1709">
        <v>1319.6812743999999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1096.5728770000001</v>
      </c>
      <c r="B1710" s="1">
        <f>DATE(2013,5,1) + TIME(13,44,56)</f>
        <v>41395.572870370372</v>
      </c>
      <c r="C1710">
        <v>80</v>
      </c>
      <c r="D1710">
        <v>75.860664368000002</v>
      </c>
      <c r="E1710">
        <v>50</v>
      </c>
      <c r="F1710">
        <v>49.897388458000002</v>
      </c>
      <c r="G1710">
        <v>1344.8221435999999</v>
      </c>
      <c r="H1710">
        <v>1340.5526123</v>
      </c>
      <c r="I1710">
        <v>1323.3022461</v>
      </c>
      <c r="J1710">
        <v>1319.6121826000001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1096.6082449999999</v>
      </c>
      <c r="B1711" s="1">
        <f>DATE(2013,5,1) + TIME(14,35,52)</f>
        <v>41395.608240740738</v>
      </c>
      <c r="C1711">
        <v>80</v>
      </c>
      <c r="D1711">
        <v>76.138877868999998</v>
      </c>
      <c r="E1711">
        <v>50</v>
      </c>
      <c r="F1711">
        <v>49.894233704000001</v>
      </c>
      <c r="G1711">
        <v>1344.8859863</v>
      </c>
      <c r="H1711">
        <v>1340.6201172000001</v>
      </c>
      <c r="I1711">
        <v>1323.2409668</v>
      </c>
      <c r="J1711">
        <v>1319.5499268000001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1096.6446920000001</v>
      </c>
      <c r="B1712" s="1">
        <f>DATE(2013,5,1) + TIME(15,28,21)</f>
        <v>41395.644687499997</v>
      </c>
      <c r="C1712">
        <v>80</v>
      </c>
      <c r="D1712">
        <v>76.406234741000006</v>
      </c>
      <c r="E1712">
        <v>50</v>
      </c>
      <c r="F1712">
        <v>49.891025542999998</v>
      </c>
      <c r="G1712">
        <v>1344.9453125</v>
      </c>
      <c r="H1712">
        <v>1340.6826172000001</v>
      </c>
      <c r="I1712">
        <v>1323.1857910000001</v>
      </c>
      <c r="J1712">
        <v>1319.4937743999999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1096.6822830000001</v>
      </c>
      <c r="B1713" s="1">
        <f>DATE(2013,5,1) + TIME(16,22,29)</f>
        <v>41395.682280092595</v>
      </c>
      <c r="C1713">
        <v>80</v>
      </c>
      <c r="D1713">
        <v>76.662757873999993</v>
      </c>
      <c r="E1713">
        <v>50</v>
      </c>
      <c r="F1713">
        <v>49.887752532999997</v>
      </c>
      <c r="G1713">
        <v>1345.0007324000001</v>
      </c>
      <c r="H1713">
        <v>1340.7407227000001</v>
      </c>
      <c r="I1713">
        <v>1323.1361084</v>
      </c>
      <c r="J1713">
        <v>1319.4433594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1096.7210889999999</v>
      </c>
      <c r="B1714" s="1">
        <f>DATE(2013,5,1) + TIME(17,18,22)</f>
        <v>41395.721087962964</v>
      </c>
      <c r="C1714">
        <v>80</v>
      </c>
      <c r="D1714">
        <v>76.908477782999995</v>
      </c>
      <c r="E1714">
        <v>50</v>
      </c>
      <c r="F1714">
        <v>49.884410858000003</v>
      </c>
      <c r="G1714">
        <v>1345.0523682</v>
      </c>
      <c r="H1714">
        <v>1340.7946777</v>
      </c>
      <c r="I1714">
        <v>1323.0917969</v>
      </c>
      <c r="J1714">
        <v>1319.3981934000001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1096.7611850000001</v>
      </c>
      <c r="B1715" s="1">
        <f>DATE(2013,5,1) + TIME(18,16,6)</f>
        <v>41395.761180555557</v>
      </c>
      <c r="C1715">
        <v>80</v>
      </c>
      <c r="D1715">
        <v>77.143432617000002</v>
      </c>
      <c r="E1715">
        <v>50</v>
      </c>
      <c r="F1715">
        <v>49.881000518999997</v>
      </c>
      <c r="G1715">
        <v>1345.1005858999999</v>
      </c>
      <c r="H1715">
        <v>1340.8447266000001</v>
      </c>
      <c r="I1715">
        <v>1323.052124</v>
      </c>
      <c r="J1715">
        <v>1319.3579102000001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1096.8026729999999</v>
      </c>
      <c r="B1716" s="1">
        <f>DATE(2013,5,1) + TIME(19,15,50)</f>
        <v>41395.802662037036</v>
      </c>
      <c r="C1716">
        <v>80</v>
      </c>
      <c r="D1716">
        <v>77.367752074999999</v>
      </c>
      <c r="E1716">
        <v>50</v>
      </c>
      <c r="F1716">
        <v>49.877506255999997</v>
      </c>
      <c r="G1716">
        <v>1345.1456298999999</v>
      </c>
      <c r="H1716">
        <v>1340.8912353999999</v>
      </c>
      <c r="I1716">
        <v>1323.0168457</v>
      </c>
      <c r="J1716">
        <v>1319.3220214999999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1096.8456369999999</v>
      </c>
      <c r="B1717" s="1">
        <f>DATE(2013,5,1) + TIME(20,17,43)</f>
        <v>41395.845636574071</v>
      </c>
      <c r="C1717">
        <v>80</v>
      </c>
      <c r="D1717">
        <v>77.581443786999998</v>
      </c>
      <c r="E1717">
        <v>50</v>
      </c>
      <c r="F1717">
        <v>49.873928069999998</v>
      </c>
      <c r="G1717">
        <v>1345.1877440999999</v>
      </c>
      <c r="H1717">
        <v>1340.9344481999999</v>
      </c>
      <c r="I1717">
        <v>1322.9855957</v>
      </c>
      <c r="J1717">
        <v>1319.2902832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1096.890173</v>
      </c>
      <c r="B1718" s="1">
        <f>DATE(2013,5,1) + TIME(21,21,50)</f>
        <v>41395.890162037038</v>
      </c>
      <c r="C1718">
        <v>80</v>
      </c>
      <c r="D1718">
        <v>77.784545898000005</v>
      </c>
      <c r="E1718">
        <v>50</v>
      </c>
      <c r="F1718">
        <v>49.870258331000002</v>
      </c>
      <c r="G1718">
        <v>1345.2271728999999</v>
      </c>
      <c r="H1718">
        <v>1340.9746094</v>
      </c>
      <c r="I1718">
        <v>1322.9581298999999</v>
      </c>
      <c r="J1718">
        <v>1319.262207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1096.9363949999999</v>
      </c>
      <c r="B1719" s="1">
        <f>DATE(2013,5,1) + TIME(22,28,24)</f>
        <v>41395.936388888891</v>
      </c>
      <c r="C1719">
        <v>80</v>
      </c>
      <c r="D1719">
        <v>77.977149963000002</v>
      </c>
      <c r="E1719">
        <v>50</v>
      </c>
      <c r="F1719">
        <v>49.86648941</v>
      </c>
      <c r="G1719">
        <v>1345.2640381000001</v>
      </c>
      <c r="H1719">
        <v>1341.0119629000001</v>
      </c>
      <c r="I1719">
        <v>1322.934082</v>
      </c>
      <c r="J1719">
        <v>1319.2376709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1096.984346</v>
      </c>
      <c r="B1720" s="1">
        <f>DATE(2013,5,1) + TIME(23,37,27)</f>
        <v>41395.984340277777</v>
      </c>
      <c r="C1720">
        <v>80</v>
      </c>
      <c r="D1720">
        <v>78.159080505000006</v>
      </c>
      <c r="E1720">
        <v>50</v>
      </c>
      <c r="F1720">
        <v>49.862621306999998</v>
      </c>
      <c r="G1720">
        <v>1345.2984618999999</v>
      </c>
      <c r="H1720">
        <v>1341.0465088000001</v>
      </c>
      <c r="I1720">
        <v>1322.9130858999999</v>
      </c>
      <c r="J1720">
        <v>1319.2163086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1097.034118</v>
      </c>
      <c r="B1721" s="1">
        <f>DATE(2013,5,2) + TIME(0,49,7)</f>
        <v>41396.034108796295</v>
      </c>
      <c r="C1721">
        <v>80</v>
      </c>
      <c r="D1721">
        <v>78.330368042000003</v>
      </c>
      <c r="E1721">
        <v>50</v>
      </c>
      <c r="F1721">
        <v>49.858646393000001</v>
      </c>
      <c r="G1721">
        <v>1345.3306885</v>
      </c>
      <c r="H1721">
        <v>1341.0786132999999</v>
      </c>
      <c r="I1721">
        <v>1322.8950195</v>
      </c>
      <c r="J1721">
        <v>1319.1977539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1097.0858370000001</v>
      </c>
      <c r="B1722" s="1">
        <f>DATE(2013,5,2) + TIME(2,3,36)</f>
        <v>41396.085833333331</v>
      </c>
      <c r="C1722">
        <v>80</v>
      </c>
      <c r="D1722">
        <v>78.491180420000006</v>
      </c>
      <c r="E1722">
        <v>50</v>
      </c>
      <c r="F1722">
        <v>49.854557036999999</v>
      </c>
      <c r="G1722">
        <v>1345.3607178</v>
      </c>
      <c r="H1722">
        <v>1341.1081543</v>
      </c>
      <c r="I1722">
        <v>1322.8795166</v>
      </c>
      <c r="J1722">
        <v>1319.1818848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1097.139629</v>
      </c>
      <c r="B1723" s="1">
        <f>DATE(2013,5,2) + TIME(3,21,3)</f>
        <v>41396.139618055553</v>
      </c>
      <c r="C1723">
        <v>80</v>
      </c>
      <c r="D1723">
        <v>78.641677856000001</v>
      </c>
      <c r="E1723">
        <v>50</v>
      </c>
      <c r="F1723">
        <v>49.850345611999998</v>
      </c>
      <c r="G1723">
        <v>1345.3887939000001</v>
      </c>
      <c r="H1723">
        <v>1341.1354980000001</v>
      </c>
      <c r="I1723">
        <v>1322.8664550999999</v>
      </c>
      <c r="J1723">
        <v>1319.168457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1097.195647</v>
      </c>
      <c r="B1724" s="1">
        <f>DATE(2013,5,2) + TIME(4,41,43)</f>
        <v>41396.195636574077</v>
      </c>
      <c r="C1724">
        <v>80</v>
      </c>
      <c r="D1724">
        <v>78.782051085999996</v>
      </c>
      <c r="E1724">
        <v>50</v>
      </c>
      <c r="F1724">
        <v>49.846000670999999</v>
      </c>
      <c r="G1724">
        <v>1345.4147949000001</v>
      </c>
      <c r="H1724">
        <v>1341.1607666</v>
      </c>
      <c r="I1724">
        <v>1322.8553466999999</v>
      </c>
      <c r="J1724">
        <v>1319.1571045000001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1097.2540590000001</v>
      </c>
      <c r="B1725" s="1">
        <f>DATE(2013,5,2) + TIME(6,5,50)</f>
        <v>41396.254050925927</v>
      </c>
      <c r="C1725">
        <v>80</v>
      </c>
      <c r="D1725">
        <v>78.912528992000006</v>
      </c>
      <c r="E1725">
        <v>50</v>
      </c>
      <c r="F1725">
        <v>49.841514586999999</v>
      </c>
      <c r="G1725">
        <v>1345.4390868999999</v>
      </c>
      <c r="H1725">
        <v>1341.184082</v>
      </c>
      <c r="I1725">
        <v>1322.8461914</v>
      </c>
      <c r="J1725">
        <v>1319.1475829999999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1097.3150499999999</v>
      </c>
      <c r="B1726" s="1">
        <f>DATE(2013,5,2) + TIME(7,33,40)</f>
        <v>41396.315046296295</v>
      </c>
      <c r="C1726">
        <v>80</v>
      </c>
      <c r="D1726">
        <v>79.033355713000006</v>
      </c>
      <c r="E1726">
        <v>50</v>
      </c>
      <c r="F1726">
        <v>49.83687973</v>
      </c>
      <c r="G1726">
        <v>1345.4616699000001</v>
      </c>
      <c r="H1726">
        <v>1341.2054443</v>
      </c>
      <c r="I1726">
        <v>1322.8387451000001</v>
      </c>
      <c r="J1726">
        <v>1319.1398925999999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1097.378829</v>
      </c>
      <c r="B1727" s="1">
        <f>DATE(2013,5,2) + TIME(9,5,30)</f>
        <v>41396.378819444442</v>
      </c>
      <c r="C1727">
        <v>80</v>
      </c>
      <c r="D1727">
        <v>79.144805907999995</v>
      </c>
      <c r="E1727">
        <v>50</v>
      </c>
      <c r="F1727">
        <v>49.832077026</v>
      </c>
      <c r="G1727">
        <v>1345.4825439000001</v>
      </c>
      <c r="H1727">
        <v>1341.2252197</v>
      </c>
      <c r="I1727">
        <v>1322.8326416</v>
      </c>
      <c r="J1727">
        <v>1319.1335449000001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1097.4456279999999</v>
      </c>
      <c r="B1728" s="1">
        <f>DATE(2013,5,2) + TIME(10,41,42)</f>
        <v>41396.445625</v>
      </c>
      <c r="C1728">
        <v>80</v>
      </c>
      <c r="D1728">
        <v>79.247161864999995</v>
      </c>
      <c r="E1728">
        <v>50</v>
      </c>
      <c r="F1728">
        <v>49.827095032000003</v>
      </c>
      <c r="G1728">
        <v>1345.5018310999999</v>
      </c>
      <c r="H1728">
        <v>1341.2431641000001</v>
      </c>
      <c r="I1728">
        <v>1322.8278809000001</v>
      </c>
      <c r="J1728">
        <v>1319.128418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1097.5157079999999</v>
      </c>
      <c r="B1729" s="1">
        <f>DATE(2013,5,2) + TIME(12,22,37)</f>
        <v>41396.515706018516</v>
      </c>
      <c r="C1729">
        <v>80</v>
      </c>
      <c r="D1729">
        <v>79.340728760000005</v>
      </c>
      <c r="E1729">
        <v>50</v>
      </c>
      <c r="F1729">
        <v>49.821922301999997</v>
      </c>
      <c r="G1729">
        <v>1345.5196533000001</v>
      </c>
      <c r="H1729">
        <v>1341.2596435999999</v>
      </c>
      <c r="I1729">
        <v>1322.8240966999999</v>
      </c>
      <c r="J1729">
        <v>1319.1245117000001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1097.5893619999999</v>
      </c>
      <c r="B1730" s="1">
        <f>DATE(2013,5,2) + TIME(14,8,40)</f>
        <v>41396.58935185185</v>
      </c>
      <c r="C1730">
        <v>80</v>
      </c>
      <c r="D1730">
        <v>79.425827025999993</v>
      </c>
      <c r="E1730">
        <v>50</v>
      </c>
      <c r="F1730">
        <v>49.816535950000002</v>
      </c>
      <c r="G1730">
        <v>1345.5358887</v>
      </c>
      <c r="H1730">
        <v>1341.2745361</v>
      </c>
      <c r="I1730">
        <v>1322.8212891000001</v>
      </c>
      <c r="J1730">
        <v>1319.1214600000001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1097.666931</v>
      </c>
      <c r="B1731" s="1">
        <f>DATE(2013,5,2) + TIME(16,0,22)</f>
        <v>41396.666921296295</v>
      </c>
      <c r="C1731">
        <v>80</v>
      </c>
      <c r="D1731">
        <v>79.502822875999996</v>
      </c>
      <c r="E1731">
        <v>50</v>
      </c>
      <c r="F1731">
        <v>49.810916900999999</v>
      </c>
      <c r="G1731">
        <v>1345.5507812000001</v>
      </c>
      <c r="H1731">
        <v>1341.2882079999999</v>
      </c>
      <c r="I1731">
        <v>1322.8193358999999</v>
      </c>
      <c r="J1731">
        <v>1319.1192627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1097.748848</v>
      </c>
      <c r="B1732" s="1">
        <f>DATE(2013,5,2) + TIME(17,58,20)</f>
        <v>41396.748842592591</v>
      </c>
      <c r="C1732">
        <v>80</v>
      </c>
      <c r="D1732">
        <v>79.572105407999999</v>
      </c>
      <c r="E1732">
        <v>50</v>
      </c>
      <c r="F1732">
        <v>49.805042266999997</v>
      </c>
      <c r="G1732">
        <v>1345.5642089999999</v>
      </c>
      <c r="H1732">
        <v>1341.3004149999999</v>
      </c>
      <c r="I1732">
        <v>1322.8178711</v>
      </c>
      <c r="J1732">
        <v>1319.1175536999999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1097.835505</v>
      </c>
      <c r="B1733" s="1">
        <f>DATE(2013,5,2) + TIME(20,3,7)</f>
        <v>41396.835497685184</v>
      </c>
      <c r="C1733">
        <v>80</v>
      </c>
      <c r="D1733">
        <v>79.634010314999998</v>
      </c>
      <c r="E1733">
        <v>50</v>
      </c>
      <c r="F1733">
        <v>49.798892975000001</v>
      </c>
      <c r="G1733">
        <v>1345.5762939000001</v>
      </c>
      <c r="H1733">
        <v>1341.3112793</v>
      </c>
      <c r="I1733">
        <v>1322.8170166</v>
      </c>
      <c r="J1733">
        <v>1319.1165771000001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1097.92741</v>
      </c>
      <c r="B1734" s="1">
        <f>DATE(2013,5,2) + TIME(22,15,28)</f>
        <v>41396.927407407406</v>
      </c>
      <c r="C1734">
        <v>80</v>
      </c>
      <c r="D1734">
        <v>79.688941955999994</v>
      </c>
      <c r="E1734">
        <v>50</v>
      </c>
      <c r="F1734">
        <v>49.792434692</v>
      </c>
      <c r="G1734">
        <v>1345.5869141000001</v>
      </c>
      <c r="H1734">
        <v>1341.3209228999999</v>
      </c>
      <c r="I1734">
        <v>1322.8165283000001</v>
      </c>
      <c r="J1734">
        <v>1319.1158447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1098.0224700000001</v>
      </c>
      <c r="B1735" s="1">
        <f>DATE(2013,5,3) + TIME(0,32,21)</f>
        <v>41397.022465277776</v>
      </c>
      <c r="C1735">
        <v>80</v>
      </c>
      <c r="D1735">
        <v>79.736221313000001</v>
      </c>
      <c r="E1735">
        <v>50</v>
      </c>
      <c r="F1735">
        <v>49.785800934000001</v>
      </c>
      <c r="G1735">
        <v>1345.5966797000001</v>
      </c>
      <c r="H1735">
        <v>1341.3295897999999</v>
      </c>
      <c r="I1735">
        <v>1322.8162841999999</v>
      </c>
      <c r="J1735">
        <v>1319.1154785000001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1098.118211</v>
      </c>
      <c r="B1736" s="1">
        <f>DATE(2013,5,3) + TIME(2,50,13)</f>
        <v>41397.118206018517</v>
      </c>
      <c r="C1736">
        <v>80</v>
      </c>
      <c r="D1736">
        <v>79.775779724000003</v>
      </c>
      <c r="E1736">
        <v>50</v>
      </c>
      <c r="F1736">
        <v>49.779151917</v>
      </c>
      <c r="G1736">
        <v>1345.6051024999999</v>
      </c>
      <c r="H1736">
        <v>1341.3371582</v>
      </c>
      <c r="I1736">
        <v>1322.8162841999999</v>
      </c>
      <c r="J1736">
        <v>1319.1152344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1098.2149380000001</v>
      </c>
      <c r="B1737" s="1">
        <f>DATE(2013,5,3) + TIME(5,9,30)</f>
        <v>41397.214930555558</v>
      </c>
      <c r="C1737">
        <v>80</v>
      </c>
      <c r="D1737">
        <v>79.808937072999996</v>
      </c>
      <c r="E1737">
        <v>50</v>
      </c>
      <c r="F1737">
        <v>49.772468566999997</v>
      </c>
      <c r="G1737">
        <v>1345.6118164</v>
      </c>
      <c r="H1737">
        <v>1341.3432617000001</v>
      </c>
      <c r="I1737">
        <v>1322.8164062000001</v>
      </c>
      <c r="J1737">
        <v>1319.1151123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1098.3128569999999</v>
      </c>
      <c r="B1738" s="1">
        <f>DATE(2013,5,3) + TIME(7,30,30)</f>
        <v>41397.312847222223</v>
      </c>
      <c r="C1738">
        <v>80</v>
      </c>
      <c r="D1738">
        <v>79.836715698000006</v>
      </c>
      <c r="E1738">
        <v>50</v>
      </c>
      <c r="F1738">
        <v>49.765731811999999</v>
      </c>
      <c r="G1738">
        <v>1345.6170654</v>
      </c>
      <c r="H1738">
        <v>1341.3481445</v>
      </c>
      <c r="I1738">
        <v>1322.8166504000001</v>
      </c>
      <c r="J1738">
        <v>1319.1151123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1098.4121809999999</v>
      </c>
      <c r="B1739" s="1">
        <f>DATE(2013,5,3) + TIME(9,53,32)</f>
        <v>41397.412175925929</v>
      </c>
      <c r="C1739">
        <v>80</v>
      </c>
      <c r="D1739">
        <v>79.859985351999995</v>
      </c>
      <c r="E1739">
        <v>50</v>
      </c>
      <c r="F1739">
        <v>49.758934021000002</v>
      </c>
      <c r="G1739">
        <v>1345.6208495999999</v>
      </c>
      <c r="H1739">
        <v>1341.3519286999999</v>
      </c>
      <c r="I1739">
        <v>1322.8167725000001</v>
      </c>
      <c r="J1739">
        <v>1319.1151123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1098.5131940000001</v>
      </c>
      <c r="B1740" s="1">
        <f>DATE(2013,5,3) + TIME(12,18,59)</f>
        <v>41397.513182870367</v>
      </c>
      <c r="C1740">
        <v>80</v>
      </c>
      <c r="D1740">
        <v>79.879470824999999</v>
      </c>
      <c r="E1740">
        <v>50</v>
      </c>
      <c r="F1740">
        <v>49.752056121999999</v>
      </c>
      <c r="G1740">
        <v>1345.6234131000001</v>
      </c>
      <c r="H1740">
        <v>1341.3548584</v>
      </c>
      <c r="I1740">
        <v>1322.8168945</v>
      </c>
      <c r="J1740">
        <v>1319.1151123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1098.616102</v>
      </c>
      <c r="B1741" s="1">
        <f>DATE(2013,5,3) + TIME(14,47,11)</f>
        <v>41397.616099537037</v>
      </c>
      <c r="C1741">
        <v>80</v>
      </c>
      <c r="D1741">
        <v>79.895767211999996</v>
      </c>
      <c r="E1741">
        <v>50</v>
      </c>
      <c r="F1741">
        <v>49.745082855</v>
      </c>
      <c r="G1741">
        <v>1345.6248779</v>
      </c>
      <c r="H1741">
        <v>1341.3568115</v>
      </c>
      <c r="I1741">
        <v>1322.8170166</v>
      </c>
      <c r="J1741">
        <v>1319.1149902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1098.721151</v>
      </c>
      <c r="B1742" s="1">
        <f>DATE(2013,5,3) + TIME(17,18,27)</f>
        <v>41397.721145833333</v>
      </c>
      <c r="C1742">
        <v>80</v>
      </c>
      <c r="D1742">
        <v>79.909378051999994</v>
      </c>
      <c r="E1742">
        <v>50</v>
      </c>
      <c r="F1742">
        <v>49.738006591999998</v>
      </c>
      <c r="G1742">
        <v>1345.6252440999999</v>
      </c>
      <c r="H1742">
        <v>1341.3580322</v>
      </c>
      <c r="I1742">
        <v>1322.8171387</v>
      </c>
      <c r="J1742">
        <v>1319.1148682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1098.8286029999999</v>
      </c>
      <c r="B1743" s="1">
        <f>DATE(2013,5,3) + TIME(19,53,11)</f>
        <v>41397.828599537039</v>
      </c>
      <c r="C1743">
        <v>80</v>
      </c>
      <c r="D1743">
        <v>79.920722960999996</v>
      </c>
      <c r="E1743">
        <v>50</v>
      </c>
      <c r="F1743">
        <v>49.730808258000003</v>
      </c>
      <c r="G1743">
        <v>1345.6246338000001</v>
      </c>
      <c r="H1743">
        <v>1341.3586425999999</v>
      </c>
      <c r="I1743">
        <v>1322.8171387</v>
      </c>
      <c r="J1743">
        <v>1319.1147461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1098.9387369999999</v>
      </c>
      <c r="B1744" s="1">
        <f>DATE(2013,5,3) + TIME(22,31,46)</f>
        <v>41397.938726851855</v>
      </c>
      <c r="C1744">
        <v>80</v>
      </c>
      <c r="D1744">
        <v>79.930160521999994</v>
      </c>
      <c r="E1744">
        <v>50</v>
      </c>
      <c r="F1744">
        <v>49.723468781000001</v>
      </c>
      <c r="G1744">
        <v>1345.6231689000001</v>
      </c>
      <c r="H1744">
        <v>1341.3585204999999</v>
      </c>
      <c r="I1744">
        <v>1322.8170166</v>
      </c>
      <c r="J1744">
        <v>1319.1145019999999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1099.05186</v>
      </c>
      <c r="B1745" s="1">
        <f>DATE(2013,5,4) + TIME(1,14,40)</f>
        <v>41398.051851851851</v>
      </c>
      <c r="C1745">
        <v>80</v>
      </c>
      <c r="D1745">
        <v>79.937995911000002</v>
      </c>
      <c r="E1745">
        <v>50</v>
      </c>
      <c r="F1745">
        <v>49.715976714999996</v>
      </c>
      <c r="G1745">
        <v>1345.6208495999999</v>
      </c>
      <c r="H1745">
        <v>1341.3579102000001</v>
      </c>
      <c r="I1745">
        <v>1322.8168945</v>
      </c>
      <c r="J1745">
        <v>1319.1141356999999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1099.1677010000001</v>
      </c>
      <c r="B1746" s="1">
        <f>DATE(2013,5,4) + TIME(4,1,29)</f>
        <v>41398.167696759258</v>
      </c>
      <c r="C1746">
        <v>80</v>
      </c>
      <c r="D1746">
        <v>79.944458007999998</v>
      </c>
      <c r="E1746">
        <v>50</v>
      </c>
      <c r="F1746">
        <v>49.708347320999998</v>
      </c>
      <c r="G1746">
        <v>1345.6177978999999</v>
      </c>
      <c r="H1746">
        <v>1341.3566894999999</v>
      </c>
      <c r="I1746">
        <v>1322.8166504000001</v>
      </c>
      <c r="J1746">
        <v>1319.1137695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1099.285523</v>
      </c>
      <c r="B1747" s="1">
        <f>DATE(2013,5,4) + TIME(6,51,9)</f>
        <v>41398.285520833335</v>
      </c>
      <c r="C1747">
        <v>80</v>
      </c>
      <c r="D1747">
        <v>79.949737549000005</v>
      </c>
      <c r="E1747">
        <v>50</v>
      </c>
      <c r="F1747">
        <v>49.700618744000003</v>
      </c>
      <c r="G1747">
        <v>1345.6141356999999</v>
      </c>
      <c r="H1747">
        <v>1341.3549805</v>
      </c>
      <c r="I1747">
        <v>1322.8164062000001</v>
      </c>
      <c r="J1747">
        <v>1319.1132812000001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1099.405567</v>
      </c>
      <c r="B1748" s="1">
        <f>DATE(2013,5,4) + TIME(9,44,0)</f>
        <v>41398.405555555553</v>
      </c>
      <c r="C1748">
        <v>80</v>
      </c>
      <c r="D1748">
        <v>79.954040527000004</v>
      </c>
      <c r="E1748">
        <v>50</v>
      </c>
      <c r="F1748">
        <v>49.692779541</v>
      </c>
      <c r="G1748">
        <v>1345.6097411999999</v>
      </c>
      <c r="H1748">
        <v>1341.3529053</v>
      </c>
      <c r="I1748">
        <v>1322.8160399999999</v>
      </c>
      <c r="J1748">
        <v>1319.112793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1099.5280949999999</v>
      </c>
      <c r="B1749" s="1">
        <f>DATE(2013,5,4) + TIME(12,40,27)</f>
        <v>41398.528090277781</v>
      </c>
      <c r="C1749">
        <v>80</v>
      </c>
      <c r="D1749">
        <v>79.957550049000005</v>
      </c>
      <c r="E1749">
        <v>50</v>
      </c>
      <c r="F1749">
        <v>49.684818268000001</v>
      </c>
      <c r="G1749">
        <v>1345.6047363</v>
      </c>
      <c r="H1749">
        <v>1341.3503418</v>
      </c>
      <c r="I1749">
        <v>1322.8156738</v>
      </c>
      <c r="J1749">
        <v>1319.1121826000001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1099.6533199999999</v>
      </c>
      <c r="B1750" s="1">
        <f>DATE(2013,5,4) + TIME(15,40,46)</f>
        <v>41398.653310185182</v>
      </c>
      <c r="C1750">
        <v>80</v>
      </c>
      <c r="D1750">
        <v>79.960403442</v>
      </c>
      <c r="E1750">
        <v>50</v>
      </c>
      <c r="F1750">
        <v>49.67672348</v>
      </c>
      <c r="G1750">
        <v>1345.5991211</v>
      </c>
      <c r="H1750">
        <v>1341.3474120999999</v>
      </c>
      <c r="I1750">
        <v>1322.8153076000001</v>
      </c>
      <c r="J1750">
        <v>1319.1115723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1099.7814860000001</v>
      </c>
      <c r="B1751" s="1">
        <f>DATE(2013,5,4) + TIME(18,45,20)</f>
        <v>41398.781481481485</v>
      </c>
      <c r="C1751">
        <v>80</v>
      </c>
      <c r="D1751">
        <v>79.962722778</v>
      </c>
      <c r="E1751">
        <v>50</v>
      </c>
      <c r="F1751">
        <v>49.668479918999999</v>
      </c>
      <c r="G1751">
        <v>1345.5930175999999</v>
      </c>
      <c r="H1751">
        <v>1341.3442382999999</v>
      </c>
      <c r="I1751">
        <v>1322.8148193</v>
      </c>
      <c r="J1751">
        <v>1319.1108397999999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1099.912871</v>
      </c>
      <c r="B1752" s="1">
        <f>DATE(2013,5,4) + TIME(21,54,32)</f>
        <v>41398.912870370368</v>
      </c>
      <c r="C1752">
        <v>80</v>
      </c>
      <c r="D1752">
        <v>79.964599609000004</v>
      </c>
      <c r="E1752">
        <v>50</v>
      </c>
      <c r="F1752">
        <v>49.660072327000002</v>
      </c>
      <c r="G1752">
        <v>1345.5863036999999</v>
      </c>
      <c r="H1752">
        <v>1341.3405762</v>
      </c>
      <c r="I1752">
        <v>1322.8142089999999</v>
      </c>
      <c r="J1752">
        <v>1319.1101074000001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1100.0478450000001</v>
      </c>
      <c r="B1753" s="1">
        <f>DATE(2013,5,5) + TIME(1,8,53)</f>
        <v>41399.047835648147</v>
      </c>
      <c r="C1753">
        <v>80</v>
      </c>
      <c r="D1753">
        <v>79.966117858999993</v>
      </c>
      <c r="E1753">
        <v>50</v>
      </c>
      <c r="F1753">
        <v>49.651485442999999</v>
      </c>
      <c r="G1753">
        <v>1345.5792236</v>
      </c>
      <c r="H1753">
        <v>1341.3367920000001</v>
      </c>
      <c r="I1753">
        <v>1322.8135986</v>
      </c>
      <c r="J1753">
        <v>1319.1092529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1100.1868039999999</v>
      </c>
      <c r="B1754" s="1">
        <f>DATE(2013,5,5) + TIME(4,28,59)</f>
        <v>41399.186793981484</v>
      </c>
      <c r="C1754">
        <v>80</v>
      </c>
      <c r="D1754">
        <v>79.967346191000004</v>
      </c>
      <c r="E1754">
        <v>50</v>
      </c>
      <c r="F1754">
        <v>49.642692566000001</v>
      </c>
      <c r="G1754">
        <v>1345.5716553</v>
      </c>
      <c r="H1754">
        <v>1341.3326416</v>
      </c>
      <c r="I1754">
        <v>1322.8129882999999</v>
      </c>
      <c r="J1754">
        <v>1319.1085204999999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1100.330142</v>
      </c>
      <c r="B1755" s="1">
        <f>DATE(2013,5,5) + TIME(7,55,24)</f>
        <v>41399.330138888887</v>
      </c>
      <c r="C1755">
        <v>80</v>
      </c>
      <c r="D1755">
        <v>79.968338012999993</v>
      </c>
      <c r="E1755">
        <v>50</v>
      </c>
      <c r="F1755">
        <v>49.633678435999997</v>
      </c>
      <c r="G1755">
        <v>1345.5635986</v>
      </c>
      <c r="H1755">
        <v>1341.328125</v>
      </c>
      <c r="I1755">
        <v>1322.8123779</v>
      </c>
      <c r="J1755">
        <v>1319.1075439000001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1100.4783</v>
      </c>
      <c r="B1756" s="1">
        <f>DATE(2013,5,5) + TIME(11,28,45)</f>
        <v>41399.478298611109</v>
      </c>
      <c r="C1756">
        <v>80</v>
      </c>
      <c r="D1756">
        <v>79.969139099000003</v>
      </c>
      <c r="E1756">
        <v>50</v>
      </c>
      <c r="F1756">
        <v>49.624416351000001</v>
      </c>
      <c r="G1756">
        <v>1345.5550536999999</v>
      </c>
      <c r="H1756">
        <v>1341.3234863</v>
      </c>
      <c r="I1756">
        <v>1322.8116454999999</v>
      </c>
      <c r="J1756">
        <v>1319.1066894999999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1100.6317710000001</v>
      </c>
      <c r="B1757" s="1">
        <f>DATE(2013,5,5) + TIME(15,9,44)</f>
        <v>41399.63175925926</v>
      </c>
      <c r="C1757">
        <v>80</v>
      </c>
      <c r="D1757">
        <v>79.969779967999997</v>
      </c>
      <c r="E1757">
        <v>50</v>
      </c>
      <c r="F1757">
        <v>49.614883423000002</v>
      </c>
      <c r="G1757">
        <v>1345.5461425999999</v>
      </c>
      <c r="H1757">
        <v>1341.3184814000001</v>
      </c>
      <c r="I1757">
        <v>1322.8109131000001</v>
      </c>
      <c r="J1757">
        <v>1319.1055908000001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1100.7911120000001</v>
      </c>
      <c r="B1758" s="1">
        <f>DATE(2013,5,5) + TIME(18,59,12)</f>
        <v>41399.79111111111</v>
      </c>
      <c r="C1758">
        <v>80</v>
      </c>
      <c r="D1758">
        <v>79.970291137999993</v>
      </c>
      <c r="E1758">
        <v>50</v>
      </c>
      <c r="F1758">
        <v>49.605049133000001</v>
      </c>
      <c r="G1758">
        <v>1345.5367432</v>
      </c>
      <c r="H1758">
        <v>1341.3132324000001</v>
      </c>
      <c r="I1758">
        <v>1322.8100586</v>
      </c>
      <c r="J1758">
        <v>1319.1046143000001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1100.955152</v>
      </c>
      <c r="B1759" s="1">
        <f>DATE(2013,5,5) + TIME(22,55,25)</f>
        <v>41399.955150462964</v>
      </c>
      <c r="C1759">
        <v>80</v>
      </c>
      <c r="D1759">
        <v>79.970695496000005</v>
      </c>
      <c r="E1759">
        <v>50</v>
      </c>
      <c r="F1759">
        <v>49.594974518000001</v>
      </c>
      <c r="G1759">
        <v>1345.5268555</v>
      </c>
      <c r="H1759">
        <v>1341.3078613</v>
      </c>
      <c r="I1759">
        <v>1322.8092041</v>
      </c>
      <c r="J1759">
        <v>1319.1035156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1101.123325</v>
      </c>
      <c r="B1760" s="1">
        <f>DATE(2013,5,6) + TIME(2,57,35)</f>
        <v>41400.12332175926</v>
      </c>
      <c r="C1760">
        <v>80</v>
      </c>
      <c r="D1760">
        <v>79.971008300999998</v>
      </c>
      <c r="E1760">
        <v>50</v>
      </c>
      <c r="F1760">
        <v>49.584693909000002</v>
      </c>
      <c r="G1760">
        <v>1345.5167236</v>
      </c>
      <c r="H1760">
        <v>1341.3022461</v>
      </c>
      <c r="I1760">
        <v>1322.8083495999999</v>
      </c>
      <c r="J1760">
        <v>1319.1024170000001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1101.296006</v>
      </c>
      <c r="B1761" s="1">
        <f>DATE(2013,5,6) + TIME(7,6,14)</f>
        <v>41400.295995370368</v>
      </c>
      <c r="C1761">
        <v>80</v>
      </c>
      <c r="D1761">
        <v>79.971260071000003</v>
      </c>
      <c r="E1761">
        <v>50</v>
      </c>
      <c r="F1761">
        <v>49.574184418000002</v>
      </c>
      <c r="G1761">
        <v>1345.5062256000001</v>
      </c>
      <c r="H1761">
        <v>1341.2963867000001</v>
      </c>
      <c r="I1761">
        <v>1322.8073730000001</v>
      </c>
      <c r="J1761">
        <v>1319.1011963000001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1101.4735740000001</v>
      </c>
      <c r="B1762" s="1">
        <f>DATE(2013,5,6) + TIME(11,21,56)</f>
        <v>41400.473564814813</v>
      </c>
      <c r="C1762">
        <v>80</v>
      </c>
      <c r="D1762">
        <v>79.971450806000007</v>
      </c>
      <c r="E1762">
        <v>50</v>
      </c>
      <c r="F1762">
        <v>49.563430785999998</v>
      </c>
      <c r="G1762">
        <v>1345.4954834</v>
      </c>
      <c r="H1762">
        <v>1341.2904053</v>
      </c>
      <c r="I1762">
        <v>1322.8065185999999</v>
      </c>
      <c r="J1762">
        <v>1319.0999756000001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1101.6564430000001</v>
      </c>
      <c r="B1763" s="1">
        <f>DATE(2013,5,6) + TIME(15,45,16)</f>
        <v>41400.656435185185</v>
      </c>
      <c r="C1763">
        <v>80</v>
      </c>
      <c r="D1763">
        <v>79.971603393999999</v>
      </c>
      <c r="E1763">
        <v>50</v>
      </c>
      <c r="F1763">
        <v>49.552417755</v>
      </c>
      <c r="G1763">
        <v>1345.484375</v>
      </c>
      <c r="H1763">
        <v>1341.2843018000001</v>
      </c>
      <c r="I1763">
        <v>1322.8055420000001</v>
      </c>
      <c r="J1763">
        <v>1319.0987548999999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1101.8452569999999</v>
      </c>
      <c r="B1764" s="1">
        <f>DATE(2013,5,6) + TIME(20,17,10)</f>
        <v>41400.845254629632</v>
      </c>
      <c r="C1764">
        <v>80</v>
      </c>
      <c r="D1764">
        <v>79.971725464000002</v>
      </c>
      <c r="E1764">
        <v>50</v>
      </c>
      <c r="F1764">
        <v>49.541110992</v>
      </c>
      <c r="G1764">
        <v>1345.4731445</v>
      </c>
      <c r="H1764">
        <v>1341.2780762</v>
      </c>
      <c r="I1764">
        <v>1322.8044434000001</v>
      </c>
      <c r="J1764">
        <v>1319.0974120999999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1102.040663</v>
      </c>
      <c r="B1765" s="1">
        <f>DATE(2013,5,7) + TIME(0,58,33)</f>
        <v>41401.040659722225</v>
      </c>
      <c r="C1765">
        <v>80</v>
      </c>
      <c r="D1765">
        <v>79.971817017000006</v>
      </c>
      <c r="E1765">
        <v>50</v>
      </c>
      <c r="F1765">
        <v>49.529479979999998</v>
      </c>
      <c r="G1765">
        <v>1345.4615478999999</v>
      </c>
      <c r="H1765">
        <v>1341.2717285000001</v>
      </c>
      <c r="I1765">
        <v>1322.8033447</v>
      </c>
      <c r="J1765">
        <v>1319.0960693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1102.2405610000001</v>
      </c>
      <c r="B1766" s="1">
        <f>DATE(2013,5,7) + TIME(5,46,24)</f>
        <v>41401.240555555552</v>
      </c>
      <c r="C1766">
        <v>80</v>
      </c>
      <c r="D1766">
        <v>79.971878051999994</v>
      </c>
      <c r="E1766">
        <v>50</v>
      </c>
      <c r="F1766">
        <v>49.517627716</v>
      </c>
      <c r="G1766">
        <v>1345.4495850000001</v>
      </c>
      <c r="H1766">
        <v>1341.2651367000001</v>
      </c>
      <c r="I1766">
        <v>1322.8022461</v>
      </c>
      <c r="J1766">
        <v>1319.0947266000001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1102.44409</v>
      </c>
      <c r="B1767" s="1">
        <f>DATE(2013,5,7) + TIME(10,39,29)</f>
        <v>41401.444085648145</v>
      </c>
      <c r="C1767">
        <v>80</v>
      </c>
      <c r="D1767">
        <v>79.971931458</v>
      </c>
      <c r="E1767">
        <v>50</v>
      </c>
      <c r="F1767">
        <v>49.505596161</v>
      </c>
      <c r="G1767">
        <v>1345.4375</v>
      </c>
      <c r="H1767">
        <v>1341.2585449000001</v>
      </c>
      <c r="I1767">
        <v>1322.8011475000001</v>
      </c>
      <c r="J1767">
        <v>1319.0932617000001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1102.651869</v>
      </c>
      <c r="B1768" s="1">
        <f>DATE(2013,5,7) + TIME(15,38,41)</f>
        <v>41401.651863425926</v>
      </c>
      <c r="C1768">
        <v>80</v>
      </c>
      <c r="D1768">
        <v>79.971961974999999</v>
      </c>
      <c r="E1768">
        <v>50</v>
      </c>
      <c r="F1768">
        <v>49.493366240999997</v>
      </c>
      <c r="G1768">
        <v>1345.4254149999999</v>
      </c>
      <c r="H1768">
        <v>1341.2519531</v>
      </c>
      <c r="I1768">
        <v>1322.8000488</v>
      </c>
      <c r="J1768">
        <v>1319.0917969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1102.8645280000001</v>
      </c>
      <c r="B1769" s="1">
        <f>DATE(2013,5,7) + TIME(20,44,55)</f>
        <v>41401.864525462966</v>
      </c>
      <c r="C1769">
        <v>80</v>
      </c>
      <c r="D1769">
        <v>79.971984863000003</v>
      </c>
      <c r="E1769">
        <v>50</v>
      </c>
      <c r="F1769">
        <v>49.480907440000003</v>
      </c>
      <c r="G1769">
        <v>1345.4132079999999</v>
      </c>
      <c r="H1769">
        <v>1341.2452393000001</v>
      </c>
      <c r="I1769">
        <v>1322.7988281</v>
      </c>
      <c r="J1769">
        <v>1319.0902100000001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1103.0803880000001</v>
      </c>
      <c r="B1770" s="1">
        <f>DATE(2013,5,8) + TIME(1,55,45)</f>
        <v>41402.080381944441</v>
      </c>
      <c r="C1770">
        <v>80</v>
      </c>
      <c r="D1770">
        <v>79.972000121999997</v>
      </c>
      <c r="E1770">
        <v>50</v>
      </c>
      <c r="F1770">
        <v>49.468303679999998</v>
      </c>
      <c r="G1770">
        <v>1345.4007568</v>
      </c>
      <c r="H1770">
        <v>1341.2385254000001</v>
      </c>
      <c r="I1770">
        <v>1322.7976074000001</v>
      </c>
      <c r="J1770">
        <v>1319.0887451000001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1103.2978290000001</v>
      </c>
      <c r="B1771" s="1">
        <f>DATE(2013,5,8) + TIME(7,8,52)</f>
        <v>41402.297824074078</v>
      </c>
      <c r="C1771">
        <v>80</v>
      </c>
      <c r="D1771">
        <v>79.972000121999997</v>
      </c>
      <c r="E1771">
        <v>50</v>
      </c>
      <c r="F1771">
        <v>49.455631255999997</v>
      </c>
      <c r="G1771">
        <v>1345.3884277</v>
      </c>
      <c r="H1771">
        <v>1341.2319336</v>
      </c>
      <c r="I1771">
        <v>1322.7963867000001</v>
      </c>
      <c r="J1771">
        <v>1319.0871582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1103.5173</v>
      </c>
      <c r="B1772" s="1">
        <f>DATE(2013,5,8) + TIME(12,24,54)</f>
        <v>41402.517291666663</v>
      </c>
      <c r="C1772">
        <v>80</v>
      </c>
      <c r="D1772">
        <v>79.972000121999997</v>
      </c>
      <c r="E1772">
        <v>50</v>
      </c>
      <c r="F1772">
        <v>49.442878723</v>
      </c>
      <c r="G1772">
        <v>1345.3760986</v>
      </c>
      <c r="H1772">
        <v>1341.2252197</v>
      </c>
      <c r="I1772">
        <v>1322.7950439000001</v>
      </c>
      <c r="J1772">
        <v>1319.0855713000001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1103.739239</v>
      </c>
      <c r="B1773" s="1">
        <f>DATE(2013,5,8) + TIME(17,44,30)</f>
        <v>41402.739236111112</v>
      </c>
      <c r="C1773">
        <v>80</v>
      </c>
      <c r="D1773">
        <v>79.971992493000002</v>
      </c>
      <c r="E1773">
        <v>50</v>
      </c>
      <c r="F1773">
        <v>49.430030823000003</v>
      </c>
      <c r="G1773">
        <v>1345.3638916</v>
      </c>
      <c r="H1773">
        <v>1341.2186279</v>
      </c>
      <c r="I1773">
        <v>1322.7938231999999</v>
      </c>
      <c r="J1773">
        <v>1319.0839844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1103.964193</v>
      </c>
      <c r="B1774" s="1">
        <f>DATE(2013,5,8) + TIME(23,8,26)</f>
        <v>41402.964189814818</v>
      </c>
      <c r="C1774">
        <v>80</v>
      </c>
      <c r="D1774">
        <v>79.971984863000003</v>
      </c>
      <c r="E1774">
        <v>50</v>
      </c>
      <c r="F1774">
        <v>49.417072296000001</v>
      </c>
      <c r="G1774">
        <v>1345.3518065999999</v>
      </c>
      <c r="H1774">
        <v>1341.2121582</v>
      </c>
      <c r="I1774">
        <v>1322.7924805</v>
      </c>
      <c r="J1774">
        <v>1319.0822754000001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1104.1925289999999</v>
      </c>
      <c r="B1775" s="1">
        <f>DATE(2013,5,9) + TIME(4,37,14)</f>
        <v>41403.192523148151</v>
      </c>
      <c r="C1775">
        <v>80</v>
      </c>
      <c r="D1775">
        <v>79.971969603999995</v>
      </c>
      <c r="E1775">
        <v>50</v>
      </c>
      <c r="F1775">
        <v>49.403980255</v>
      </c>
      <c r="G1775">
        <v>1345.3397216999999</v>
      </c>
      <c r="H1775">
        <v>1341.2056885</v>
      </c>
      <c r="I1775">
        <v>1322.7911377</v>
      </c>
      <c r="J1775">
        <v>1319.0805664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1104.424728</v>
      </c>
      <c r="B1776" s="1">
        <f>DATE(2013,5,9) + TIME(10,11,36)</f>
        <v>41403.424722222226</v>
      </c>
      <c r="C1776">
        <v>80</v>
      </c>
      <c r="D1776">
        <v>79.971946716000005</v>
      </c>
      <c r="E1776">
        <v>50</v>
      </c>
      <c r="F1776">
        <v>49.390739441000001</v>
      </c>
      <c r="G1776">
        <v>1345.3275146000001</v>
      </c>
      <c r="H1776">
        <v>1341.1992187999999</v>
      </c>
      <c r="I1776">
        <v>1322.7897949000001</v>
      </c>
      <c r="J1776">
        <v>1319.0788574000001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1104.661703</v>
      </c>
      <c r="B1777" s="1">
        <f>DATE(2013,5,9) + TIME(15,52,51)</f>
        <v>41403.66170138889</v>
      </c>
      <c r="C1777">
        <v>80</v>
      </c>
      <c r="D1777">
        <v>79.971931458</v>
      </c>
      <c r="E1777">
        <v>50</v>
      </c>
      <c r="F1777">
        <v>49.377311706999997</v>
      </c>
      <c r="G1777">
        <v>1345.3154297000001</v>
      </c>
      <c r="H1777">
        <v>1341.192749</v>
      </c>
      <c r="I1777">
        <v>1322.7884521000001</v>
      </c>
      <c r="J1777">
        <v>1319.0771483999999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1104.9041010000001</v>
      </c>
      <c r="B1778" s="1">
        <f>DATE(2013,5,9) + TIME(21,41,54)</f>
        <v>41403.904097222221</v>
      </c>
      <c r="C1778">
        <v>80</v>
      </c>
      <c r="D1778">
        <v>79.971908568999993</v>
      </c>
      <c r="E1778">
        <v>50</v>
      </c>
      <c r="F1778">
        <v>49.363666533999996</v>
      </c>
      <c r="G1778">
        <v>1345.3032227000001</v>
      </c>
      <c r="H1778">
        <v>1341.1862793</v>
      </c>
      <c r="I1778">
        <v>1322.7871094</v>
      </c>
      <c r="J1778">
        <v>1319.0753173999999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1105.1525879999999</v>
      </c>
      <c r="B1779" s="1">
        <f>DATE(2013,5,10) + TIME(3,39,43)</f>
        <v>41404.152581018519</v>
      </c>
      <c r="C1779">
        <v>80</v>
      </c>
      <c r="D1779">
        <v>79.971878051999994</v>
      </c>
      <c r="E1779">
        <v>50</v>
      </c>
      <c r="F1779">
        <v>49.349769592000001</v>
      </c>
      <c r="G1779">
        <v>1345.2910156</v>
      </c>
      <c r="H1779">
        <v>1341.1798096</v>
      </c>
      <c r="I1779">
        <v>1322.7856445</v>
      </c>
      <c r="J1779">
        <v>1319.0734863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1105.4078910000001</v>
      </c>
      <c r="B1780" s="1">
        <f>DATE(2013,5,10) + TIME(9,47,21)</f>
        <v>41404.407881944448</v>
      </c>
      <c r="C1780">
        <v>80</v>
      </c>
      <c r="D1780">
        <v>79.971855164000004</v>
      </c>
      <c r="E1780">
        <v>50</v>
      </c>
      <c r="F1780">
        <v>49.335594176999997</v>
      </c>
      <c r="G1780">
        <v>1345.2786865</v>
      </c>
      <c r="H1780">
        <v>1341.1733397999999</v>
      </c>
      <c r="I1780">
        <v>1322.7841797000001</v>
      </c>
      <c r="J1780">
        <v>1319.0716553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1105.6708229999999</v>
      </c>
      <c r="B1781" s="1">
        <f>DATE(2013,5,10) + TIME(16,5,59)</f>
        <v>41404.67082175926</v>
      </c>
      <c r="C1781">
        <v>80</v>
      </c>
      <c r="D1781">
        <v>79.971824646000002</v>
      </c>
      <c r="E1781">
        <v>50</v>
      </c>
      <c r="F1781">
        <v>49.321098327999998</v>
      </c>
      <c r="G1781">
        <v>1345.2663574000001</v>
      </c>
      <c r="H1781">
        <v>1341.1667480000001</v>
      </c>
      <c r="I1781">
        <v>1322.7825928</v>
      </c>
      <c r="J1781">
        <v>1319.0697021000001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1105.9394769999999</v>
      </c>
      <c r="B1782" s="1">
        <f>DATE(2013,5,10) + TIME(22,32,50)</f>
        <v>41404.939467592594</v>
      </c>
      <c r="C1782">
        <v>80</v>
      </c>
      <c r="D1782">
        <v>79.971794127999999</v>
      </c>
      <c r="E1782">
        <v>50</v>
      </c>
      <c r="F1782">
        <v>49.306362151999998</v>
      </c>
      <c r="G1782">
        <v>1345.2537841999999</v>
      </c>
      <c r="H1782">
        <v>1341.1601562000001</v>
      </c>
      <c r="I1782">
        <v>1322.7810059000001</v>
      </c>
      <c r="J1782">
        <v>1319.0676269999999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1106.212767</v>
      </c>
      <c r="B1783" s="1">
        <f>DATE(2013,5,11) + TIME(5,6,23)</f>
        <v>41405.212766203702</v>
      </c>
      <c r="C1783">
        <v>80</v>
      </c>
      <c r="D1783">
        <v>79.971763611</v>
      </c>
      <c r="E1783">
        <v>50</v>
      </c>
      <c r="F1783">
        <v>49.291431426999999</v>
      </c>
      <c r="G1783">
        <v>1345.2410889</v>
      </c>
      <c r="H1783">
        <v>1341.1535644999999</v>
      </c>
      <c r="I1783">
        <v>1322.7794189000001</v>
      </c>
      <c r="J1783">
        <v>1319.0655518000001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1106.491262</v>
      </c>
      <c r="B1784" s="1">
        <f>DATE(2013,5,11) + TIME(11,47,25)</f>
        <v>41405.491261574076</v>
      </c>
      <c r="C1784">
        <v>80</v>
      </c>
      <c r="D1784">
        <v>79.971733092999997</v>
      </c>
      <c r="E1784">
        <v>50</v>
      </c>
      <c r="F1784">
        <v>49.276290893999999</v>
      </c>
      <c r="G1784">
        <v>1345.2285156</v>
      </c>
      <c r="H1784">
        <v>1341.1469727000001</v>
      </c>
      <c r="I1784">
        <v>1322.7777100000001</v>
      </c>
      <c r="J1784">
        <v>1319.0634766000001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1106.773827</v>
      </c>
      <c r="B1785" s="1">
        <f>DATE(2013,5,11) + TIME(18,34,18)</f>
        <v>41405.773819444446</v>
      </c>
      <c r="C1785">
        <v>80</v>
      </c>
      <c r="D1785">
        <v>79.971694946</v>
      </c>
      <c r="E1785">
        <v>50</v>
      </c>
      <c r="F1785">
        <v>49.260990143000001</v>
      </c>
      <c r="G1785">
        <v>1345.2159423999999</v>
      </c>
      <c r="H1785">
        <v>1341.1405029</v>
      </c>
      <c r="I1785">
        <v>1322.776001</v>
      </c>
      <c r="J1785">
        <v>1319.0612793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1107.0608769999999</v>
      </c>
      <c r="B1786" s="1">
        <f>DATE(2013,5,12) + TIME(1,27,39)</f>
        <v>41406.060868055552</v>
      </c>
      <c r="C1786">
        <v>80</v>
      </c>
      <c r="D1786">
        <v>79.971664429</v>
      </c>
      <c r="E1786">
        <v>50</v>
      </c>
      <c r="F1786">
        <v>49.245517731</v>
      </c>
      <c r="G1786">
        <v>1345.2033690999999</v>
      </c>
      <c r="H1786">
        <v>1341.1340332</v>
      </c>
      <c r="I1786">
        <v>1322.7742920000001</v>
      </c>
      <c r="J1786">
        <v>1319.059082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1107.3528429999999</v>
      </c>
      <c r="B1787" s="1">
        <f>DATE(2013,5,12) + TIME(8,28,5)</f>
        <v>41406.352835648147</v>
      </c>
      <c r="C1787">
        <v>80</v>
      </c>
      <c r="D1787">
        <v>79.971633910999998</v>
      </c>
      <c r="E1787">
        <v>50</v>
      </c>
      <c r="F1787">
        <v>49.229862212999997</v>
      </c>
      <c r="G1787">
        <v>1345.190918</v>
      </c>
      <c r="H1787">
        <v>1341.1275635</v>
      </c>
      <c r="I1787">
        <v>1322.7724608999999</v>
      </c>
      <c r="J1787">
        <v>1319.0567627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1107.6503009999999</v>
      </c>
      <c r="B1788" s="1">
        <f>DATE(2013,5,12) + TIME(15,36,26)</f>
        <v>41406.650300925925</v>
      </c>
      <c r="C1788">
        <v>80</v>
      </c>
      <c r="D1788">
        <v>79.971595764</v>
      </c>
      <c r="E1788">
        <v>50</v>
      </c>
      <c r="F1788">
        <v>49.214004516999999</v>
      </c>
      <c r="G1788">
        <v>1345.1783447</v>
      </c>
      <c r="H1788">
        <v>1341.1210937999999</v>
      </c>
      <c r="I1788">
        <v>1322.7706298999999</v>
      </c>
      <c r="J1788">
        <v>1319.0544434000001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1107.9539179999999</v>
      </c>
      <c r="B1789" s="1">
        <f>DATE(2013,5,12) + TIME(22,53,38)</f>
        <v>41406.953912037039</v>
      </c>
      <c r="C1789">
        <v>80</v>
      </c>
      <c r="D1789">
        <v>79.971557617000002</v>
      </c>
      <c r="E1789">
        <v>50</v>
      </c>
      <c r="F1789">
        <v>49.197917938000003</v>
      </c>
      <c r="G1789">
        <v>1345.1658935999999</v>
      </c>
      <c r="H1789">
        <v>1341.114624</v>
      </c>
      <c r="I1789">
        <v>1322.7687988</v>
      </c>
      <c r="J1789">
        <v>1319.0520019999999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1108.2651989999999</v>
      </c>
      <c r="B1790" s="1">
        <f>DATE(2013,5,13) + TIME(6,21,53)</f>
        <v>41407.265196759261</v>
      </c>
      <c r="C1790">
        <v>80</v>
      </c>
      <c r="D1790">
        <v>79.971527100000003</v>
      </c>
      <c r="E1790">
        <v>50</v>
      </c>
      <c r="F1790">
        <v>49.181549072000003</v>
      </c>
      <c r="G1790">
        <v>1345.1534423999999</v>
      </c>
      <c r="H1790">
        <v>1341.1081543</v>
      </c>
      <c r="I1790">
        <v>1322.7668457</v>
      </c>
      <c r="J1790">
        <v>1319.0495605000001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1108.58501</v>
      </c>
      <c r="B1791" s="1">
        <f>DATE(2013,5,13) + TIME(14,2,24)</f>
        <v>41407.584999999999</v>
      </c>
      <c r="C1791">
        <v>80</v>
      </c>
      <c r="D1791">
        <v>79.971488953000005</v>
      </c>
      <c r="E1791">
        <v>50</v>
      </c>
      <c r="F1791">
        <v>49.164855957</v>
      </c>
      <c r="G1791">
        <v>1345.1407471</v>
      </c>
      <c r="H1791">
        <v>1341.1018065999999</v>
      </c>
      <c r="I1791">
        <v>1322.7648925999999</v>
      </c>
      <c r="J1791">
        <v>1319.0469971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1108.9143469999999</v>
      </c>
      <c r="B1792" s="1">
        <f>DATE(2013,5,13) + TIME(21,56,39)</f>
        <v>41407.914340277777</v>
      </c>
      <c r="C1792">
        <v>80</v>
      </c>
      <c r="D1792">
        <v>79.971450806000007</v>
      </c>
      <c r="E1792">
        <v>50</v>
      </c>
      <c r="F1792">
        <v>49.147800445999998</v>
      </c>
      <c r="G1792">
        <v>1345.1280518000001</v>
      </c>
      <c r="H1792">
        <v>1341.0953368999999</v>
      </c>
      <c r="I1792">
        <v>1322.7628173999999</v>
      </c>
      <c r="J1792">
        <v>1319.0444336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1109.2521220000001</v>
      </c>
      <c r="B1793" s="1">
        <f>DATE(2013,5,14) + TIME(6,3,3)</f>
        <v>41408.252118055556</v>
      </c>
      <c r="C1793">
        <v>80</v>
      </c>
      <c r="D1793">
        <v>79.971412658999995</v>
      </c>
      <c r="E1793">
        <v>50</v>
      </c>
      <c r="F1793">
        <v>49.130416869999998</v>
      </c>
      <c r="G1793">
        <v>1345.1152344</v>
      </c>
      <c r="H1793">
        <v>1341.0887451000001</v>
      </c>
      <c r="I1793">
        <v>1322.7607422000001</v>
      </c>
      <c r="J1793">
        <v>1319.0417480000001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1109.5926030000001</v>
      </c>
      <c r="B1794" s="1">
        <f>DATE(2013,5,14) + TIME(14,13,20)</f>
        <v>41408.592592592591</v>
      </c>
      <c r="C1794">
        <v>80</v>
      </c>
      <c r="D1794">
        <v>79.971374511999997</v>
      </c>
      <c r="E1794">
        <v>50</v>
      </c>
      <c r="F1794">
        <v>49.112918854</v>
      </c>
      <c r="G1794">
        <v>1345.1024170000001</v>
      </c>
      <c r="H1794">
        <v>1341.0822754000001</v>
      </c>
      <c r="I1794">
        <v>1322.7585449000001</v>
      </c>
      <c r="J1794">
        <v>1319.0389404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1109.9375359999999</v>
      </c>
      <c r="B1795" s="1">
        <f>DATE(2013,5,14) + TIME(22,30,3)</f>
        <v>41408.937534722223</v>
      </c>
      <c r="C1795">
        <v>80</v>
      </c>
      <c r="D1795">
        <v>79.971336364999999</v>
      </c>
      <c r="E1795">
        <v>50</v>
      </c>
      <c r="F1795">
        <v>49.095260619999998</v>
      </c>
      <c r="G1795">
        <v>1345.0895995999999</v>
      </c>
      <c r="H1795">
        <v>1341.0758057</v>
      </c>
      <c r="I1795">
        <v>1322.7563477000001</v>
      </c>
      <c r="J1795">
        <v>1319.0360106999999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1110.287732</v>
      </c>
      <c r="B1796" s="1">
        <f>DATE(2013,5,15) + TIME(6,54,20)</f>
        <v>41409.287731481483</v>
      </c>
      <c r="C1796">
        <v>80</v>
      </c>
      <c r="D1796">
        <v>79.971298218000001</v>
      </c>
      <c r="E1796">
        <v>50</v>
      </c>
      <c r="F1796">
        <v>49.07742691</v>
      </c>
      <c r="G1796">
        <v>1345.0769043</v>
      </c>
      <c r="H1796">
        <v>1341.0693358999999</v>
      </c>
      <c r="I1796">
        <v>1322.7540283000001</v>
      </c>
      <c r="J1796">
        <v>1319.0330810999999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1110.643104</v>
      </c>
      <c r="B1797" s="1">
        <f>DATE(2013,5,15) + TIME(15,26,4)</f>
        <v>41409.643101851849</v>
      </c>
      <c r="C1797">
        <v>80</v>
      </c>
      <c r="D1797">
        <v>79.971260071000003</v>
      </c>
      <c r="E1797">
        <v>50</v>
      </c>
      <c r="F1797">
        <v>49.059429168999998</v>
      </c>
      <c r="G1797">
        <v>1345.0643310999999</v>
      </c>
      <c r="H1797">
        <v>1341.0629882999999</v>
      </c>
      <c r="I1797">
        <v>1322.7517089999999</v>
      </c>
      <c r="J1797">
        <v>1319.0301514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1111.0043740000001</v>
      </c>
      <c r="B1798" s="1">
        <f>DATE(2013,5,16) + TIME(0,6,17)</f>
        <v>41410.004363425927</v>
      </c>
      <c r="C1798">
        <v>80</v>
      </c>
      <c r="D1798">
        <v>79.971221924000005</v>
      </c>
      <c r="E1798">
        <v>50</v>
      </c>
      <c r="F1798">
        <v>49.041244507000002</v>
      </c>
      <c r="G1798">
        <v>1345.0517577999999</v>
      </c>
      <c r="H1798">
        <v>1341.0566406</v>
      </c>
      <c r="I1798">
        <v>1322.7493896000001</v>
      </c>
      <c r="J1798">
        <v>1319.0269774999999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1111.372404</v>
      </c>
      <c r="B1799" s="1">
        <f>DATE(2013,5,16) + TIME(8,56,15)</f>
        <v>41410.372395833336</v>
      </c>
      <c r="C1799">
        <v>80</v>
      </c>
      <c r="D1799">
        <v>79.971183776999993</v>
      </c>
      <c r="E1799">
        <v>50</v>
      </c>
      <c r="F1799">
        <v>49.022846221999998</v>
      </c>
      <c r="G1799">
        <v>1345.0391846</v>
      </c>
      <c r="H1799">
        <v>1341.050293</v>
      </c>
      <c r="I1799">
        <v>1322.7469481999999</v>
      </c>
      <c r="J1799">
        <v>1319.0238036999999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1111.7481700000001</v>
      </c>
      <c r="B1800" s="1">
        <f>DATE(2013,5,16) + TIME(17,57,21)</f>
        <v>41410.748159722221</v>
      </c>
      <c r="C1800">
        <v>80</v>
      </c>
      <c r="D1800">
        <v>79.971145629999995</v>
      </c>
      <c r="E1800">
        <v>50</v>
      </c>
      <c r="F1800">
        <v>49.004199982000003</v>
      </c>
      <c r="G1800">
        <v>1345.0266113</v>
      </c>
      <c r="H1800">
        <v>1341.0439452999999</v>
      </c>
      <c r="I1800">
        <v>1322.7443848</v>
      </c>
      <c r="J1800">
        <v>1319.0206298999999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1112.132736</v>
      </c>
      <c r="B1801" s="1">
        <f>DATE(2013,5,17) + TIME(3,11,8)</f>
        <v>41411.132731481484</v>
      </c>
      <c r="C1801">
        <v>80</v>
      </c>
      <c r="D1801">
        <v>79.971107482999997</v>
      </c>
      <c r="E1801">
        <v>50</v>
      </c>
      <c r="F1801">
        <v>48.985267639</v>
      </c>
      <c r="G1801">
        <v>1345.0139160000001</v>
      </c>
      <c r="H1801">
        <v>1341.0377197</v>
      </c>
      <c r="I1801">
        <v>1322.7418213000001</v>
      </c>
      <c r="J1801">
        <v>1319.0172118999999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1112.52729</v>
      </c>
      <c r="B1802" s="1">
        <f>DATE(2013,5,17) + TIME(12,39,17)</f>
        <v>41411.527280092596</v>
      </c>
      <c r="C1802">
        <v>80</v>
      </c>
      <c r="D1802">
        <v>79.971069335999999</v>
      </c>
      <c r="E1802">
        <v>50</v>
      </c>
      <c r="F1802">
        <v>48.966003418</v>
      </c>
      <c r="G1802">
        <v>1345.0013428</v>
      </c>
      <c r="H1802">
        <v>1341.0313721</v>
      </c>
      <c r="I1802">
        <v>1322.7391356999999</v>
      </c>
      <c r="J1802">
        <v>1319.0137939000001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1112.9331110000001</v>
      </c>
      <c r="B1803" s="1">
        <f>DATE(2013,5,17) + TIME(22,23,40)</f>
        <v>41411.93310185185</v>
      </c>
      <c r="C1803">
        <v>80</v>
      </c>
      <c r="D1803">
        <v>79.971031189000001</v>
      </c>
      <c r="E1803">
        <v>50</v>
      </c>
      <c r="F1803">
        <v>48.946357726999999</v>
      </c>
      <c r="G1803">
        <v>1344.9885254000001</v>
      </c>
      <c r="H1803">
        <v>1341.0249022999999</v>
      </c>
      <c r="I1803">
        <v>1322.7364502</v>
      </c>
      <c r="J1803">
        <v>1319.0102539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1113.343985</v>
      </c>
      <c r="B1804" s="1">
        <f>DATE(2013,5,18) + TIME(8,15,20)</f>
        <v>41412.343981481485</v>
      </c>
      <c r="C1804">
        <v>80</v>
      </c>
      <c r="D1804">
        <v>79.970993042000003</v>
      </c>
      <c r="E1804">
        <v>50</v>
      </c>
      <c r="F1804">
        <v>48.926528931</v>
      </c>
      <c r="G1804">
        <v>1344.9757079999999</v>
      </c>
      <c r="H1804">
        <v>1341.0185547000001</v>
      </c>
      <c r="I1804">
        <v>1322.7335204999999</v>
      </c>
      <c r="J1804">
        <v>1319.0064697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1113.757658</v>
      </c>
      <c r="B1805" s="1">
        <f>DATE(2013,5,18) + TIME(18,11,1)</f>
        <v>41412.757650462961</v>
      </c>
      <c r="C1805">
        <v>80</v>
      </c>
      <c r="D1805">
        <v>79.970954895000006</v>
      </c>
      <c r="E1805">
        <v>50</v>
      </c>
      <c r="F1805">
        <v>48.906604766999997</v>
      </c>
      <c r="G1805">
        <v>1344.9628906</v>
      </c>
      <c r="H1805">
        <v>1341.012207</v>
      </c>
      <c r="I1805">
        <v>1322.7307129000001</v>
      </c>
      <c r="J1805">
        <v>1319.0026855000001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1114.1749609999999</v>
      </c>
      <c r="B1806" s="1">
        <f>DATE(2013,5,19) + TIME(4,11,56)</f>
        <v>41413.174953703703</v>
      </c>
      <c r="C1806">
        <v>80</v>
      </c>
      <c r="D1806">
        <v>79.970916747999993</v>
      </c>
      <c r="E1806">
        <v>50</v>
      </c>
      <c r="F1806">
        <v>48.886596679999997</v>
      </c>
      <c r="G1806">
        <v>1344.9501952999999</v>
      </c>
      <c r="H1806">
        <v>1341.0058594</v>
      </c>
      <c r="I1806">
        <v>1322.7276611</v>
      </c>
      <c r="J1806">
        <v>1318.9987793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1114.5967209999999</v>
      </c>
      <c r="B1807" s="1">
        <f>DATE(2013,5,19) + TIME(14,19,16)</f>
        <v>41413.596712962964</v>
      </c>
      <c r="C1807">
        <v>80</v>
      </c>
      <c r="D1807">
        <v>79.970878600999995</v>
      </c>
      <c r="E1807">
        <v>50</v>
      </c>
      <c r="F1807">
        <v>48.86648941</v>
      </c>
      <c r="G1807">
        <v>1344.9377440999999</v>
      </c>
      <c r="H1807">
        <v>1340.9996338000001</v>
      </c>
      <c r="I1807">
        <v>1322.7246094</v>
      </c>
      <c r="J1807">
        <v>1318.994751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1115.023954</v>
      </c>
      <c r="B1808" s="1">
        <f>DATE(2013,5,20) + TIME(0,34,29)</f>
        <v>41414.023946759262</v>
      </c>
      <c r="C1808">
        <v>80</v>
      </c>
      <c r="D1808">
        <v>79.970840453999998</v>
      </c>
      <c r="E1808">
        <v>50</v>
      </c>
      <c r="F1808">
        <v>48.846256255999997</v>
      </c>
      <c r="G1808">
        <v>1344.925293</v>
      </c>
      <c r="H1808">
        <v>1340.9935303</v>
      </c>
      <c r="I1808">
        <v>1322.7215576000001</v>
      </c>
      <c r="J1808">
        <v>1318.9907227000001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1115.459022</v>
      </c>
      <c r="B1809" s="1">
        <f>DATE(2013,5,20) + TIME(11,0,59)</f>
        <v>41414.459016203706</v>
      </c>
      <c r="C1809">
        <v>80</v>
      </c>
      <c r="D1809">
        <v>79.970802307</v>
      </c>
      <c r="E1809">
        <v>50</v>
      </c>
      <c r="F1809">
        <v>48.825832366999997</v>
      </c>
      <c r="G1809">
        <v>1344.9128418</v>
      </c>
      <c r="H1809">
        <v>1340.9874268000001</v>
      </c>
      <c r="I1809">
        <v>1322.7183838000001</v>
      </c>
      <c r="J1809">
        <v>1318.9865723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1115.9029270000001</v>
      </c>
      <c r="B1810" s="1">
        <f>DATE(2013,5,20) + TIME(21,40,12)</f>
        <v>41414.902916666666</v>
      </c>
      <c r="C1810">
        <v>80</v>
      </c>
      <c r="D1810">
        <v>79.970764160000002</v>
      </c>
      <c r="E1810">
        <v>50</v>
      </c>
      <c r="F1810">
        <v>48.805175781000003</v>
      </c>
      <c r="G1810">
        <v>1344.9005127</v>
      </c>
      <c r="H1810">
        <v>1340.9812012</v>
      </c>
      <c r="I1810">
        <v>1322.7152100000001</v>
      </c>
      <c r="J1810">
        <v>1318.9822998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1116.3569239999999</v>
      </c>
      <c r="B1811" s="1">
        <f>DATE(2013,5,21) + TIME(8,33,58)</f>
        <v>41415.356921296298</v>
      </c>
      <c r="C1811">
        <v>80</v>
      </c>
      <c r="D1811">
        <v>79.970726013000004</v>
      </c>
      <c r="E1811">
        <v>50</v>
      </c>
      <c r="F1811">
        <v>48.784236907999997</v>
      </c>
      <c r="G1811">
        <v>1344.8880615</v>
      </c>
      <c r="H1811">
        <v>1340.9750977000001</v>
      </c>
      <c r="I1811">
        <v>1322.7117920000001</v>
      </c>
      <c r="J1811">
        <v>1318.9777832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1116.821596</v>
      </c>
      <c r="B1812" s="1">
        <f>DATE(2013,5,21) + TIME(19,43,5)</f>
        <v>41415.821585648147</v>
      </c>
      <c r="C1812">
        <v>80</v>
      </c>
      <c r="D1812">
        <v>79.970680236999996</v>
      </c>
      <c r="E1812">
        <v>50</v>
      </c>
      <c r="F1812">
        <v>48.762992859000001</v>
      </c>
      <c r="G1812">
        <v>1344.8754882999999</v>
      </c>
      <c r="H1812">
        <v>1340.9689940999999</v>
      </c>
      <c r="I1812">
        <v>1322.708374</v>
      </c>
      <c r="J1812">
        <v>1318.9732666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1117.2919690000001</v>
      </c>
      <c r="B1813" s="1">
        <f>DATE(2013,5,22) + TIME(7,0,26)</f>
        <v>41416.291967592595</v>
      </c>
      <c r="C1813">
        <v>80</v>
      </c>
      <c r="D1813">
        <v>79.970642089999998</v>
      </c>
      <c r="E1813">
        <v>50</v>
      </c>
      <c r="F1813">
        <v>48.741573334000002</v>
      </c>
      <c r="G1813">
        <v>1344.8630370999999</v>
      </c>
      <c r="H1813">
        <v>1340.9627685999999</v>
      </c>
      <c r="I1813">
        <v>1322.7048339999999</v>
      </c>
      <c r="J1813">
        <v>1318.9685059000001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1117.7680849999999</v>
      </c>
      <c r="B1814" s="1">
        <f>DATE(2013,5,22) + TIME(18,26,2)</f>
        <v>41416.768078703702</v>
      </c>
      <c r="C1814">
        <v>80</v>
      </c>
      <c r="D1814">
        <v>79.970603943</v>
      </c>
      <c r="E1814">
        <v>50</v>
      </c>
      <c r="F1814">
        <v>48.720005035</v>
      </c>
      <c r="G1814">
        <v>1344.8504639</v>
      </c>
      <c r="H1814">
        <v>1340.9566649999999</v>
      </c>
      <c r="I1814">
        <v>1322.7011719</v>
      </c>
      <c r="J1814">
        <v>1318.9636230000001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1118.2513080000001</v>
      </c>
      <c r="B1815" s="1">
        <f>DATE(2013,5,23) + TIME(6,1,53)</f>
        <v>41417.251307870371</v>
      </c>
      <c r="C1815">
        <v>80</v>
      </c>
      <c r="D1815">
        <v>79.970565796000002</v>
      </c>
      <c r="E1815">
        <v>50</v>
      </c>
      <c r="F1815">
        <v>48.698268890000001</v>
      </c>
      <c r="G1815">
        <v>1344.8381348</v>
      </c>
      <c r="H1815">
        <v>1340.9504394999999</v>
      </c>
      <c r="I1815">
        <v>1322.6973877</v>
      </c>
      <c r="J1815">
        <v>1318.9586182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1118.742876</v>
      </c>
      <c r="B1816" s="1">
        <f>DATE(2013,5,23) + TIME(17,49,44)</f>
        <v>41417.74287037037</v>
      </c>
      <c r="C1816">
        <v>80</v>
      </c>
      <c r="D1816">
        <v>79.970527649000005</v>
      </c>
      <c r="E1816">
        <v>50</v>
      </c>
      <c r="F1816">
        <v>48.676326752000001</v>
      </c>
      <c r="G1816">
        <v>1344.8256836</v>
      </c>
      <c r="H1816">
        <v>1340.9443358999999</v>
      </c>
      <c r="I1816">
        <v>1322.6934814000001</v>
      </c>
      <c r="J1816">
        <v>1318.9534911999999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1119.244246</v>
      </c>
      <c r="B1817" s="1">
        <f>DATE(2013,5,24) + TIME(5,51,42)</f>
        <v>41418.24423611111</v>
      </c>
      <c r="C1817">
        <v>80</v>
      </c>
      <c r="D1817">
        <v>79.970489502000007</v>
      </c>
      <c r="E1817">
        <v>50</v>
      </c>
      <c r="F1817">
        <v>48.654144287000001</v>
      </c>
      <c r="G1817">
        <v>1344.8133545000001</v>
      </c>
      <c r="H1817">
        <v>1340.9382324000001</v>
      </c>
      <c r="I1817">
        <v>1322.6895752</v>
      </c>
      <c r="J1817">
        <v>1318.9481201000001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1119.756961</v>
      </c>
      <c r="B1818" s="1">
        <f>DATE(2013,5,24) + TIME(18,10,1)</f>
        <v>41418.756956018522</v>
      </c>
      <c r="C1818">
        <v>80</v>
      </c>
      <c r="D1818">
        <v>79.970451354999994</v>
      </c>
      <c r="E1818">
        <v>50</v>
      </c>
      <c r="F1818">
        <v>48.631664276000002</v>
      </c>
      <c r="G1818">
        <v>1344.8009033000001</v>
      </c>
      <c r="H1818">
        <v>1340.9321289</v>
      </c>
      <c r="I1818">
        <v>1322.6854248</v>
      </c>
      <c r="J1818">
        <v>1318.9426269999999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1120.282706</v>
      </c>
      <c r="B1819" s="1">
        <f>DATE(2013,5,25) + TIME(6,47,5)</f>
        <v>41419.282696759263</v>
      </c>
      <c r="C1819">
        <v>80</v>
      </c>
      <c r="D1819">
        <v>79.970413207999997</v>
      </c>
      <c r="E1819">
        <v>50</v>
      </c>
      <c r="F1819">
        <v>48.608837127999998</v>
      </c>
      <c r="G1819">
        <v>1344.7883300999999</v>
      </c>
      <c r="H1819">
        <v>1340.9260254000001</v>
      </c>
      <c r="I1819">
        <v>1322.6812743999999</v>
      </c>
      <c r="J1819">
        <v>1318.9370117000001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1120.8233339999999</v>
      </c>
      <c r="B1820" s="1">
        <f>DATE(2013,5,25) + TIME(19,45,36)</f>
        <v>41419.823333333334</v>
      </c>
      <c r="C1820">
        <v>80</v>
      </c>
      <c r="D1820">
        <v>79.970375060999999</v>
      </c>
      <c r="E1820">
        <v>50</v>
      </c>
      <c r="F1820">
        <v>48.585597991999997</v>
      </c>
      <c r="G1820">
        <v>1344.7757568</v>
      </c>
      <c r="H1820">
        <v>1340.9197998</v>
      </c>
      <c r="I1820">
        <v>1322.6768798999999</v>
      </c>
      <c r="J1820">
        <v>1318.9310303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1121.3809249999999</v>
      </c>
      <c r="B1821" s="1">
        <f>DATE(2013,5,26) + TIME(9,8,31)</f>
        <v>41420.380914351852</v>
      </c>
      <c r="C1821">
        <v>80</v>
      </c>
      <c r="D1821">
        <v>79.970336914000001</v>
      </c>
      <c r="E1821">
        <v>50</v>
      </c>
      <c r="F1821">
        <v>48.561878204000003</v>
      </c>
      <c r="G1821">
        <v>1344.7630615</v>
      </c>
      <c r="H1821">
        <v>1340.9135742000001</v>
      </c>
      <c r="I1821">
        <v>1322.6722411999999</v>
      </c>
      <c r="J1821">
        <v>1318.9249268000001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1121.669373</v>
      </c>
      <c r="B1822" s="1">
        <f>DATE(2013,5,26) + TIME(16,3,53)</f>
        <v>41420.669363425928</v>
      </c>
      <c r="C1822">
        <v>80</v>
      </c>
      <c r="D1822">
        <v>79.970306395999998</v>
      </c>
      <c r="E1822">
        <v>50</v>
      </c>
      <c r="F1822">
        <v>48.546627045000001</v>
      </c>
      <c r="G1822">
        <v>1344.7510986</v>
      </c>
      <c r="H1822">
        <v>1340.9079589999999</v>
      </c>
      <c r="I1822">
        <v>1322.6678466999999</v>
      </c>
      <c r="J1822">
        <v>1318.9191894999999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1121.9578200000001</v>
      </c>
      <c r="B1823" s="1">
        <f>DATE(2013,5,26) + TIME(22,59,15)</f>
        <v>41420.957812499997</v>
      </c>
      <c r="C1823">
        <v>80</v>
      </c>
      <c r="D1823">
        <v>79.970283507999994</v>
      </c>
      <c r="E1823">
        <v>50</v>
      </c>
      <c r="F1823">
        <v>48.532142639</v>
      </c>
      <c r="G1823">
        <v>1344.7438964999999</v>
      </c>
      <c r="H1823">
        <v>1340.9042969</v>
      </c>
      <c r="I1823">
        <v>1322.6651611</v>
      </c>
      <c r="J1823">
        <v>1318.9154053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1122.534715</v>
      </c>
      <c r="B1824" s="1">
        <f>DATE(2013,5,27) + TIME(12,49,59)</f>
        <v>41421.534710648149</v>
      </c>
      <c r="C1824">
        <v>80</v>
      </c>
      <c r="D1824">
        <v>79.970252990999995</v>
      </c>
      <c r="E1824">
        <v>50</v>
      </c>
      <c r="F1824">
        <v>48.510002135999997</v>
      </c>
      <c r="G1824">
        <v>1344.7364502</v>
      </c>
      <c r="H1824">
        <v>1340.9002685999999</v>
      </c>
      <c r="I1824">
        <v>1322.6623535000001</v>
      </c>
      <c r="J1824">
        <v>1318.9111327999999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1123.111613</v>
      </c>
      <c r="B1825" s="1">
        <f>DATE(2013,5,28) + TIME(2,40,43)</f>
        <v>41422.111608796295</v>
      </c>
      <c r="C1825">
        <v>80</v>
      </c>
      <c r="D1825">
        <v>79.970214843999997</v>
      </c>
      <c r="E1825">
        <v>50</v>
      </c>
      <c r="F1825">
        <v>48.486965179000002</v>
      </c>
      <c r="G1825">
        <v>1344.723999</v>
      </c>
      <c r="H1825">
        <v>1340.8942870999999</v>
      </c>
      <c r="I1825">
        <v>1322.6573486</v>
      </c>
      <c r="J1825">
        <v>1318.9045410000001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1123.690409</v>
      </c>
      <c r="B1826" s="1">
        <f>DATE(2013,5,28) + TIME(16,34,11)</f>
        <v>41422.690405092595</v>
      </c>
      <c r="C1826">
        <v>80</v>
      </c>
      <c r="D1826">
        <v>79.970184325999995</v>
      </c>
      <c r="E1826">
        <v>50</v>
      </c>
      <c r="F1826">
        <v>48.463436127000001</v>
      </c>
      <c r="G1826">
        <v>1344.7114257999999</v>
      </c>
      <c r="H1826">
        <v>1340.8880615</v>
      </c>
      <c r="I1826">
        <v>1322.6522216999999</v>
      </c>
      <c r="J1826">
        <v>1318.8975829999999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1124.2723860000001</v>
      </c>
      <c r="B1827" s="1">
        <f>DATE(2013,5,29) + TIME(6,32,14)</f>
        <v>41423.27238425926</v>
      </c>
      <c r="C1827">
        <v>80</v>
      </c>
      <c r="D1827">
        <v>79.970146178999997</v>
      </c>
      <c r="E1827">
        <v>50</v>
      </c>
      <c r="F1827">
        <v>48.439624786000003</v>
      </c>
      <c r="G1827">
        <v>1344.6988524999999</v>
      </c>
      <c r="H1827">
        <v>1340.8819579999999</v>
      </c>
      <c r="I1827">
        <v>1322.6470947</v>
      </c>
      <c r="J1827">
        <v>1318.8905029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1124.85879</v>
      </c>
      <c r="B1828" s="1">
        <f>DATE(2013,5,29) + TIME(20,36,39)</f>
        <v>41423.858784722222</v>
      </c>
      <c r="C1828">
        <v>80</v>
      </c>
      <c r="D1828">
        <v>79.970108031999999</v>
      </c>
      <c r="E1828">
        <v>50</v>
      </c>
      <c r="F1828">
        <v>48.415641784999998</v>
      </c>
      <c r="G1828">
        <v>1344.6865233999999</v>
      </c>
      <c r="H1828">
        <v>1340.8758545000001</v>
      </c>
      <c r="I1828">
        <v>1322.6417236</v>
      </c>
      <c r="J1828">
        <v>1318.8833007999999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1125.4509840000001</v>
      </c>
      <c r="B1829" s="1">
        <f>DATE(2013,5,30) + TIME(10,49,25)</f>
        <v>41424.450983796298</v>
      </c>
      <c r="C1829">
        <v>80</v>
      </c>
      <c r="D1829">
        <v>79.970069885000001</v>
      </c>
      <c r="E1829">
        <v>50</v>
      </c>
      <c r="F1829">
        <v>48.391529083000002</v>
      </c>
      <c r="G1829">
        <v>1344.6741943</v>
      </c>
      <c r="H1829">
        <v>1340.8698730000001</v>
      </c>
      <c r="I1829">
        <v>1322.6363524999999</v>
      </c>
      <c r="J1829">
        <v>1318.8758545000001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1126.0529739999999</v>
      </c>
      <c r="B1830" s="1">
        <f>DATE(2013,5,31) + TIME(1,16,16)</f>
        <v>41425.05296296296</v>
      </c>
      <c r="C1830">
        <v>80</v>
      </c>
      <c r="D1830">
        <v>79.970031738000003</v>
      </c>
      <c r="E1830">
        <v>50</v>
      </c>
      <c r="F1830">
        <v>48.367225646999998</v>
      </c>
      <c r="G1830">
        <v>1344.6619873</v>
      </c>
      <c r="H1830">
        <v>1340.8637695</v>
      </c>
      <c r="I1830">
        <v>1322.6308594</v>
      </c>
      <c r="J1830">
        <v>1318.8681641000001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1126.6665949999999</v>
      </c>
      <c r="B1831" s="1">
        <f>DATE(2013,5,31) + TIME(15,59,53)</f>
        <v>41425.666585648149</v>
      </c>
      <c r="C1831">
        <v>80</v>
      </c>
      <c r="D1831">
        <v>79.969993591000005</v>
      </c>
      <c r="E1831">
        <v>50</v>
      </c>
      <c r="F1831">
        <v>48.342693328999999</v>
      </c>
      <c r="G1831">
        <v>1344.6497803</v>
      </c>
      <c r="H1831">
        <v>1340.8577881000001</v>
      </c>
      <c r="I1831">
        <v>1322.6251221</v>
      </c>
      <c r="J1831">
        <v>1318.8603516000001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1127</v>
      </c>
      <c r="B1832" s="1">
        <f>DATE(2013,6,1) + TIME(0,0,0)</f>
        <v>41426</v>
      </c>
      <c r="C1832">
        <v>80</v>
      </c>
      <c r="D1832">
        <v>79.969963074000006</v>
      </c>
      <c r="E1832">
        <v>50</v>
      </c>
      <c r="F1832">
        <v>48.326179504000002</v>
      </c>
      <c r="G1832">
        <v>1344.6385498</v>
      </c>
      <c r="H1832">
        <v>1340.8525391000001</v>
      </c>
      <c r="I1832">
        <v>1322.6196289</v>
      </c>
      <c r="J1832">
        <v>1318.8530272999999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1127.6269460000001</v>
      </c>
      <c r="B1833" s="1">
        <f>DATE(2013,6,1) + TIME(15,2,48)</f>
        <v>41426.626944444448</v>
      </c>
      <c r="C1833">
        <v>80</v>
      </c>
      <c r="D1833">
        <v>79.969940186000002</v>
      </c>
      <c r="E1833">
        <v>50</v>
      </c>
      <c r="F1833">
        <v>48.302780151</v>
      </c>
      <c r="G1833">
        <v>1344.6307373</v>
      </c>
      <c r="H1833">
        <v>1340.8482666</v>
      </c>
      <c r="I1833">
        <v>1322.6157227000001</v>
      </c>
      <c r="J1833">
        <v>1318.8472899999999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1128.278411</v>
      </c>
      <c r="B1834" s="1">
        <f>DATE(2013,6,2) + TIME(6,40,54)</f>
        <v>41427.278402777774</v>
      </c>
      <c r="C1834">
        <v>80</v>
      </c>
      <c r="D1834">
        <v>79.969902039000004</v>
      </c>
      <c r="E1834">
        <v>50</v>
      </c>
      <c r="F1834">
        <v>48.27828598</v>
      </c>
      <c r="G1834">
        <v>1344.6187743999999</v>
      </c>
      <c r="H1834">
        <v>1340.8422852000001</v>
      </c>
      <c r="I1834">
        <v>1322.6097411999999</v>
      </c>
      <c r="J1834">
        <v>1318.8388672000001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1128.948523</v>
      </c>
      <c r="B1835" s="1">
        <f>DATE(2013,6,2) + TIME(22,45,52)</f>
        <v>41427.948518518519</v>
      </c>
      <c r="C1835">
        <v>80</v>
      </c>
      <c r="D1835">
        <v>79.969863892000006</v>
      </c>
      <c r="E1835">
        <v>50</v>
      </c>
      <c r="F1835">
        <v>48.252971649000003</v>
      </c>
      <c r="G1835">
        <v>1344.6063231999999</v>
      </c>
      <c r="H1835">
        <v>1340.8361815999999</v>
      </c>
      <c r="I1835">
        <v>1322.6032714999999</v>
      </c>
      <c r="J1835">
        <v>1318.8299560999999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1129.6328329999999</v>
      </c>
      <c r="B1836" s="1">
        <f>DATE(2013,6,3) + TIME(15,11,16)</f>
        <v>41428.632824074077</v>
      </c>
      <c r="C1836">
        <v>80</v>
      </c>
      <c r="D1836">
        <v>79.969833374000004</v>
      </c>
      <c r="E1836">
        <v>50</v>
      </c>
      <c r="F1836">
        <v>48.227062224999997</v>
      </c>
      <c r="G1836">
        <v>1344.59375</v>
      </c>
      <c r="H1836">
        <v>1340.8299560999999</v>
      </c>
      <c r="I1836">
        <v>1322.5965576000001</v>
      </c>
      <c r="J1836">
        <v>1318.8206786999999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1130.3310160000001</v>
      </c>
      <c r="B1837" s="1">
        <f>DATE(2013,6,4) + TIME(7,56,39)</f>
        <v>41429.331006944441</v>
      </c>
      <c r="C1837">
        <v>80</v>
      </c>
      <c r="D1837">
        <v>79.969795227000006</v>
      </c>
      <c r="E1837">
        <v>50</v>
      </c>
      <c r="F1837">
        <v>48.200691223</v>
      </c>
      <c r="G1837">
        <v>1344.5810547000001</v>
      </c>
      <c r="H1837">
        <v>1340.8237305</v>
      </c>
      <c r="I1837">
        <v>1322.5895995999999</v>
      </c>
      <c r="J1837">
        <v>1318.8110352000001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1131.045449</v>
      </c>
      <c r="B1838" s="1">
        <f>DATE(2013,6,5) + TIME(1,5,26)</f>
        <v>41430.045439814814</v>
      </c>
      <c r="C1838">
        <v>80</v>
      </c>
      <c r="D1838">
        <v>79.969757079999994</v>
      </c>
      <c r="E1838">
        <v>50</v>
      </c>
      <c r="F1838">
        <v>48.173881530999999</v>
      </c>
      <c r="G1838">
        <v>1344.5683594</v>
      </c>
      <c r="H1838">
        <v>1340.8173827999999</v>
      </c>
      <c r="I1838">
        <v>1322.5823975000001</v>
      </c>
      <c r="J1838">
        <v>1318.8009033000001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1131.7786960000001</v>
      </c>
      <c r="B1839" s="1">
        <f>DATE(2013,6,5) + TIME(18,41,19)</f>
        <v>41430.778692129628</v>
      </c>
      <c r="C1839">
        <v>80</v>
      </c>
      <c r="D1839">
        <v>79.969718932999996</v>
      </c>
      <c r="E1839">
        <v>50</v>
      </c>
      <c r="F1839">
        <v>48.146617888999998</v>
      </c>
      <c r="G1839">
        <v>1344.5555420000001</v>
      </c>
      <c r="H1839">
        <v>1340.8109131000001</v>
      </c>
      <c r="I1839">
        <v>1322.5749512</v>
      </c>
      <c r="J1839">
        <v>1318.7904053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1132.5336259999999</v>
      </c>
      <c r="B1840" s="1">
        <f>DATE(2013,6,6) + TIME(12,48,25)</f>
        <v>41431.533622685187</v>
      </c>
      <c r="C1840">
        <v>80</v>
      </c>
      <c r="D1840">
        <v>79.969680785999998</v>
      </c>
      <c r="E1840">
        <v>50</v>
      </c>
      <c r="F1840">
        <v>48.118843079000001</v>
      </c>
      <c r="G1840">
        <v>1344.5426024999999</v>
      </c>
      <c r="H1840">
        <v>1340.8045654</v>
      </c>
      <c r="I1840">
        <v>1322.5671387</v>
      </c>
      <c r="J1840">
        <v>1318.7794189000001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1132.9164900000001</v>
      </c>
      <c r="B1841" s="1">
        <f>DATE(2013,6,6) + TIME(21,59,44)</f>
        <v>41431.916481481479</v>
      </c>
      <c r="C1841">
        <v>80</v>
      </c>
      <c r="D1841">
        <v>79.969650268999999</v>
      </c>
      <c r="E1841">
        <v>50</v>
      </c>
      <c r="F1841">
        <v>48.100383759000003</v>
      </c>
      <c r="G1841">
        <v>1344.5306396000001</v>
      </c>
      <c r="H1841">
        <v>1340.7989502</v>
      </c>
      <c r="I1841">
        <v>1322.5596923999999</v>
      </c>
      <c r="J1841">
        <v>1318.7692870999999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1133.2993530000001</v>
      </c>
      <c r="B1842" s="1">
        <f>DATE(2013,6,7) + TIME(7,11,4)</f>
        <v>41432.299351851849</v>
      </c>
      <c r="C1842">
        <v>80</v>
      </c>
      <c r="D1842">
        <v>79.969627380000006</v>
      </c>
      <c r="E1842">
        <v>50</v>
      </c>
      <c r="F1842">
        <v>48.083297729000002</v>
      </c>
      <c r="G1842">
        <v>1344.5233154</v>
      </c>
      <c r="H1842">
        <v>1340.7950439000001</v>
      </c>
      <c r="I1842">
        <v>1322.5551757999999</v>
      </c>
      <c r="J1842">
        <v>1318.7626952999999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1133.682217</v>
      </c>
      <c r="B1843" s="1">
        <f>DATE(2013,6,7) + TIME(16,22,23)</f>
        <v>41432.682210648149</v>
      </c>
      <c r="C1843">
        <v>80</v>
      </c>
      <c r="D1843">
        <v>79.969604492000002</v>
      </c>
      <c r="E1843">
        <v>50</v>
      </c>
      <c r="F1843">
        <v>48.067176818999997</v>
      </c>
      <c r="G1843">
        <v>1344.5166016000001</v>
      </c>
      <c r="H1843">
        <v>1340.791626</v>
      </c>
      <c r="I1843">
        <v>1322.5506591999999</v>
      </c>
      <c r="J1843">
        <v>1318.7563477000001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1134.065081</v>
      </c>
      <c r="B1844" s="1">
        <f>DATE(2013,6,8) + TIME(1,33,43)</f>
        <v>41433.065081018518</v>
      </c>
      <c r="C1844">
        <v>80</v>
      </c>
      <c r="D1844">
        <v>79.969581603999998</v>
      </c>
      <c r="E1844">
        <v>50</v>
      </c>
      <c r="F1844">
        <v>48.051738739000001</v>
      </c>
      <c r="G1844">
        <v>1344.5101318</v>
      </c>
      <c r="H1844">
        <v>1340.7883300999999</v>
      </c>
      <c r="I1844">
        <v>1322.5462646000001</v>
      </c>
      <c r="J1844">
        <v>1318.7501221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1134.4479449999999</v>
      </c>
      <c r="B1845" s="1">
        <f>DATE(2013,6,8) + TIME(10,45,2)</f>
        <v>41433.447939814818</v>
      </c>
      <c r="C1845">
        <v>80</v>
      </c>
      <c r="D1845">
        <v>79.969566345000004</v>
      </c>
      <c r="E1845">
        <v>50</v>
      </c>
      <c r="F1845">
        <v>48.036781310999999</v>
      </c>
      <c r="G1845">
        <v>1344.5036620999999</v>
      </c>
      <c r="H1845">
        <v>1340.7850341999999</v>
      </c>
      <c r="I1845">
        <v>1322.5418701000001</v>
      </c>
      <c r="J1845">
        <v>1318.7437743999999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1135.213673</v>
      </c>
      <c r="B1846" s="1">
        <f>DATE(2013,6,9) + TIME(5,7,41)</f>
        <v>41434.21366898148</v>
      </c>
      <c r="C1846">
        <v>80</v>
      </c>
      <c r="D1846">
        <v>79.969543457</v>
      </c>
      <c r="E1846">
        <v>50</v>
      </c>
      <c r="F1846">
        <v>48.014564514</v>
      </c>
      <c r="G1846">
        <v>1344.496582</v>
      </c>
      <c r="H1846">
        <v>1340.78125</v>
      </c>
      <c r="I1846">
        <v>1322.5369873</v>
      </c>
      <c r="J1846">
        <v>1318.7365723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1135.9807049999999</v>
      </c>
      <c r="B1847" s="1">
        <f>DATE(2013,6,9) + TIME(23,32,12)</f>
        <v>41434.980694444443</v>
      </c>
      <c r="C1847">
        <v>80</v>
      </c>
      <c r="D1847">
        <v>79.969512938999998</v>
      </c>
      <c r="E1847">
        <v>50</v>
      </c>
      <c r="F1847">
        <v>47.989791869999998</v>
      </c>
      <c r="G1847">
        <v>1344.4844971</v>
      </c>
      <c r="H1847">
        <v>1340.7752685999999</v>
      </c>
      <c r="I1847">
        <v>1322.5288086</v>
      </c>
      <c r="J1847">
        <v>1318.7249756000001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1136.7531220000001</v>
      </c>
      <c r="B1848" s="1">
        <f>DATE(2013,6,10) + TIME(18,4,29)</f>
        <v>41435.753113425926</v>
      </c>
      <c r="C1848">
        <v>80</v>
      </c>
      <c r="D1848">
        <v>79.969482421999999</v>
      </c>
      <c r="E1848">
        <v>50</v>
      </c>
      <c r="F1848">
        <v>47.963718413999999</v>
      </c>
      <c r="G1848">
        <v>1344.472168</v>
      </c>
      <c r="H1848">
        <v>1340.7691649999999</v>
      </c>
      <c r="I1848">
        <v>1322.5202637</v>
      </c>
      <c r="J1848">
        <v>1318.7128906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1137.5366180000001</v>
      </c>
      <c r="B1849" s="1">
        <f>DATE(2013,6,11) + TIME(12,52,43)</f>
        <v>41436.536608796298</v>
      </c>
      <c r="C1849">
        <v>80</v>
      </c>
      <c r="D1849">
        <v>79.969451903999996</v>
      </c>
      <c r="E1849">
        <v>50</v>
      </c>
      <c r="F1849">
        <v>47.936885834000002</v>
      </c>
      <c r="G1849">
        <v>1344.4599608999999</v>
      </c>
      <c r="H1849">
        <v>1340.7629394999999</v>
      </c>
      <c r="I1849">
        <v>1322.5113524999999</v>
      </c>
      <c r="J1849">
        <v>1318.7003173999999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1138.3339550000001</v>
      </c>
      <c r="B1850" s="1">
        <f>DATE(2013,6,12) + TIME(8,0,53)</f>
        <v>41437.33394675926</v>
      </c>
      <c r="C1850">
        <v>80</v>
      </c>
      <c r="D1850">
        <v>79.969413756999998</v>
      </c>
      <c r="E1850">
        <v>50</v>
      </c>
      <c r="F1850">
        <v>47.909545897999998</v>
      </c>
      <c r="G1850">
        <v>1344.4476318</v>
      </c>
      <c r="H1850">
        <v>1340.7567139</v>
      </c>
      <c r="I1850">
        <v>1322.5023193</v>
      </c>
      <c r="J1850">
        <v>1318.6872559000001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1139.1478159999999</v>
      </c>
      <c r="B1851" s="1">
        <f>DATE(2013,6,13) + TIME(3,32,51)</f>
        <v>41438.147812499999</v>
      </c>
      <c r="C1851">
        <v>80</v>
      </c>
      <c r="D1851">
        <v>79.969383239999999</v>
      </c>
      <c r="E1851">
        <v>50</v>
      </c>
      <c r="F1851">
        <v>47.881790160999998</v>
      </c>
      <c r="G1851">
        <v>1344.4353027</v>
      </c>
      <c r="H1851">
        <v>1340.7504882999999</v>
      </c>
      <c r="I1851">
        <v>1322.4927978999999</v>
      </c>
      <c r="J1851">
        <v>1318.6737060999999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1139.9811420000001</v>
      </c>
      <c r="B1852" s="1">
        <f>DATE(2013,6,13) + TIME(23,32,50)</f>
        <v>41438.981134259258</v>
      </c>
      <c r="C1852">
        <v>80</v>
      </c>
      <c r="D1852">
        <v>79.969345093000001</v>
      </c>
      <c r="E1852">
        <v>50</v>
      </c>
      <c r="F1852">
        <v>47.853626251000001</v>
      </c>
      <c r="G1852">
        <v>1344.4229736</v>
      </c>
      <c r="H1852">
        <v>1340.7441406</v>
      </c>
      <c r="I1852">
        <v>1322.4830322</v>
      </c>
      <c r="J1852">
        <v>1318.6597899999999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1140.836783</v>
      </c>
      <c r="B1853" s="1">
        <f>DATE(2013,6,14) + TIME(20,4,58)</f>
        <v>41439.836782407408</v>
      </c>
      <c r="C1853">
        <v>80</v>
      </c>
      <c r="D1853">
        <v>79.969314574999999</v>
      </c>
      <c r="E1853">
        <v>50</v>
      </c>
      <c r="F1853">
        <v>47.825019836000003</v>
      </c>
      <c r="G1853">
        <v>1344.4104004000001</v>
      </c>
      <c r="H1853">
        <v>1340.737793</v>
      </c>
      <c r="I1853">
        <v>1322.4729004000001</v>
      </c>
      <c r="J1853">
        <v>1318.6451416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1141.714483</v>
      </c>
      <c r="B1854" s="1">
        <f>DATE(2013,6,15) + TIME(17,8,51)</f>
        <v>41440.714479166665</v>
      </c>
      <c r="C1854">
        <v>80</v>
      </c>
      <c r="D1854">
        <v>79.969284058</v>
      </c>
      <c r="E1854">
        <v>50</v>
      </c>
      <c r="F1854">
        <v>47.795963286999999</v>
      </c>
      <c r="G1854">
        <v>1344.3978271000001</v>
      </c>
      <c r="H1854">
        <v>1340.7313231999999</v>
      </c>
      <c r="I1854">
        <v>1322.4624022999999</v>
      </c>
      <c r="J1854">
        <v>1318.6300048999999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1142.615935</v>
      </c>
      <c r="B1855" s="1">
        <f>DATE(2013,6,16) + TIME(14,46,56)</f>
        <v>41441.615925925929</v>
      </c>
      <c r="C1855">
        <v>80</v>
      </c>
      <c r="D1855">
        <v>79.969245911000002</v>
      </c>
      <c r="E1855">
        <v>50</v>
      </c>
      <c r="F1855">
        <v>47.766437531000001</v>
      </c>
      <c r="G1855">
        <v>1344.3850098</v>
      </c>
      <c r="H1855">
        <v>1340.7248535000001</v>
      </c>
      <c r="I1855">
        <v>1322.4515381000001</v>
      </c>
      <c r="J1855">
        <v>1318.6142577999999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1143.5406559999999</v>
      </c>
      <c r="B1856" s="1">
        <f>DATE(2013,6,17) + TIME(12,58,32)</f>
        <v>41442.540648148148</v>
      </c>
      <c r="C1856">
        <v>80</v>
      </c>
      <c r="D1856">
        <v>79.969215392999999</v>
      </c>
      <c r="E1856">
        <v>50</v>
      </c>
      <c r="F1856">
        <v>47.736446381</v>
      </c>
      <c r="G1856">
        <v>1344.3721923999999</v>
      </c>
      <c r="H1856">
        <v>1340.7181396000001</v>
      </c>
      <c r="I1856">
        <v>1322.4401855000001</v>
      </c>
      <c r="J1856">
        <v>1318.5979004000001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1144.4889599999999</v>
      </c>
      <c r="B1857" s="1">
        <f>DATE(2013,6,18) + TIME(11,44,6)</f>
        <v>41443.488958333335</v>
      </c>
      <c r="C1857">
        <v>80</v>
      </c>
      <c r="D1857">
        <v>79.969177246000001</v>
      </c>
      <c r="E1857">
        <v>50</v>
      </c>
      <c r="F1857">
        <v>47.706005095999998</v>
      </c>
      <c r="G1857">
        <v>1344.3591309000001</v>
      </c>
      <c r="H1857">
        <v>1340.7114257999999</v>
      </c>
      <c r="I1857">
        <v>1322.4284668</v>
      </c>
      <c r="J1857">
        <v>1318.5808105000001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1145.4646359999999</v>
      </c>
      <c r="B1858" s="1">
        <f>DATE(2013,6,19) + TIME(11,9,4)</f>
        <v>41444.464629629627</v>
      </c>
      <c r="C1858">
        <v>80</v>
      </c>
      <c r="D1858">
        <v>79.969146729000002</v>
      </c>
      <c r="E1858">
        <v>50</v>
      </c>
      <c r="F1858">
        <v>47.675071715999998</v>
      </c>
      <c r="G1858">
        <v>1344.3459473</v>
      </c>
      <c r="H1858">
        <v>1340.7047118999999</v>
      </c>
      <c r="I1858">
        <v>1322.4162598</v>
      </c>
      <c r="J1858">
        <v>1318.5629882999999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1145.9649079999999</v>
      </c>
      <c r="B1859" s="1">
        <f>DATE(2013,6,19) + TIME(23,9,28)</f>
        <v>41444.964907407404</v>
      </c>
      <c r="C1859">
        <v>80</v>
      </c>
      <c r="D1859">
        <v>79.969108582000004</v>
      </c>
      <c r="E1859">
        <v>50</v>
      </c>
      <c r="F1859">
        <v>47.653450012</v>
      </c>
      <c r="G1859">
        <v>1344.3338623</v>
      </c>
      <c r="H1859">
        <v>1340.6987305</v>
      </c>
      <c r="I1859">
        <v>1322.4045410000001</v>
      </c>
      <c r="J1859">
        <v>1318.5463867000001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1146.465181</v>
      </c>
      <c r="B1860" s="1">
        <f>DATE(2013,6,20) + TIME(11,9,51)</f>
        <v>41445.465173611112</v>
      </c>
      <c r="C1860">
        <v>80</v>
      </c>
      <c r="D1860">
        <v>79.969085692999997</v>
      </c>
      <c r="E1860">
        <v>50</v>
      </c>
      <c r="F1860">
        <v>47.634017944</v>
      </c>
      <c r="G1860">
        <v>1344.3264160000001</v>
      </c>
      <c r="H1860">
        <v>1340.6947021000001</v>
      </c>
      <c r="I1860">
        <v>1322.3972168</v>
      </c>
      <c r="J1860">
        <v>1318.5355225000001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1146.965453</v>
      </c>
      <c r="B1861" s="1">
        <f>DATE(2013,6,20) + TIME(23,10,15)</f>
        <v>41445.965451388889</v>
      </c>
      <c r="C1861">
        <v>80</v>
      </c>
      <c r="D1861">
        <v>79.969070435000006</v>
      </c>
      <c r="E1861">
        <v>50</v>
      </c>
      <c r="F1861">
        <v>47.615985870000003</v>
      </c>
      <c r="G1861">
        <v>1344.3194579999999</v>
      </c>
      <c r="H1861">
        <v>1340.6910399999999</v>
      </c>
      <c r="I1861">
        <v>1322.3901367000001</v>
      </c>
      <c r="J1861">
        <v>1318.5250243999999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1147.4657259999999</v>
      </c>
      <c r="B1862" s="1">
        <f>DATE(2013,6,21) + TIME(11,10,38)</f>
        <v>41446.465717592589</v>
      </c>
      <c r="C1862">
        <v>80</v>
      </c>
      <c r="D1862">
        <v>79.969055175999998</v>
      </c>
      <c r="E1862">
        <v>50</v>
      </c>
      <c r="F1862">
        <v>47.598857879999997</v>
      </c>
      <c r="G1862">
        <v>1344.3127440999999</v>
      </c>
      <c r="H1862">
        <v>1340.6875</v>
      </c>
      <c r="I1862">
        <v>1322.3831786999999</v>
      </c>
      <c r="J1862">
        <v>1318.5147704999999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1147.965999</v>
      </c>
      <c r="B1863" s="1">
        <f>DATE(2013,6,21) + TIME(23,11,2)</f>
        <v>41446.965995370374</v>
      </c>
      <c r="C1863">
        <v>80</v>
      </c>
      <c r="D1863">
        <v>79.969032287999994</v>
      </c>
      <c r="E1863">
        <v>50</v>
      </c>
      <c r="F1863">
        <v>47.582324982000003</v>
      </c>
      <c r="G1863">
        <v>1344.3061522999999</v>
      </c>
      <c r="H1863">
        <v>1340.6839600000001</v>
      </c>
      <c r="I1863">
        <v>1322.3763428</v>
      </c>
      <c r="J1863">
        <v>1318.5046387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1148.466271</v>
      </c>
      <c r="B1864" s="1">
        <f>DATE(2013,6,22) + TIME(11,11,25)</f>
        <v>41447.466261574074</v>
      </c>
      <c r="C1864">
        <v>80</v>
      </c>
      <c r="D1864">
        <v>79.969017029</v>
      </c>
      <c r="E1864">
        <v>50</v>
      </c>
      <c r="F1864">
        <v>47.566200256000002</v>
      </c>
      <c r="G1864">
        <v>1344.2996826000001</v>
      </c>
      <c r="H1864">
        <v>1340.6805420000001</v>
      </c>
      <c r="I1864">
        <v>1322.3693848</v>
      </c>
      <c r="J1864">
        <v>1318.4945068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1148.9665440000001</v>
      </c>
      <c r="B1865" s="1">
        <f>DATE(2013,6,22) + TIME(23,11,49)</f>
        <v>41447.966539351852</v>
      </c>
      <c r="C1865">
        <v>80</v>
      </c>
      <c r="D1865">
        <v>79.969001770000006</v>
      </c>
      <c r="E1865">
        <v>50</v>
      </c>
      <c r="F1865">
        <v>47.550365448000001</v>
      </c>
      <c r="G1865">
        <v>1344.2932129000001</v>
      </c>
      <c r="H1865">
        <v>1340.677124</v>
      </c>
      <c r="I1865">
        <v>1322.3625488</v>
      </c>
      <c r="J1865">
        <v>1318.484375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1149.967089</v>
      </c>
      <c r="B1866" s="1">
        <f>DATE(2013,6,23) + TIME(23,12,36)</f>
        <v>41448.967083333337</v>
      </c>
      <c r="C1866">
        <v>80</v>
      </c>
      <c r="D1866">
        <v>79.968994140999996</v>
      </c>
      <c r="E1866">
        <v>50</v>
      </c>
      <c r="F1866">
        <v>47.527683258000003</v>
      </c>
      <c r="G1866">
        <v>1344.2860106999999</v>
      </c>
      <c r="H1866">
        <v>1340.6730957</v>
      </c>
      <c r="I1866">
        <v>1322.3548584</v>
      </c>
      <c r="J1866">
        <v>1318.4726562000001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1150.971139</v>
      </c>
      <c r="B1867" s="1">
        <f>DATE(2013,6,24) + TIME(23,18,26)</f>
        <v>41449.971134259256</v>
      </c>
      <c r="C1867">
        <v>80</v>
      </c>
      <c r="D1867">
        <v>79.968963622999993</v>
      </c>
      <c r="E1867">
        <v>50</v>
      </c>
      <c r="F1867">
        <v>47.500778197999999</v>
      </c>
      <c r="G1867">
        <v>1344.2739257999999</v>
      </c>
      <c r="H1867">
        <v>1340.6668701000001</v>
      </c>
      <c r="I1867">
        <v>1322.3421631000001</v>
      </c>
      <c r="J1867">
        <v>1318.4542236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1151.9925089999999</v>
      </c>
      <c r="B1868" s="1">
        <f>DATE(2013,6,25) + TIME(23,49,12)</f>
        <v>41450.9925</v>
      </c>
      <c r="C1868">
        <v>80</v>
      </c>
      <c r="D1868">
        <v>79.968933105000005</v>
      </c>
      <c r="E1868">
        <v>50</v>
      </c>
      <c r="F1868">
        <v>47.471931458</v>
      </c>
      <c r="G1868">
        <v>1344.2614745999999</v>
      </c>
      <c r="H1868">
        <v>1340.6604004000001</v>
      </c>
      <c r="I1868">
        <v>1322.3286132999999</v>
      </c>
      <c r="J1868">
        <v>1318.4344481999999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1153.0353279999999</v>
      </c>
      <c r="B1869" s="1">
        <f>DATE(2013,6,27) + TIME(0,50,52)</f>
        <v>41452.035324074073</v>
      </c>
      <c r="C1869">
        <v>80</v>
      </c>
      <c r="D1869">
        <v>79.968902588000006</v>
      </c>
      <c r="E1869">
        <v>50</v>
      </c>
      <c r="F1869">
        <v>47.442073821999998</v>
      </c>
      <c r="G1869">
        <v>1344.2489014</v>
      </c>
      <c r="H1869">
        <v>1340.6538086</v>
      </c>
      <c r="I1869">
        <v>1322.3145752</v>
      </c>
      <c r="J1869">
        <v>1318.4136963000001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1154.0981859999999</v>
      </c>
      <c r="B1870" s="1">
        <f>DATE(2013,6,28) + TIME(2,21,23)</f>
        <v>41453.098182870373</v>
      </c>
      <c r="C1870">
        <v>80</v>
      </c>
      <c r="D1870">
        <v>79.968879700000002</v>
      </c>
      <c r="E1870">
        <v>50</v>
      </c>
      <c r="F1870">
        <v>47.411655426000003</v>
      </c>
      <c r="G1870">
        <v>1344.2362060999999</v>
      </c>
      <c r="H1870">
        <v>1340.6470947</v>
      </c>
      <c r="I1870">
        <v>1322.3000488</v>
      </c>
      <c r="J1870">
        <v>1318.3920897999999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1155.1712299999999</v>
      </c>
      <c r="B1871" s="1">
        <f>DATE(2013,6,29) + TIME(4,6,34)</f>
        <v>41454.171226851853</v>
      </c>
      <c r="C1871">
        <v>80</v>
      </c>
      <c r="D1871">
        <v>79.968849182</v>
      </c>
      <c r="E1871">
        <v>50</v>
      </c>
      <c r="F1871">
        <v>47.381011962999999</v>
      </c>
      <c r="G1871">
        <v>1344.2235106999999</v>
      </c>
      <c r="H1871">
        <v>1340.6402588000001</v>
      </c>
      <c r="I1871">
        <v>1322.2850341999999</v>
      </c>
      <c r="J1871">
        <v>1318.369751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1156.2647509999999</v>
      </c>
      <c r="B1872" s="1">
        <f>DATE(2013,6,30) + TIME(6,21,14)</f>
        <v>41455.264745370368</v>
      </c>
      <c r="C1872">
        <v>80</v>
      </c>
      <c r="D1872">
        <v>79.968818665000001</v>
      </c>
      <c r="E1872">
        <v>50</v>
      </c>
      <c r="F1872">
        <v>47.350231170999997</v>
      </c>
      <c r="G1872">
        <v>1344.2108154</v>
      </c>
      <c r="H1872">
        <v>1340.6335449000001</v>
      </c>
      <c r="I1872">
        <v>1322.2696533000001</v>
      </c>
      <c r="J1872">
        <v>1318.3469238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1157</v>
      </c>
      <c r="B1873" s="1">
        <f>DATE(2013,7,1) + TIME(0,0,0)</f>
        <v>41456</v>
      </c>
      <c r="C1873">
        <v>80</v>
      </c>
      <c r="D1873">
        <v>79.968788146999998</v>
      </c>
      <c r="E1873">
        <v>50</v>
      </c>
      <c r="F1873">
        <v>47.324855804000002</v>
      </c>
      <c r="G1873">
        <v>1344.1988524999999</v>
      </c>
      <c r="H1873">
        <v>1340.6273193</v>
      </c>
      <c r="I1873">
        <v>1322.2546387</v>
      </c>
      <c r="J1873">
        <v>1318.3248291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1158.117888</v>
      </c>
      <c r="B1874" s="1">
        <f>DATE(2013,7,2) + TIME(2,49,45)</f>
        <v>41457.117881944447</v>
      </c>
      <c r="C1874">
        <v>80</v>
      </c>
      <c r="D1874">
        <v>79.968765258999994</v>
      </c>
      <c r="E1874">
        <v>50</v>
      </c>
      <c r="F1874">
        <v>47.296852112000003</v>
      </c>
      <c r="G1874">
        <v>1344.1894531</v>
      </c>
      <c r="H1874">
        <v>1340.6219481999999</v>
      </c>
      <c r="I1874">
        <v>1322.2425536999999</v>
      </c>
      <c r="J1874">
        <v>1318.3062743999999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1159.2867189999999</v>
      </c>
      <c r="B1875" s="1">
        <f>DATE(2013,7,3) + TIME(6,52,52)</f>
        <v>41458.286712962959</v>
      </c>
      <c r="C1875">
        <v>80</v>
      </c>
      <c r="D1875">
        <v>79.968742371000005</v>
      </c>
      <c r="E1875">
        <v>50</v>
      </c>
      <c r="F1875">
        <v>47.266876220999997</v>
      </c>
      <c r="G1875">
        <v>1344.1770019999999</v>
      </c>
      <c r="H1875">
        <v>1340.6152344</v>
      </c>
      <c r="I1875">
        <v>1322.2265625</v>
      </c>
      <c r="J1875">
        <v>1318.2824707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1160.492485</v>
      </c>
      <c r="B1876" s="1">
        <f>DATE(2013,7,4) + TIME(11,49,10)</f>
        <v>41459.492476851854</v>
      </c>
      <c r="C1876">
        <v>80</v>
      </c>
      <c r="D1876">
        <v>79.968719481999997</v>
      </c>
      <c r="E1876">
        <v>50</v>
      </c>
      <c r="F1876">
        <v>47.235717772999998</v>
      </c>
      <c r="G1876">
        <v>1344.1639404</v>
      </c>
      <c r="H1876">
        <v>1340.6082764</v>
      </c>
      <c r="I1876">
        <v>1322.2095947</v>
      </c>
      <c r="J1876">
        <v>1318.2569579999999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1161.7221010000001</v>
      </c>
      <c r="B1877" s="1">
        <f>DATE(2013,7,5) + TIME(17,19,49)</f>
        <v>41460.722094907411</v>
      </c>
      <c r="C1877">
        <v>80</v>
      </c>
      <c r="D1877">
        <v>79.968688964999998</v>
      </c>
      <c r="E1877">
        <v>50</v>
      </c>
      <c r="F1877">
        <v>47.203971863</v>
      </c>
      <c r="G1877">
        <v>1344.1507568</v>
      </c>
      <c r="H1877">
        <v>1340.6010742000001</v>
      </c>
      <c r="I1877">
        <v>1322.1918945</v>
      </c>
      <c r="J1877">
        <v>1318.2304687999999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1162.9565660000001</v>
      </c>
      <c r="B1878" s="1">
        <f>DATE(2013,7,6) + TIME(22,57,27)</f>
        <v>41461.956562500003</v>
      </c>
      <c r="C1878">
        <v>80</v>
      </c>
      <c r="D1878">
        <v>79.968658446999996</v>
      </c>
      <c r="E1878">
        <v>50</v>
      </c>
      <c r="F1878">
        <v>47.17219162</v>
      </c>
      <c r="G1878">
        <v>1344.1374512</v>
      </c>
      <c r="H1878">
        <v>1340.5938721</v>
      </c>
      <c r="I1878">
        <v>1322.1737060999999</v>
      </c>
      <c r="J1878">
        <v>1318.2030029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1164.1949549999999</v>
      </c>
      <c r="B1879" s="1">
        <f>DATE(2013,7,8) + TIME(4,40,44)</f>
        <v>41463.194953703707</v>
      </c>
      <c r="C1879">
        <v>80</v>
      </c>
      <c r="D1879">
        <v>79.968635559000006</v>
      </c>
      <c r="E1879">
        <v>50</v>
      </c>
      <c r="F1879">
        <v>47.140735626000001</v>
      </c>
      <c r="G1879">
        <v>1344.1243896000001</v>
      </c>
      <c r="H1879">
        <v>1340.5866699000001</v>
      </c>
      <c r="I1879">
        <v>1322.1552733999999</v>
      </c>
      <c r="J1879">
        <v>1318.1750488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1165.447678</v>
      </c>
      <c r="B1880" s="1">
        <f>DATE(2013,7,9) + TIME(10,44,39)</f>
        <v>41464.44767361111</v>
      </c>
      <c r="C1880">
        <v>80</v>
      </c>
      <c r="D1880">
        <v>79.968605041999993</v>
      </c>
      <c r="E1880">
        <v>50</v>
      </c>
      <c r="F1880">
        <v>47.109668732000003</v>
      </c>
      <c r="G1880">
        <v>1344.1113281</v>
      </c>
      <c r="H1880">
        <v>1340.5794678</v>
      </c>
      <c r="I1880">
        <v>1322.1365966999999</v>
      </c>
      <c r="J1880">
        <v>1318.1467285000001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1166.7241779999999</v>
      </c>
      <c r="B1881" s="1">
        <f>DATE(2013,7,10) + TIME(17,22,48)</f>
        <v>41465.724166666667</v>
      </c>
      <c r="C1881">
        <v>80</v>
      </c>
      <c r="D1881">
        <v>79.968582153</v>
      </c>
      <c r="E1881">
        <v>50</v>
      </c>
      <c r="F1881">
        <v>47.078907012999998</v>
      </c>
      <c r="G1881">
        <v>1344.0983887</v>
      </c>
      <c r="H1881">
        <v>1340.5722656</v>
      </c>
      <c r="I1881">
        <v>1322.1175536999999</v>
      </c>
      <c r="J1881">
        <v>1318.1177978999999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1168.0160719999999</v>
      </c>
      <c r="B1882" s="1">
        <f>DATE(2013,7,12) + TIME(0,23,8)</f>
        <v>41467.016064814816</v>
      </c>
      <c r="C1882">
        <v>80</v>
      </c>
      <c r="D1882">
        <v>79.968559264999996</v>
      </c>
      <c r="E1882">
        <v>50</v>
      </c>
      <c r="F1882">
        <v>47.048484801999997</v>
      </c>
      <c r="G1882">
        <v>1344.0854492000001</v>
      </c>
      <c r="H1882">
        <v>1340.5650635</v>
      </c>
      <c r="I1882">
        <v>1322.0981445</v>
      </c>
      <c r="J1882">
        <v>1318.0882568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1169.317994</v>
      </c>
      <c r="B1883" s="1">
        <f>DATE(2013,7,13) + TIME(7,37,54)</f>
        <v>41468.317986111113</v>
      </c>
      <c r="C1883">
        <v>80</v>
      </c>
      <c r="D1883">
        <v>79.968528747999997</v>
      </c>
      <c r="E1883">
        <v>50</v>
      </c>
      <c r="F1883">
        <v>47.018550873000002</v>
      </c>
      <c r="G1883">
        <v>1344.0725098</v>
      </c>
      <c r="H1883">
        <v>1340.5578613</v>
      </c>
      <c r="I1883">
        <v>1322.0784911999999</v>
      </c>
      <c r="J1883">
        <v>1318.0581055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1170.643012</v>
      </c>
      <c r="B1884" s="1">
        <f>DATE(2013,7,14) + TIME(15,25,56)</f>
        <v>41469.643009259256</v>
      </c>
      <c r="C1884">
        <v>80</v>
      </c>
      <c r="D1884">
        <v>79.968505859000004</v>
      </c>
      <c r="E1884">
        <v>50</v>
      </c>
      <c r="F1884">
        <v>46.989120483000001</v>
      </c>
      <c r="G1884">
        <v>1344.0595702999999</v>
      </c>
      <c r="H1884">
        <v>1340.5506591999999</v>
      </c>
      <c r="I1884">
        <v>1322.0585937999999</v>
      </c>
      <c r="J1884">
        <v>1318.0275879000001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1171.9804119999999</v>
      </c>
      <c r="B1885" s="1">
        <f>DATE(2013,7,15) + TIME(23,31,47)</f>
        <v>41470.980405092596</v>
      </c>
      <c r="C1885">
        <v>80</v>
      </c>
      <c r="D1885">
        <v>79.968482971</v>
      </c>
      <c r="E1885">
        <v>50</v>
      </c>
      <c r="F1885">
        <v>46.960273743000002</v>
      </c>
      <c r="G1885">
        <v>1344.0467529</v>
      </c>
      <c r="H1885">
        <v>1340.543457</v>
      </c>
      <c r="I1885">
        <v>1322.0382079999999</v>
      </c>
      <c r="J1885">
        <v>1317.9963379000001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1173.337272</v>
      </c>
      <c r="B1886" s="1">
        <f>DATE(2013,7,17) + TIME(8,5,40)</f>
        <v>41472.337268518517</v>
      </c>
      <c r="C1886">
        <v>80</v>
      </c>
      <c r="D1886">
        <v>79.968460082999997</v>
      </c>
      <c r="E1886">
        <v>50</v>
      </c>
      <c r="F1886">
        <v>46.932094573999997</v>
      </c>
      <c r="G1886">
        <v>1344.0339355000001</v>
      </c>
      <c r="H1886">
        <v>1340.5362548999999</v>
      </c>
      <c r="I1886">
        <v>1322.0177002</v>
      </c>
      <c r="J1886">
        <v>1317.9645995999999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1174.725023</v>
      </c>
      <c r="B1887" s="1">
        <f>DATE(2013,7,18) + TIME(17,24,1)</f>
        <v>41473.725011574075</v>
      </c>
      <c r="C1887">
        <v>80</v>
      </c>
      <c r="D1887">
        <v>79.968437195000007</v>
      </c>
      <c r="E1887">
        <v>50</v>
      </c>
      <c r="F1887">
        <v>46.904575348000002</v>
      </c>
      <c r="G1887">
        <v>1344.0211182</v>
      </c>
      <c r="H1887">
        <v>1340.5289307</v>
      </c>
      <c r="I1887">
        <v>1321.9968262</v>
      </c>
      <c r="J1887">
        <v>1317.932251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1176.14959</v>
      </c>
      <c r="B1888" s="1">
        <f>DATE(2013,7,20) + TIME(3,35,24)</f>
        <v>41475.149583333332</v>
      </c>
      <c r="C1888">
        <v>80</v>
      </c>
      <c r="D1888">
        <v>79.968414307000003</v>
      </c>
      <c r="E1888">
        <v>50</v>
      </c>
      <c r="F1888">
        <v>46.877696991000001</v>
      </c>
      <c r="G1888">
        <v>1344.0081786999999</v>
      </c>
      <c r="H1888">
        <v>1340.5216064000001</v>
      </c>
      <c r="I1888">
        <v>1321.9754639</v>
      </c>
      <c r="J1888">
        <v>1317.8991699000001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1177.617761</v>
      </c>
      <c r="B1889" s="1">
        <f>DATE(2013,7,21) + TIME(14,49,34)</f>
        <v>41476.617754629631</v>
      </c>
      <c r="C1889">
        <v>80</v>
      </c>
      <c r="D1889">
        <v>79.968399047999995</v>
      </c>
      <c r="E1889">
        <v>50</v>
      </c>
      <c r="F1889">
        <v>46.851505279999998</v>
      </c>
      <c r="G1889">
        <v>1343.9951172000001</v>
      </c>
      <c r="H1889">
        <v>1340.5141602000001</v>
      </c>
      <c r="I1889">
        <v>1321.9534911999999</v>
      </c>
      <c r="J1889">
        <v>1317.8649902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1179.1364390000001</v>
      </c>
      <c r="B1890" s="1">
        <f>DATE(2013,7,23) + TIME(3,16,28)</f>
        <v>41478.136435185188</v>
      </c>
      <c r="C1890">
        <v>80</v>
      </c>
      <c r="D1890">
        <v>79.968376160000005</v>
      </c>
      <c r="E1890">
        <v>50</v>
      </c>
      <c r="F1890">
        <v>46.826068878000001</v>
      </c>
      <c r="G1890">
        <v>1343.9818115</v>
      </c>
      <c r="H1890">
        <v>1340.5064697</v>
      </c>
      <c r="I1890">
        <v>1321.9310303</v>
      </c>
      <c r="J1890">
        <v>1317.8298339999999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1180.661582</v>
      </c>
      <c r="B1891" s="1">
        <f>DATE(2013,7,24) + TIME(15,52,40)</f>
        <v>41479.661574074074</v>
      </c>
      <c r="C1891">
        <v>80</v>
      </c>
      <c r="D1891">
        <v>79.968353270999998</v>
      </c>
      <c r="E1891">
        <v>50</v>
      </c>
      <c r="F1891">
        <v>46.801799774000003</v>
      </c>
      <c r="G1891">
        <v>1343.9683838000001</v>
      </c>
      <c r="H1891">
        <v>1340.4987793</v>
      </c>
      <c r="I1891">
        <v>1321.9078368999999</v>
      </c>
      <c r="J1891">
        <v>1317.7935791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1182.1987779999999</v>
      </c>
      <c r="B1892" s="1">
        <f>DATE(2013,7,26) + TIME(4,46,14)</f>
        <v>41481.198773148149</v>
      </c>
      <c r="C1892">
        <v>80</v>
      </c>
      <c r="D1892">
        <v>79.968330382999994</v>
      </c>
      <c r="E1892">
        <v>50</v>
      </c>
      <c r="F1892">
        <v>46.779151917</v>
      </c>
      <c r="G1892">
        <v>1343.9549560999999</v>
      </c>
      <c r="H1892">
        <v>1340.4909668</v>
      </c>
      <c r="I1892">
        <v>1321.8845214999999</v>
      </c>
      <c r="J1892">
        <v>1317.7568358999999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1183.7408909999999</v>
      </c>
      <c r="B1893" s="1">
        <f>DATE(2013,7,27) + TIME(17,46,52)</f>
        <v>41482.740879629629</v>
      </c>
      <c r="C1893">
        <v>80</v>
      </c>
      <c r="D1893">
        <v>79.968315125000004</v>
      </c>
      <c r="E1893">
        <v>50</v>
      </c>
      <c r="F1893">
        <v>46.758419037000003</v>
      </c>
      <c r="G1893">
        <v>1343.9416504000001</v>
      </c>
      <c r="H1893">
        <v>1340.4832764</v>
      </c>
      <c r="I1893">
        <v>1321.8610839999999</v>
      </c>
      <c r="J1893">
        <v>1317.7197266000001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1185.2942109999999</v>
      </c>
      <c r="B1894" s="1">
        <f>DATE(2013,7,29) + TIME(7,3,39)</f>
        <v>41484.29420138889</v>
      </c>
      <c r="C1894">
        <v>80</v>
      </c>
      <c r="D1894">
        <v>79.968292235999996</v>
      </c>
      <c r="E1894">
        <v>50</v>
      </c>
      <c r="F1894">
        <v>46.739845275999997</v>
      </c>
      <c r="G1894">
        <v>1343.9285889</v>
      </c>
      <c r="H1894">
        <v>1340.4755858999999</v>
      </c>
      <c r="I1894">
        <v>1321.8376464999999</v>
      </c>
      <c r="J1894">
        <v>1317.6826172000001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1186.86501</v>
      </c>
      <c r="B1895" s="1">
        <f>DATE(2013,7,30) + TIME(20,45,36)</f>
        <v>41485.864999999998</v>
      </c>
      <c r="C1895">
        <v>80</v>
      </c>
      <c r="D1895">
        <v>79.968276978000006</v>
      </c>
      <c r="E1895">
        <v>50</v>
      </c>
      <c r="F1895">
        <v>46.723636626999998</v>
      </c>
      <c r="G1895">
        <v>1343.9155272999999</v>
      </c>
      <c r="H1895">
        <v>1340.4678954999999</v>
      </c>
      <c r="I1895">
        <v>1321.8140868999999</v>
      </c>
      <c r="J1895">
        <v>1317.6451416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1188</v>
      </c>
      <c r="B1896" s="1">
        <f>DATE(2013,8,1) + TIME(0,0,0)</f>
        <v>41487</v>
      </c>
      <c r="C1896">
        <v>80</v>
      </c>
      <c r="D1896">
        <v>79.968254088999998</v>
      </c>
      <c r="E1896">
        <v>50</v>
      </c>
      <c r="F1896">
        <v>46.711601256999998</v>
      </c>
      <c r="G1896">
        <v>1343.9030762</v>
      </c>
      <c r="H1896">
        <v>1340.4608154</v>
      </c>
      <c r="I1896">
        <v>1321.7915039</v>
      </c>
      <c r="J1896">
        <v>1317.6091309000001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1189.608804</v>
      </c>
      <c r="B1897" s="1">
        <f>DATE(2013,8,2) + TIME(14,36,40)</f>
        <v>41488.608796296299</v>
      </c>
      <c r="C1897">
        <v>80</v>
      </c>
      <c r="D1897">
        <v>79.968246460000003</v>
      </c>
      <c r="E1897">
        <v>50</v>
      </c>
      <c r="F1897">
        <v>46.701572417999998</v>
      </c>
      <c r="G1897">
        <v>1343.8930664</v>
      </c>
      <c r="H1897">
        <v>1340.4544678</v>
      </c>
      <c r="I1897">
        <v>1321.7723389</v>
      </c>
      <c r="J1897">
        <v>1317.578125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1191.293007</v>
      </c>
      <c r="B1898" s="1">
        <f>DATE(2013,8,4) + TIME(7,1,55)</f>
        <v>41490.292997685188</v>
      </c>
      <c r="C1898">
        <v>80</v>
      </c>
      <c r="D1898">
        <v>79.968231200999995</v>
      </c>
      <c r="E1898">
        <v>50</v>
      </c>
      <c r="F1898">
        <v>46.693542479999998</v>
      </c>
      <c r="G1898">
        <v>1343.880249</v>
      </c>
      <c r="H1898">
        <v>1340.4470214999999</v>
      </c>
      <c r="I1898">
        <v>1321.7492675999999</v>
      </c>
      <c r="J1898">
        <v>1317.5410156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1192.992211</v>
      </c>
      <c r="B1899" s="1">
        <f>DATE(2013,8,5) + TIME(23,48,47)</f>
        <v>41491.992210648146</v>
      </c>
      <c r="C1899">
        <v>80</v>
      </c>
      <c r="D1899">
        <v>79.968215942</v>
      </c>
      <c r="E1899">
        <v>50</v>
      </c>
      <c r="F1899">
        <v>46.688777924</v>
      </c>
      <c r="G1899">
        <v>1343.8670654</v>
      </c>
      <c r="H1899">
        <v>1340.4390868999999</v>
      </c>
      <c r="I1899">
        <v>1321.7250977000001</v>
      </c>
      <c r="J1899">
        <v>1317.5019531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1194.7243739999999</v>
      </c>
      <c r="B1900" s="1">
        <f>DATE(2013,8,7) + TIME(17,23,5)</f>
        <v>41493.724363425928</v>
      </c>
      <c r="C1900">
        <v>80</v>
      </c>
      <c r="D1900">
        <v>79.968200683999996</v>
      </c>
      <c r="E1900">
        <v>50</v>
      </c>
      <c r="F1900">
        <v>46.688087463000002</v>
      </c>
      <c r="G1900">
        <v>1343.8537598</v>
      </c>
      <c r="H1900">
        <v>1340.4311522999999</v>
      </c>
      <c r="I1900">
        <v>1321.7006836</v>
      </c>
      <c r="J1900">
        <v>1317.4620361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1196.501205</v>
      </c>
      <c r="B1901" s="1">
        <f>DATE(2013,8,9) + TIME(12,1,44)</f>
        <v>41495.501203703701</v>
      </c>
      <c r="C1901">
        <v>80</v>
      </c>
      <c r="D1901">
        <v>79.968185425000001</v>
      </c>
      <c r="E1901">
        <v>50</v>
      </c>
      <c r="F1901">
        <v>46.692207336000003</v>
      </c>
      <c r="G1901">
        <v>1343.840332</v>
      </c>
      <c r="H1901">
        <v>1340.4229736</v>
      </c>
      <c r="I1901">
        <v>1321.6760254000001</v>
      </c>
      <c r="J1901">
        <v>1317.4216309000001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1198.331627</v>
      </c>
      <c r="B1902" s="1">
        <f>DATE(2013,8,11) + TIME(7,57,32)</f>
        <v>41497.331620370373</v>
      </c>
      <c r="C1902">
        <v>80</v>
      </c>
      <c r="D1902">
        <v>79.968177795000003</v>
      </c>
      <c r="E1902">
        <v>50</v>
      </c>
      <c r="F1902">
        <v>46.701992035000004</v>
      </c>
      <c r="G1902">
        <v>1343.8269043</v>
      </c>
      <c r="H1902">
        <v>1340.4147949000001</v>
      </c>
      <c r="I1902">
        <v>1321.651001</v>
      </c>
      <c r="J1902">
        <v>1317.3806152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1200.1831079999999</v>
      </c>
      <c r="B1903" s="1">
        <f>DATE(2013,8,13) + TIME(4,23,40)</f>
        <v>41499.18310185185</v>
      </c>
      <c r="C1903">
        <v>80</v>
      </c>
      <c r="D1903">
        <v>79.968162536999998</v>
      </c>
      <c r="E1903">
        <v>50</v>
      </c>
      <c r="F1903">
        <v>46.718368529999999</v>
      </c>
      <c r="G1903">
        <v>1343.8132324000001</v>
      </c>
      <c r="H1903">
        <v>1340.4064940999999</v>
      </c>
      <c r="I1903">
        <v>1321.6258545000001</v>
      </c>
      <c r="J1903">
        <v>1317.3389893000001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1202.039325</v>
      </c>
      <c r="B1904" s="1">
        <f>DATE(2013,8,15) + TIME(0,56,37)</f>
        <v>41501.039317129631</v>
      </c>
      <c r="C1904">
        <v>80</v>
      </c>
      <c r="D1904">
        <v>79.968147278000004</v>
      </c>
      <c r="E1904">
        <v>50</v>
      </c>
      <c r="F1904">
        <v>46.742126464999998</v>
      </c>
      <c r="G1904">
        <v>1343.7995605000001</v>
      </c>
      <c r="H1904">
        <v>1340.3980713000001</v>
      </c>
      <c r="I1904">
        <v>1321.6008300999999</v>
      </c>
      <c r="J1904">
        <v>1317.2972411999999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1203.909026</v>
      </c>
      <c r="B1905" s="1">
        <f>DATE(2013,8,16) + TIME(21,48,59)</f>
        <v>41502.909016203703</v>
      </c>
      <c r="C1905">
        <v>80</v>
      </c>
      <c r="D1905">
        <v>79.968139648000005</v>
      </c>
      <c r="E1905">
        <v>50</v>
      </c>
      <c r="F1905">
        <v>46.774024963000002</v>
      </c>
      <c r="G1905">
        <v>1343.7861327999999</v>
      </c>
      <c r="H1905">
        <v>1340.3897704999999</v>
      </c>
      <c r="I1905">
        <v>1321.5761719</v>
      </c>
      <c r="J1905">
        <v>1317.2559814000001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1205.8009030000001</v>
      </c>
      <c r="B1906" s="1">
        <f>DATE(2013,8,18) + TIME(19,13,18)</f>
        <v>41504.800902777781</v>
      </c>
      <c r="C1906">
        <v>80</v>
      </c>
      <c r="D1906">
        <v>79.96812439</v>
      </c>
      <c r="E1906">
        <v>50</v>
      </c>
      <c r="F1906">
        <v>46.815063477000002</v>
      </c>
      <c r="G1906">
        <v>1343.7727050999999</v>
      </c>
      <c r="H1906">
        <v>1340.3814697</v>
      </c>
      <c r="I1906">
        <v>1321.5518798999999</v>
      </c>
      <c r="J1906">
        <v>1317.2149658000001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1207.7329199999999</v>
      </c>
      <c r="B1907" s="1">
        <f>DATE(2013,8,20) + TIME(17,35,24)</f>
        <v>41506.732916666668</v>
      </c>
      <c r="C1907">
        <v>80</v>
      </c>
      <c r="D1907">
        <v>79.968116760000001</v>
      </c>
      <c r="E1907">
        <v>50</v>
      </c>
      <c r="F1907">
        <v>46.866569519000002</v>
      </c>
      <c r="G1907">
        <v>1343.7592772999999</v>
      </c>
      <c r="H1907">
        <v>1340.3731689000001</v>
      </c>
      <c r="I1907">
        <v>1321.5279541</v>
      </c>
      <c r="J1907">
        <v>1317.1744385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1209.729441</v>
      </c>
      <c r="B1908" s="1">
        <f>DATE(2013,8,22) + TIME(17,30,23)</f>
        <v>41508.729432870372</v>
      </c>
      <c r="C1908">
        <v>80</v>
      </c>
      <c r="D1908">
        <v>79.968109131000006</v>
      </c>
      <c r="E1908">
        <v>50</v>
      </c>
      <c r="F1908">
        <v>46.930435181</v>
      </c>
      <c r="G1908">
        <v>1343.7458495999999</v>
      </c>
      <c r="H1908">
        <v>1340.3647461</v>
      </c>
      <c r="I1908">
        <v>1321.5041504000001</v>
      </c>
      <c r="J1908">
        <v>1317.1339111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1211.753596</v>
      </c>
      <c r="B1909" s="1">
        <f>DATE(2013,8,24) + TIME(18,5,10)</f>
        <v>41510.753587962965</v>
      </c>
      <c r="C1909">
        <v>80</v>
      </c>
      <c r="D1909">
        <v>79.968101501000007</v>
      </c>
      <c r="E1909">
        <v>50</v>
      </c>
      <c r="F1909">
        <v>47.008678435999997</v>
      </c>
      <c r="G1909">
        <v>1343.7321777</v>
      </c>
      <c r="H1909">
        <v>1340.3562012</v>
      </c>
      <c r="I1909">
        <v>1321.4805908000001</v>
      </c>
      <c r="J1909">
        <v>1317.0932617000001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1213.7997150000001</v>
      </c>
      <c r="B1910" s="1">
        <f>DATE(2013,8,26) + TIME(19,11,35)</f>
        <v>41512.799710648149</v>
      </c>
      <c r="C1910">
        <v>80</v>
      </c>
      <c r="D1910">
        <v>79.968093871999997</v>
      </c>
      <c r="E1910">
        <v>50</v>
      </c>
      <c r="F1910">
        <v>47.102523804</v>
      </c>
      <c r="G1910">
        <v>1343.7185059000001</v>
      </c>
      <c r="H1910">
        <v>1340.3475341999999</v>
      </c>
      <c r="I1910">
        <v>1321.4573975000001</v>
      </c>
      <c r="J1910">
        <v>1317.0532227000001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1215.8775720000001</v>
      </c>
      <c r="B1911" s="1">
        <f>DATE(2013,8,28) + TIME(21,3,42)</f>
        <v>41514.877569444441</v>
      </c>
      <c r="C1911">
        <v>80</v>
      </c>
      <c r="D1911">
        <v>79.968086243000002</v>
      </c>
      <c r="E1911">
        <v>50</v>
      </c>
      <c r="F1911">
        <v>47.213600159000002</v>
      </c>
      <c r="G1911">
        <v>1343.7048339999999</v>
      </c>
      <c r="H1911">
        <v>1340.3388672000001</v>
      </c>
      <c r="I1911">
        <v>1321.4346923999999</v>
      </c>
      <c r="J1911">
        <v>1317.0139160000001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1217.9990580000001</v>
      </c>
      <c r="B1912" s="1">
        <f>DATE(2013,8,30) + TIME(23,58,38)</f>
        <v>41516.999050925922</v>
      </c>
      <c r="C1912">
        <v>80</v>
      </c>
      <c r="D1912">
        <v>79.968078613000003</v>
      </c>
      <c r="E1912">
        <v>50</v>
      </c>
      <c r="F1912">
        <v>47.344127655000001</v>
      </c>
      <c r="G1912">
        <v>1343.6912841999999</v>
      </c>
      <c r="H1912">
        <v>1340.3300781</v>
      </c>
      <c r="I1912">
        <v>1321.4127197</v>
      </c>
      <c r="J1912">
        <v>1316.9754639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1219</v>
      </c>
      <c r="B1913" s="1">
        <f>DATE(2013,9,1) + TIME(0,0,0)</f>
        <v>41518</v>
      </c>
      <c r="C1913">
        <v>80</v>
      </c>
      <c r="D1913">
        <v>79.968055724999999</v>
      </c>
      <c r="E1913">
        <v>50</v>
      </c>
      <c r="F1913">
        <v>47.462409973</v>
      </c>
      <c r="G1913">
        <v>1343.6789550999999</v>
      </c>
      <c r="H1913">
        <v>1340.3226318</v>
      </c>
      <c r="I1913">
        <v>1321.3950195</v>
      </c>
      <c r="J1913">
        <v>1316.9416504000001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1221.2029460000001</v>
      </c>
      <c r="B1914" s="1">
        <f>DATE(2013,9,3) + TIME(4,52,14)</f>
        <v>41520.202939814815</v>
      </c>
      <c r="C1914">
        <v>80</v>
      </c>
      <c r="D1914">
        <v>79.968070983999993</v>
      </c>
      <c r="E1914">
        <v>50</v>
      </c>
      <c r="F1914">
        <v>47.590480804000002</v>
      </c>
      <c r="G1914">
        <v>1343.6705322</v>
      </c>
      <c r="H1914">
        <v>1340.3166504000001</v>
      </c>
      <c r="I1914">
        <v>1321.3790283000001</v>
      </c>
      <c r="J1914">
        <v>1316.9177245999999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1223.4524650000001</v>
      </c>
      <c r="B1915" s="1">
        <f>DATE(2013,9,5) + TIME(10,51,32)</f>
        <v>41522.452453703707</v>
      </c>
      <c r="C1915">
        <v>80</v>
      </c>
      <c r="D1915">
        <v>79.968063353999995</v>
      </c>
      <c r="E1915">
        <v>50</v>
      </c>
      <c r="F1915">
        <v>47.771820067999997</v>
      </c>
      <c r="G1915">
        <v>1343.6571045000001</v>
      </c>
      <c r="H1915">
        <v>1340.3079834</v>
      </c>
      <c r="I1915">
        <v>1321.3602295000001</v>
      </c>
      <c r="J1915">
        <v>1316.8836670000001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1225.721245</v>
      </c>
      <c r="B1916" s="1">
        <f>DATE(2013,9,7) + TIME(17,18,35)</f>
        <v>41524.721238425926</v>
      </c>
      <c r="C1916">
        <v>80</v>
      </c>
      <c r="D1916">
        <v>79.968063353999995</v>
      </c>
      <c r="E1916">
        <v>50</v>
      </c>
      <c r="F1916">
        <v>47.987426757999998</v>
      </c>
      <c r="G1916">
        <v>1343.6431885</v>
      </c>
      <c r="H1916">
        <v>1340.2989502</v>
      </c>
      <c r="I1916">
        <v>1321.3408202999999</v>
      </c>
      <c r="J1916">
        <v>1316.8492432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1228.0214900000001</v>
      </c>
      <c r="B1917" s="1">
        <f>DATE(2013,9,10) + TIME(0,30,56)</f>
        <v>41527.021481481483</v>
      </c>
      <c r="C1917">
        <v>80</v>
      </c>
      <c r="D1917">
        <v>79.968055724999999</v>
      </c>
      <c r="E1917">
        <v>50</v>
      </c>
      <c r="F1917">
        <v>48.232227324999997</v>
      </c>
      <c r="G1917">
        <v>1343.6291504000001</v>
      </c>
      <c r="H1917">
        <v>1340.2897949000001</v>
      </c>
      <c r="I1917">
        <v>1321.3218993999999</v>
      </c>
      <c r="J1917">
        <v>1316.8161620999999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1230.3860999999999</v>
      </c>
      <c r="B1918" s="1">
        <f>DATE(2013,9,12) + TIME(9,15,59)</f>
        <v>41529.386099537034</v>
      </c>
      <c r="C1918">
        <v>80</v>
      </c>
      <c r="D1918">
        <v>79.968055724999999</v>
      </c>
      <c r="E1918">
        <v>50</v>
      </c>
      <c r="F1918">
        <v>48.506980896000002</v>
      </c>
      <c r="G1918">
        <v>1343.6152344</v>
      </c>
      <c r="H1918">
        <v>1340.2806396000001</v>
      </c>
      <c r="I1918">
        <v>1321.3038329999999</v>
      </c>
      <c r="J1918">
        <v>1316.784668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1232.7674500000001</v>
      </c>
      <c r="B1919" s="1">
        <f>DATE(2013,9,14) + TIME(18,25,7)</f>
        <v>41531.767442129632</v>
      </c>
      <c r="C1919">
        <v>80</v>
      </c>
      <c r="D1919">
        <v>79.968055724999999</v>
      </c>
      <c r="E1919">
        <v>50</v>
      </c>
      <c r="F1919">
        <v>48.813190460000001</v>
      </c>
      <c r="G1919">
        <v>1343.6011963000001</v>
      </c>
      <c r="H1919">
        <v>1340.2713623</v>
      </c>
      <c r="I1919">
        <v>1321.2867432</v>
      </c>
      <c r="J1919">
        <v>1316.7547606999999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1235.1723199999999</v>
      </c>
      <c r="B1920" s="1">
        <f>DATE(2013,9,17) + TIME(4,8,8)</f>
        <v>41534.172314814816</v>
      </c>
      <c r="C1920">
        <v>80</v>
      </c>
      <c r="D1920">
        <v>79.968055724999999</v>
      </c>
      <c r="E1920">
        <v>50</v>
      </c>
      <c r="F1920">
        <v>49.147369384999998</v>
      </c>
      <c r="G1920">
        <v>1343.5872803</v>
      </c>
      <c r="H1920">
        <v>1340.2620850000001</v>
      </c>
      <c r="I1920">
        <v>1321.2705077999999</v>
      </c>
      <c r="J1920">
        <v>1316.7270507999999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1237.614112</v>
      </c>
      <c r="B1921" s="1">
        <f>DATE(2013,9,19) + TIME(14,44,19)</f>
        <v>41536.614108796297</v>
      </c>
      <c r="C1921">
        <v>80</v>
      </c>
      <c r="D1921">
        <v>79.968055724999999</v>
      </c>
      <c r="E1921">
        <v>50</v>
      </c>
      <c r="F1921">
        <v>49.508132934999999</v>
      </c>
      <c r="G1921">
        <v>1343.5733643000001</v>
      </c>
      <c r="H1921">
        <v>1340.2528076000001</v>
      </c>
      <c r="I1921">
        <v>1321.2554932</v>
      </c>
      <c r="J1921">
        <v>1316.7015381000001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1240.1067250000001</v>
      </c>
      <c r="B1922" s="1">
        <f>DATE(2013,9,22) + TIME(2,33,41)</f>
        <v>41539.106724537036</v>
      </c>
      <c r="C1922">
        <v>80</v>
      </c>
      <c r="D1922">
        <v>79.968055724999999</v>
      </c>
      <c r="E1922">
        <v>50</v>
      </c>
      <c r="F1922">
        <v>49.894504546999997</v>
      </c>
      <c r="G1922">
        <v>1343.5594481999999</v>
      </c>
      <c r="H1922">
        <v>1340.2435303</v>
      </c>
      <c r="I1922">
        <v>1321.2413329999999</v>
      </c>
      <c r="J1922">
        <v>1316.6782227000001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1242.688024</v>
      </c>
      <c r="B1923" s="1">
        <f>DATE(2013,9,24) + TIME(16,30,45)</f>
        <v>41541.688020833331</v>
      </c>
      <c r="C1923">
        <v>80</v>
      </c>
      <c r="D1923">
        <v>79.968063353999995</v>
      </c>
      <c r="E1923">
        <v>50</v>
      </c>
      <c r="F1923">
        <v>50.306194304999998</v>
      </c>
      <c r="G1923">
        <v>1343.5455322</v>
      </c>
      <c r="H1923">
        <v>1340.2341309000001</v>
      </c>
      <c r="I1923">
        <v>1321.2281493999999</v>
      </c>
      <c r="J1923">
        <v>1316.6567382999999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1245.3916939999999</v>
      </c>
      <c r="B1924" s="1">
        <f>DATE(2013,9,27) + TIME(9,24,2)</f>
        <v>41544.391689814816</v>
      </c>
      <c r="C1924">
        <v>80</v>
      </c>
      <c r="D1924">
        <v>79.968070983999993</v>
      </c>
      <c r="E1924">
        <v>50</v>
      </c>
      <c r="F1924">
        <v>50.745761870999999</v>
      </c>
      <c r="G1924">
        <v>1343.5313721</v>
      </c>
      <c r="H1924">
        <v>1340.2246094</v>
      </c>
      <c r="I1924">
        <v>1321.2156981999999</v>
      </c>
      <c r="J1924">
        <v>1316.6370850000001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1248.1741139999999</v>
      </c>
      <c r="B1925" s="1">
        <f>DATE(2013,9,30) + TIME(4,10,43)</f>
        <v>41547.174108796295</v>
      </c>
      <c r="C1925">
        <v>80</v>
      </c>
      <c r="D1925">
        <v>79.968070983999993</v>
      </c>
      <c r="E1925">
        <v>50</v>
      </c>
      <c r="F1925">
        <v>51.213310241999999</v>
      </c>
      <c r="G1925">
        <v>1343.5168457</v>
      </c>
      <c r="H1925">
        <v>1340.2147216999999</v>
      </c>
      <c r="I1925">
        <v>1321.2041016000001</v>
      </c>
      <c r="J1925">
        <v>1316.6190185999999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1249</v>
      </c>
      <c r="B1926" s="1">
        <f>DATE(2013,10,1) + TIME(0,0,0)</f>
        <v>41548</v>
      </c>
      <c r="C1926">
        <v>80</v>
      </c>
      <c r="D1926">
        <v>79.968048096000004</v>
      </c>
      <c r="E1926">
        <v>50</v>
      </c>
      <c r="F1926">
        <v>51.548851012999997</v>
      </c>
      <c r="G1926">
        <v>1343.5047606999999</v>
      </c>
      <c r="H1926">
        <v>1340.2071533000001</v>
      </c>
      <c r="I1926">
        <v>1321.2021483999999</v>
      </c>
      <c r="J1926">
        <v>1316.6069336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1251.8052560000001</v>
      </c>
      <c r="B1927" s="1">
        <f>DATE(2013,10,3) + TIME(19,19,34)</f>
        <v>41550.805254629631</v>
      </c>
      <c r="C1927">
        <v>80</v>
      </c>
      <c r="D1927">
        <v>79.968078613000003</v>
      </c>
      <c r="E1927">
        <v>50</v>
      </c>
      <c r="F1927">
        <v>51.880241394000002</v>
      </c>
      <c r="G1927">
        <v>1343.4971923999999</v>
      </c>
      <c r="H1927">
        <v>1340.2012939000001</v>
      </c>
      <c r="I1927">
        <v>1321.1892089999999</v>
      </c>
      <c r="J1927">
        <v>1316.5993652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1254.66535</v>
      </c>
      <c r="B1928" s="1">
        <f>DATE(2013,10,6) + TIME(15,58,6)</f>
        <v>41553.665347222224</v>
      </c>
      <c r="C1928">
        <v>80</v>
      </c>
      <c r="D1928">
        <v>79.968086243000002</v>
      </c>
      <c r="E1928">
        <v>50</v>
      </c>
      <c r="F1928">
        <v>52.342163085999999</v>
      </c>
      <c r="G1928">
        <v>1343.4833983999999</v>
      </c>
      <c r="H1928">
        <v>1340.1918945</v>
      </c>
      <c r="I1928">
        <v>1321.1810303</v>
      </c>
      <c r="J1928">
        <v>1316.5853271000001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1257.5661030000001</v>
      </c>
      <c r="B1929" s="1">
        <f>DATE(2013,10,9) + TIME(13,35,11)</f>
        <v>41556.566099537034</v>
      </c>
      <c r="C1929">
        <v>80</v>
      </c>
      <c r="D1929">
        <v>79.968093871999997</v>
      </c>
      <c r="E1929">
        <v>50</v>
      </c>
      <c r="F1929">
        <v>52.832454681000002</v>
      </c>
      <c r="G1929">
        <v>1343.4689940999999</v>
      </c>
      <c r="H1929">
        <v>1340.1821289</v>
      </c>
      <c r="I1929">
        <v>1321.1730957</v>
      </c>
      <c r="J1929">
        <v>1316.5737305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1260.495668</v>
      </c>
      <c r="B1930" s="1">
        <f>DATE(2013,10,12) + TIME(11,53,45)</f>
        <v>41559.495659722219</v>
      </c>
      <c r="C1930">
        <v>80</v>
      </c>
      <c r="D1930">
        <v>79.968101501000007</v>
      </c>
      <c r="E1930">
        <v>50</v>
      </c>
      <c r="F1930">
        <v>53.325576781999999</v>
      </c>
      <c r="G1930">
        <v>1343.4547118999999</v>
      </c>
      <c r="H1930">
        <v>1340.1722411999999</v>
      </c>
      <c r="I1930">
        <v>1321.1660156</v>
      </c>
      <c r="J1930">
        <v>1316.5640868999999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1263.4727069999999</v>
      </c>
      <c r="B1931" s="1">
        <f>DATE(2013,10,15) + TIME(11,20,41)</f>
        <v>41562.472696759258</v>
      </c>
      <c r="C1931">
        <v>80</v>
      </c>
      <c r="D1931">
        <v>79.968116760000001</v>
      </c>
      <c r="E1931">
        <v>50</v>
      </c>
      <c r="F1931">
        <v>53.815036773999999</v>
      </c>
      <c r="G1931">
        <v>1343.4405518000001</v>
      </c>
      <c r="H1931">
        <v>1340.1625977000001</v>
      </c>
      <c r="I1931">
        <v>1321.159668</v>
      </c>
      <c r="J1931">
        <v>1316.5557861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1266.5163399999999</v>
      </c>
      <c r="B1932" s="1">
        <f>DATE(2013,10,18) + TIME(12,23,31)</f>
        <v>41565.516331018516</v>
      </c>
      <c r="C1932">
        <v>80</v>
      </c>
      <c r="D1932">
        <v>79.96812439</v>
      </c>
      <c r="E1932">
        <v>50</v>
      </c>
      <c r="F1932">
        <v>54.299011229999998</v>
      </c>
      <c r="G1932">
        <v>1343.4265137</v>
      </c>
      <c r="H1932">
        <v>1340.152832</v>
      </c>
      <c r="I1932">
        <v>1321.1541748</v>
      </c>
      <c r="J1932">
        <v>1316.5488281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1269.6750709999999</v>
      </c>
      <c r="B1933" s="1">
        <f>DATE(2013,10,21) + TIME(16,12,6)</f>
        <v>41568.675069444442</v>
      </c>
      <c r="C1933">
        <v>80</v>
      </c>
      <c r="D1933">
        <v>79.968139648000005</v>
      </c>
      <c r="E1933">
        <v>50</v>
      </c>
      <c r="F1933">
        <v>54.779262543000002</v>
      </c>
      <c r="G1933">
        <v>1343.4123535000001</v>
      </c>
      <c r="H1933">
        <v>1340.1430664</v>
      </c>
      <c r="I1933">
        <v>1321.1494141000001</v>
      </c>
      <c r="J1933">
        <v>1316.5430908000001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1272.9048190000001</v>
      </c>
      <c r="B1934" s="1">
        <f>DATE(2013,10,24) + TIME(21,42,56)</f>
        <v>41571.904814814814</v>
      </c>
      <c r="C1934">
        <v>80</v>
      </c>
      <c r="D1934">
        <v>79.968154906999999</v>
      </c>
      <c r="E1934">
        <v>50</v>
      </c>
      <c r="F1934">
        <v>55.257297516000001</v>
      </c>
      <c r="G1934">
        <v>1343.3981934000001</v>
      </c>
      <c r="H1934">
        <v>1340.1331786999999</v>
      </c>
      <c r="I1934">
        <v>1321.1452637</v>
      </c>
      <c r="J1934">
        <v>1316.5382079999999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1276.1775050000001</v>
      </c>
      <c r="B1935" s="1">
        <f>DATE(2013,10,28) + TIME(4,15,36)</f>
        <v>41575.177499999998</v>
      </c>
      <c r="C1935">
        <v>80</v>
      </c>
      <c r="D1935">
        <v>79.968170165999993</v>
      </c>
      <c r="E1935">
        <v>50</v>
      </c>
      <c r="F1935">
        <v>55.727394103999998</v>
      </c>
      <c r="G1935">
        <v>1343.3839111</v>
      </c>
      <c r="H1935">
        <v>1340.1232910000001</v>
      </c>
      <c r="I1935">
        <v>1321.1419678</v>
      </c>
      <c r="J1935">
        <v>1316.5345459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1279.486261</v>
      </c>
      <c r="B1936" s="1">
        <f>DATE(2013,10,31) + TIME(11,40,12)</f>
        <v>41578.486250000002</v>
      </c>
      <c r="C1936">
        <v>80</v>
      </c>
      <c r="D1936">
        <v>79.968185425000001</v>
      </c>
      <c r="E1936">
        <v>50</v>
      </c>
      <c r="F1936">
        <v>56.183830260999997</v>
      </c>
      <c r="G1936">
        <v>1343.369751</v>
      </c>
      <c r="H1936">
        <v>1340.1135254000001</v>
      </c>
      <c r="I1936">
        <v>1321.1392822</v>
      </c>
      <c r="J1936">
        <v>1316.5317382999999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1280</v>
      </c>
      <c r="B1937" s="1">
        <f>DATE(2013,11,1) + TIME(0,0,0)</f>
        <v>41579</v>
      </c>
      <c r="C1937">
        <v>80</v>
      </c>
      <c r="D1937">
        <v>79.968162536999998</v>
      </c>
      <c r="E1937">
        <v>50</v>
      </c>
      <c r="F1937">
        <v>56.425529480000002</v>
      </c>
      <c r="G1937">
        <v>1343.3602295000001</v>
      </c>
      <c r="H1937">
        <v>1340.1077881000001</v>
      </c>
      <c r="I1937">
        <v>1321.1480713000001</v>
      </c>
      <c r="J1937">
        <v>1316.5340576000001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1280.0000010000001</v>
      </c>
      <c r="B1938" s="1">
        <f>DATE(2013,11,1) + TIME(0,0,0)</f>
        <v>41579</v>
      </c>
      <c r="C1938">
        <v>80</v>
      </c>
      <c r="D1938">
        <v>79.968132018999995</v>
      </c>
      <c r="E1938">
        <v>50</v>
      </c>
      <c r="F1938">
        <v>56.425544739000003</v>
      </c>
      <c r="G1938">
        <v>1340.0977783000001</v>
      </c>
      <c r="H1938">
        <v>1338.2863769999999</v>
      </c>
      <c r="I1938">
        <v>1325.8673096</v>
      </c>
      <c r="J1938">
        <v>1321.1612548999999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1280.000004</v>
      </c>
      <c r="B1939" s="1">
        <f>DATE(2013,11,1) + TIME(0,0,0)</f>
        <v>41579</v>
      </c>
      <c r="C1939">
        <v>80</v>
      </c>
      <c r="D1939">
        <v>79.968032836999996</v>
      </c>
      <c r="E1939">
        <v>50</v>
      </c>
      <c r="F1939">
        <v>56.425586699999997</v>
      </c>
      <c r="G1939">
        <v>1340.0681152</v>
      </c>
      <c r="H1939">
        <v>1338.2568358999999</v>
      </c>
      <c r="I1939">
        <v>1325.8980713000001</v>
      </c>
      <c r="J1939">
        <v>1321.2005615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1280.0000130000001</v>
      </c>
      <c r="B1940" s="1">
        <f>DATE(2013,11,1) + TIME(0,0,1)</f>
        <v>41579.000011574077</v>
      </c>
      <c r="C1940">
        <v>80</v>
      </c>
      <c r="D1940">
        <v>79.967758179</v>
      </c>
      <c r="E1940">
        <v>50</v>
      </c>
      <c r="F1940">
        <v>56.425716399999999</v>
      </c>
      <c r="G1940">
        <v>1339.9820557</v>
      </c>
      <c r="H1940">
        <v>1338.1706543</v>
      </c>
      <c r="I1940">
        <v>1325.9884033000001</v>
      </c>
      <c r="J1940">
        <v>1321.3156738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1280.0000399999999</v>
      </c>
      <c r="B1941" s="1">
        <f>DATE(2013,11,1) + TIME(0,0,3)</f>
        <v>41579.000034722223</v>
      </c>
      <c r="C1941">
        <v>80</v>
      </c>
      <c r="D1941">
        <v>79.966995238999999</v>
      </c>
      <c r="E1941">
        <v>50</v>
      </c>
      <c r="F1941">
        <v>56.426059723000002</v>
      </c>
      <c r="G1941">
        <v>1339.7459716999999</v>
      </c>
      <c r="H1941">
        <v>1337.9344481999999</v>
      </c>
      <c r="I1941">
        <v>1326.2449951000001</v>
      </c>
      <c r="J1941">
        <v>1321.6368408000001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1280.000121</v>
      </c>
      <c r="B1942" s="1">
        <f>DATE(2013,11,1) + TIME(0,0,10)</f>
        <v>41579.000115740739</v>
      </c>
      <c r="C1942">
        <v>80</v>
      </c>
      <c r="D1942">
        <v>79.965187072999996</v>
      </c>
      <c r="E1942">
        <v>50</v>
      </c>
      <c r="F1942">
        <v>56.426815032999997</v>
      </c>
      <c r="G1942">
        <v>1339.1839600000001</v>
      </c>
      <c r="H1942">
        <v>1337.3721923999999</v>
      </c>
      <c r="I1942">
        <v>1326.9089355000001</v>
      </c>
      <c r="J1942">
        <v>1322.434082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1280.000364</v>
      </c>
      <c r="B1943" s="1">
        <f>DATE(2013,11,1) + TIME(0,0,31)</f>
        <v>41579.000358796293</v>
      </c>
      <c r="C1943">
        <v>80</v>
      </c>
      <c r="D1943">
        <v>79.961868285999998</v>
      </c>
      <c r="E1943">
        <v>50</v>
      </c>
      <c r="F1943">
        <v>56.427524566999999</v>
      </c>
      <c r="G1943">
        <v>1338.1566161999999</v>
      </c>
      <c r="H1943">
        <v>1336.3444824000001</v>
      </c>
      <c r="I1943">
        <v>1328.3189697</v>
      </c>
      <c r="J1943">
        <v>1323.9998779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1280.0010930000001</v>
      </c>
      <c r="B1944" s="1">
        <f>DATE(2013,11,1) + TIME(0,1,34)</f>
        <v>41579.001087962963</v>
      </c>
      <c r="C1944">
        <v>80</v>
      </c>
      <c r="D1944">
        <v>79.957435607999997</v>
      </c>
      <c r="E1944">
        <v>50</v>
      </c>
      <c r="F1944">
        <v>56.424514770999998</v>
      </c>
      <c r="G1944">
        <v>1336.7982178</v>
      </c>
      <c r="H1944">
        <v>1334.9841309000001</v>
      </c>
      <c r="I1944">
        <v>1330.5313721</v>
      </c>
      <c r="J1944">
        <v>1326.2512207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1280.0032799999999</v>
      </c>
      <c r="B1945" s="1">
        <f>DATE(2013,11,1) + TIME(0,4,43)</f>
        <v>41579.003275462965</v>
      </c>
      <c r="C1945">
        <v>80</v>
      </c>
      <c r="D1945">
        <v>79.952514648000005</v>
      </c>
      <c r="E1945">
        <v>50</v>
      </c>
      <c r="F1945">
        <v>56.407276154000002</v>
      </c>
      <c r="G1945">
        <v>1335.3455810999999</v>
      </c>
      <c r="H1945">
        <v>1333.5203856999999</v>
      </c>
      <c r="I1945">
        <v>1333.1473389</v>
      </c>
      <c r="J1945">
        <v>1328.8153076000001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1280.0098410000001</v>
      </c>
      <c r="B1946" s="1">
        <f>DATE(2013,11,1) + TIME(0,14,10)</f>
        <v>41579.009837962964</v>
      </c>
      <c r="C1946">
        <v>80</v>
      </c>
      <c r="D1946">
        <v>79.946907042999996</v>
      </c>
      <c r="E1946">
        <v>50</v>
      </c>
      <c r="F1946">
        <v>56.345760345000002</v>
      </c>
      <c r="G1946">
        <v>1333.8529053</v>
      </c>
      <c r="H1946">
        <v>1331.9899902</v>
      </c>
      <c r="I1946">
        <v>1335.8410644999999</v>
      </c>
      <c r="J1946">
        <v>1331.453125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1280.029524</v>
      </c>
      <c r="B1947" s="1">
        <f>DATE(2013,11,1) + TIME(0,42,30)</f>
        <v>41579.029513888891</v>
      </c>
      <c r="C1947">
        <v>80</v>
      </c>
      <c r="D1947">
        <v>79.939300536999994</v>
      </c>
      <c r="E1947">
        <v>50</v>
      </c>
      <c r="F1947">
        <v>56.155094147</v>
      </c>
      <c r="G1947">
        <v>1332.2629394999999</v>
      </c>
      <c r="H1947">
        <v>1330.3198242000001</v>
      </c>
      <c r="I1947">
        <v>1338.5456543</v>
      </c>
      <c r="J1947">
        <v>1334.0958252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1280.0735139999999</v>
      </c>
      <c r="B1948" s="1">
        <f>DATE(2013,11,1) + TIME(1,45,51)</f>
        <v>41579.073506944442</v>
      </c>
      <c r="C1948">
        <v>80</v>
      </c>
      <c r="D1948">
        <v>79.929031371999997</v>
      </c>
      <c r="E1948">
        <v>50</v>
      </c>
      <c r="F1948">
        <v>55.747497559000003</v>
      </c>
      <c r="G1948">
        <v>1330.809082</v>
      </c>
      <c r="H1948">
        <v>1328.7735596</v>
      </c>
      <c r="I1948">
        <v>1340.8118896000001</v>
      </c>
      <c r="J1948">
        <v>1336.2945557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1280.119815</v>
      </c>
      <c r="B1949" s="1">
        <f>DATE(2013,11,1) + TIME(2,52,32)</f>
        <v>41579.119814814818</v>
      </c>
      <c r="C1949">
        <v>80</v>
      </c>
      <c r="D1949">
        <v>79.920288085999999</v>
      </c>
      <c r="E1949">
        <v>50</v>
      </c>
      <c r="F1949">
        <v>55.345542907999999</v>
      </c>
      <c r="G1949">
        <v>1329.9586182</v>
      </c>
      <c r="H1949">
        <v>1327.8699951000001</v>
      </c>
      <c r="I1949">
        <v>1342.0566406</v>
      </c>
      <c r="J1949">
        <v>1337.4953613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1280.168332</v>
      </c>
      <c r="B1950" s="1">
        <f>DATE(2013,11,1) + TIME(4,2,23)</f>
        <v>41579.168321759258</v>
      </c>
      <c r="C1950">
        <v>80</v>
      </c>
      <c r="D1950">
        <v>79.912155150999993</v>
      </c>
      <c r="E1950">
        <v>50</v>
      </c>
      <c r="F1950">
        <v>54.954460144000002</v>
      </c>
      <c r="G1950">
        <v>1329.3908690999999</v>
      </c>
      <c r="H1950">
        <v>1327.2702637</v>
      </c>
      <c r="I1950">
        <v>1342.8508300999999</v>
      </c>
      <c r="J1950">
        <v>1338.2607422000001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1280.21902</v>
      </c>
      <c r="B1951" s="1">
        <f>DATE(2013,11,1) + TIME(5,15,23)</f>
        <v>41579.2190162037</v>
      </c>
      <c r="C1951">
        <v>80</v>
      </c>
      <c r="D1951">
        <v>79.904281616000006</v>
      </c>
      <c r="E1951">
        <v>50</v>
      </c>
      <c r="F1951">
        <v>54.577342987000002</v>
      </c>
      <c r="G1951">
        <v>1328.9838867000001</v>
      </c>
      <c r="H1951">
        <v>1326.8432617000001</v>
      </c>
      <c r="I1951">
        <v>1343.4003906</v>
      </c>
      <c r="J1951">
        <v>1338.7912598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1280.2718689999999</v>
      </c>
      <c r="B1952" s="1">
        <f>DATE(2013,11,1) + TIME(6,31,29)</f>
        <v>41579.271863425929</v>
      </c>
      <c r="C1952">
        <v>80</v>
      </c>
      <c r="D1952">
        <v>79.896507263000004</v>
      </c>
      <c r="E1952">
        <v>50</v>
      </c>
      <c r="F1952">
        <v>54.216079712000003</v>
      </c>
      <c r="G1952">
        <v>1328.6788329999999</v>
      </c>
      <c r="H1952">
        <v>1326.5253906</v>
      </c>
      <c r="I1952">
        <v>1343.7995605000001</v>
      </c>
      <c r="J1952">
        <v>1339.1778564000001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1280.3269849999999</v>
      </c>
      <c r="B1953" s="1">
        <f>DATE(2013,11,1) + TIME(7,50,51)</f>
        <v>41579.326979166668</v>
      </c>
      <c r="C1953">
        <v>80</v>
      </c>
      <c r="D1953">
        <v>79.888732910000002</v>
      </c>
      <c r="E1953">
        <v>50</v>
      </c>
      <c r="F1953">
        <v>53.871311188</v>
      </c>
      <c r="G1953">
        <v>1328.442749</v>
      </c>
      <c r="H1953">
        <v>1326.2806396000001</v>
      </c>
      <c r="I1953">
        <v>1344.098999</v>
      </c>
      <c r="J1953">
        <v>1339.4696045000001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1280.3844939999999</v>
      </c>
      <c r="B1954" s="1">
        <f>DATE(2013,11,1) + TIME(9,13,40)</f>
        <v>41579.38449074074</v>
      </c>
      <c r="C1954">
        <v>80</v>
      </c>
      <c r="D1954">
        <v>79.880889893000003</v>
      </c>
      <c r="E1954">
        <v>50</v>
      </c>
      <c r="F1954">
        <v>53.543334960999999</v>
      </c>
      <c r="G1954">
        <v>1328.2559814000001</v>
      </c>
      <c r="H1954">
        <v>1326.0877685999999</v>
      </c>
      <c r="I1954">
        <v>1344.3283690999999</v>
      </c>
      <c r="J1954">
        <v>1339.6944579999999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1280.4445619999999</v>
      </c>
      <c r="B1955" s="1">
        <f>DATE(2013,11,1) + TIME(10,40,10)</f>
        <v>41579.444560185184</v>
      </c>
      <c r="C1955">
        <v>80</v>
      </c>
      <c r="D1955">
        <v>79.872932434000006</v>
      </c>
      <c r="E1955">
        <v>50</v>
      </c>
      <c r="F1955">
        <v>53.232154846</v>
      </c>
      <c r="G1955">
        <v>1328.1060791</v>
      </c>
      <c r="H1955">
        <v>1325.9333495999999</v>
      </c>
      <c r="I1955">
        <v>1344.5064697</v>
      </c>
      <c r="J1955">
        <v>1339.8702393000001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1280.507394</v>
      </c>
      <c r="B1956" s="1">
        <f>DATE(2013,11,1) + TIME(12,10,38)</f>
        <v>41579.507384259261</v>
      </c>
      <c r="C1956">
        <v>80</v>
      </c>
      <c r="D1956">
        <v>79.864830017000003</v>
      </c>
      <c r="E1956">
        <v>50</v>
      </c>
      <c r="F1956">
        <v>52.937580109000002</v>
      </c>
      <c r="G1956">
        <v>1327.9844971</v>
      </c>
      <c r="H1956">
        <v>1325.8083495999999</v>
      </c>
      <c r="I1956">
        <v>1344.6452637</v>
      </c>
      <c r="J1956">
        <v>1340.0085449000001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1280.573226</v>
      </c>
      <c r="B1957" s="1">
        <f>DATE(2013,11,1) + TIME(13,45,26)</f>
        <v>41579.573217592595</v>
      </c>
      <c r="C1957">
        <v>80</v>
      </c>
      <c r="D1957">
        <v>79.856529236</v>
      </c>
      <c r="E1957">
        <v>50</v>
      </c>
      <c r="F1957">
        <v>52.659351348999998</v>
      </c>
      <c r="G1957">
        <v>1327.8852539</v>
      </c>
      <c r="H1957">
        <v>1325.7064209</v>
      </c>
      <c r="I1957">
        <v>1344.7535399999999</v>
      </c>
      <c r="J1957">
        <v>1340.1174315999999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1280.6423580000001</v>
      </c>
      <c r="B1958" s="1">
        <f>DATE(2013,11,1) + TIME(15,24,59)</f>
        <v>41579.64234953704</v>
      </c>
      <c r="C1958">
        <v>80</v>
      </c>
      <c r="D1958">
        <v>79.847999572999996</v>
      </c>
      <c r="E1958">
        <v>50</v>
      </c>
      <c r="F1958">
        <v>52.397087096999996</v>
      </c>
      <c r="G1958">
        <v>1327.8041992000001</v>
      </c>
      <c r="H1958">
        <v>1325.6231689000001</v>
      </c>
      <c r="I1958">
        <v>1344.8372803</v>
      </c>
      <c r="J1958">
        <v>1340.2028809000001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1280.71514</v>
      </c>
      <c r="B1959" s="1">
        <f>DATE(2013,11,1) + TIME(17,9,48)</f>
        <v>41579.715138888889</v>
      </c>
      <c r="C1959">
        <v>80</v>
      </c>
      <c r="D1959">
        <v>79.839202881000006</v>
      </c>
      <c r="E1959">
        <v>50</v>
      </c>
      <c r="F1959">
        <v>52.150375365999999</v>
      </c>
      <c r="G1959">
        <v>1327.7380370999999</v>
      </c>
      <c r="H1959">
        <v>1325.5550536999999</v>
      </c>
      <c r="I1959">
        <v>1344.9011230000001</v>
      </c>
      <c r="J1959">
        <v>1340.2692870999999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1280.7919790000001</v>
      </c>
      <c r="B1960" s="1">
        <f>DATE(2013,11,1) + TIME(19,0,26)</f>
        <v>41579.791967592595</v>
      </c>
      <c r="C1960">
        <v>80</v>
      </c>
      <c r="D1960">
        <v>79.830093383999994</v>
      </c>
      <c r="E1960">
        <v>50</v>
      </c>
      <c r="F1960">
        <v>51.918834685999997</v>
      </c>
      <c r="G1960">
        <v>1327.684082</v>
      </c>
      <c r="H1960">
        <v>1325.4993896000001</v>
      </c>
      <c r="I1960">
        <v>1344.9486084</v>
      </c>
      <c r="J1960">
        <v>1340.3200684000001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1280.8733580000001</v>
      </c>
      <c r="B1961" s="1">
        <f>DATE(2013,11,1) + TIME(20,57,38)</f>
        <v>41579.873356481483</v>
      </c>
      <c r="C1961">
        <v>80</v>
      </c>
      <c r="D1961">
        <v>79.820632935000006</v>
      </c>
      <c r="E1961">
        <v>50</v>
      </c>
      <c r="F1961">
        <v>51.702072143999999</v>
      </c>
      <c r="G1961">
        <v>1327.6402588000001</v>
      </c>
      <c r="H1961">
        <v>1325.4542236</v>
      </c>
      <c r="I1961">
        <v>1344.9827881000001</v>
      </c>
      <c r="J1961">
        <v>1340.3579102000001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1280.95985</v>
      </c>
      <c r="B1962" s="1">
        <f>DATE(2013,11,1) + TIME(23,2,11)</f>
        <v>41579.959849537037</v>
      </c>
      <c r="C1962">
        <v>80</v>
      </c>
      <c r="D1962">
        <v>79.810760497999993</v>
      </c>
      <c r="E1962">
        <v>50</v>
      </c>
      <c r="F1962">
        <v>51.499729156000001</v>
      </c>
      <c r="G1962">
        <v>1327.6048584</v>
      </c>
      <c r="H1962">
        <v>1325.4174805</v>
      </c>
      <c r="I1962">
        <v>1345.0058594</v>
      </c>
      <c r="J1962">
        <v>1340.3851318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1281.05214</v>
      </c>
      <c r="B1963" s="1">
        <f>DATE(2013,11,2) + TIME(1,15,4)</f>
        <v>41580.052129629628</v>
      </c>
      <c r="C1963">
        <v>80</v>
      </c>
      <c r="D1963">
        <v>79.800407410000005</v>
      </c>
      <c r="E1963">
        <v>50</v>
      </c>
      <c r="F1963">
        <v>51.311450958000002</v>
      </c>
      <c r="G1963">
        <v>1327.5764160000001</v>
      </c>
      <c r="H1963">
        <v>1325.3878173999999</v>
      </c>
      <c r="I1963">
        <v>1345.0197754000001</v>
      </c>
      <c r="J1963">
        <v>1340.4035644999999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1281.151061</v>
      </c>
      <c r="B1964" s="1">
        <f>DATE(2013,11,2) + TIME(3,37,31)</f>
        <v>41580.151053240741</v>
      </c>
      <c r="C1964">
        <v>80</v>
      </c>
      <c r="D1964">
        <v>79.789520264000004</v>
      </c>
      <c r="E1964">
        <v>50</v>
      </c>
      <c r="F1964">
        <v>51.136909484999997</v>
      </c>
      <c r="G1964">
        <v>1327.5537108999999</v>
      </c>
      <c r="H1964">
        <v>1325.3637695</v>
      </c>
      <c r="I1964">
        <v>1345.0262451000001</v>
      </c>
      <c r="J1964">
        <v>1340.4150391000001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1281.2576280000001</v>
      </c>
      <c r="B1965" s="1">
        <f>DATE(2013,11,2) + TIME(6,10,59)</f>
        <v>41580.257627314815</v>
      </c>
      <c r="C1965">
        <v>80</v>
      </c>
      <c r="D1965">
        <v>79.777992248999993</v>
      </c>
      <c r="E1965">
        <v>50</v>
      </c>
      <c r="F1965">
        <v>50.975807189999998</v>
      </c>
      <c r="G1965">
        <v>1327.5355225000001</v>
      </c>
      <c r="H1965">
        <v>1325.3443603999999</v>
      </c>
      <c r="I1965">
        <v>1345.0266113</v>
      </c>
      <c r="J1965">
        <v>1340.4207764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1281.373102</v>
      </c>
      <c r="B1966" s="1">
        <f>DATE(2013,11,2) + TIME(8,57,16)</f>
        <v>41580.373101851852</v>
      </c>
      <c r="C1966">
        <v>80</v>
      </c>
      <c r="D1966">
        <v>79.765731811999999</v>
      </c>
      <c r="E1966">
        <v>50</v>
      </c>
      <c r="F1966">
        <v>50.827854156000001</v>
      </c>
      <c r="G1966">
        <v>1327.520874</v>
      </c>
      <c r="H1966">
        <v>1325.3286132999999</v>
      </c>
      <c r="I1966">
        <v>1345.0222168</v>
      </c>
      <c r="J1966">
        <v>1340.421875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1281.499069</v>
      </c>
      <c r="B1967" s="1">
        <f>DATE(2013,11,2) + TIME(11,58,39)</f>
        <v>41580.499062499999</v>
      </c>
      <c r="C1967">
        <v>80</v>
      </c>
      <c r="D1967">
        <v>79.752609253000003</v>
      </c>
      <c r="E1967">
        <v>50</v>
      </c>
      <c r="F1967">
        <v>50.692794800000001</v>
      </c>
      <c r="G1967">
        <v>1327.5091553</v>
      </c>
      <c r="H1967">
        <v>1325.3154297000001</v>
      </c>
      <c r="I1967">
        <v>1345.0137939000001</v>
      </c>
      <c r="J1967">
        <v>1340.4193115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1281.6375250000001</v>
      </c>
      <c r="B1968" s="1">
        <f>DATE(2013,11,2) + TIME(15,18,2)</f>
        <v>41580.637523148151</v>
      </c>
      <c r="C1968">
        <v>80</v>
      </c>
      <c r="D1968">
        <v>79.738464355000005</v>
      </c>
      <c r="E1968">
        <v>50</v>
      </c>
      <c r="F1968">
        <v>50.570411682</v>
      </c>
      <c r="G1968">
        <v>1327.4993896000001</v>
      </c>
      <c r="H1968">
        <v>1325.3043213000001</v>
      </c>
      <c r="I1968">
        <v>1345.0023193</v>
      </c>
      <c r="J1968">
        <v>1340.4140625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1281.791152</v>
      </c>
      <c r="B1969" s="1">
        <f>DATE(2013,11,2) + TIME(18,59,15)</f>
        <v>41580.791145833333</v>
      </c>
      <c r="C1969">
        <v>80</v>
      </c>
      <c r="D1969">
        <v>79.723091124999996</v>
      </c>
      <c r="E1969">
        <v>50</v>
      </c>
      <c r="F1969">
        <v>50.460449218999997</v>
      </c>
      <c r="G1969">
        <v>1327.4909668</v>
      </c>
      <c r="H1969">
        <v>1325.2943115</v>
      </c>
      <c r="I1969">
        <v>1344.9882812000001</v>
      </c>
      <c r="J1969">
        <v>1340.4067382999999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1281.9510740000001</v>
      </c>
      <c r="B1970" s="1">
        <f>DATE(2013,11,2) + TIME(22,49,32)</f>
        <v>41580.951064814813</v>
      </c>
      <c r="C1970">
        <v>80</v>
      </c>
      <c r="D1970">
        <v>79.707244872999993</v>
      </c>
      <c r="E1970">
        <v>50</v>
      </c>
      <c r="F1970">
        <v>50.368370056000003</v>
      </c>
      <c r="G1970">
        <v>1327.4836425999999</v>
      </c>
      <c r="H1970">
        <v>1325.2852783000001</v>
      </c>
      <c r="I1970">
        <v>1344.973999</v>
      </c>
      <c r="J1970">
        <v>1340.3988036999999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1282.1164920000001</v>
      </c>
      <c r="B1971" s="1">
        <f>DATE(2013,11,3) + TIME(2,47,44)</f>
        <v>41581.116481481484</v>
      </c>
      <c r="C1971">
        <v>80</v>
      </c>
      <c r="D1971">
        <v>79.691001892000003</v>
      </c>
      <c r="E1971">
        <v>50</v>
      </c>
      <c r="F1971">
        <v>50.292186737000002</v>
      </c>
      <c r="G1971">
        <v>1327.4769286999999</v>
      </c>
      <c r="H1971">
        <v>1325.2768555</v>
      </c>
      <c r="I1971">
        <v>1344.9592285000001</v>
      </c>
      <c r="J1971">
        <v>1340.3905029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1282.2877590000001</v>
      </c>
      <c r="B1972" s="1">
        <f>DATE(2013,11,3) + TIME(6,54,22)</f>
        <v>41581.287754629629</v>
      </c>
      <c r="C1972">
        <v>80</v>
      </c>
      <c r="D1972">
        <v>79.674339294000006</v>
      </c>
      <c r="E1972">
        <v>50</v>
      </c>
      <c r="F1972">
        <v>50.229473114000001</v>
      </c>
      <c r="G1972">
        <v>1327.4707031</v>
      </c>
      <c r="H1972">
        <v>1325.2685547000001</v>
      </c>
      <c r="I1972">
        <v>1344.9445800999999</v>
      </c>
      <c r="J1972">
        <v>1340.3820800999999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1282.4652169999999</v>
      </c>
      <c r="B1973" s="1">
        <f>DATE(2013,11,3) + TIME(11,9,54)</f>
        <v>41581.465208333335</v>
      </c>
      <c r="C1973">
        <v>80</v>
      </c>
      <c r="D1973">
        <v>79.657218932999996</v>
      </c>
      <c r="E1973">
        <v>50</v>
      </c>
      <c r="F1973">
        <v>50.178142547999997</v>
      </c>
      <c r="G1973">
        <v>1327.4644774999999</v>
      </c>
      <c r="H1973">
        <v>1325.260376</v>
      </c>
      <c r="I1973">
        <v>1344.9301757999999</v>
      </c>
      <c r="J1973">
        <v>1340.3739014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1282.64924</v>
      </c>
      <c r="B1974" s="1">
        <f>DATE(2013,11,3) + TIME(15,34,54)</f>
        <v>41581.649236111109</v>
      </c>
      <c r="C1974">
        <v>80</v>
      </c>
      <c r="D1974">
        <v>79.639625549000002</v>
      </c>
      <c r="E1974">
        <v>50</v>
      </c>
      <c r="F1974">
        <v>50.136375426999997</v>
      </c>
      <c r="G1974">
        <v>1327.4582519999999</v>
      </c>
      <c r="H1974">
        <v>1325.2518310999999</v>
      </c>
      <c r="I1974">
        <v>1344.9161377</v>
      </c>
      <c r="J1974">
        <v>1340.3658447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1282.840236</v>
      </c>
      <c r="B1975" s="1">
        <f>DATE(2013,11,3) + TIME(20,9,56)</f>
        <v>41581.840231481481</v>
      </c>
      <c r="C1975">
        <v>80</v>
      </c>
      <c r="D1975">
        <v>79.621520996000001</v>
      </c>
      <c r="E1975">
        <v>50</v>
      </c>
      <c r="F1975">
        <v>50.102607726999999</v>
      </c>
      <c r="G1975">
        <v>1327.4517822</v>
      </c>
      <c r="H1975">
        <v>1325.2431641000001</v>
      </c>
      <c r="I1975">
        <v>1344.9023437999999</v>
      </c>
      <c r="J1975">
        <v>1340.3581543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1283.0386430000001</v>
      </c>
      <c r="B1976" s="1">
        <f>DATE(2013,11,4) + TIME(0,55,38)</f>
        <v>41582.038634259261</v>
      </c>
      <c r="C1976">
        <v>80</v>
      </c>
      <c r="D1976">
        <v>79.602882385000001</v>
      </c>
      <c r="E1976">
        <v>50</v>
      </c>
      <c r="F1976">
        <v>50.075485229000002</v>
      </c>
      <c r="G1976">
        <v>1327.4450684000001</v>
      </c>
      <c r="H1976">
        <v>1325.2340088000001</v>
      </c>
      <c r="I1976">
        <v>1344.8890381000001</v>
      </c>
      <c r="J1976">
        <v>1340.3507079999999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1283.244938</v>
      </c>
      <c r="B1977" s="1">
        <f>DATE(2013,11,4) + TIME(5,52,42)</f>
        <v>41582.244930555556</v>
      </c>
      <c r="C1977">
        <v>80</v>
      </c>
      <c r="D1977">
        <v>79.583663939999994</v>
      </c>
      <c r="E1977">
        <v>50</v>
      </c>
      <c r="F1977">
        <v>50.053855896000002</v>
      </c>
      <c r="G1977">
        <v>1327.4379882999999</v>
      </c>
      <c r="H1977">
        <v>1325.2243652</v>
      </c>
      <c r="I1977">
        <v>1344.8760986</v>
      </c>
      <c r="J1977">
        <v>1340.3435059000001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1283.45751</v>
      </c>
      <c r="B1978" s="1">
        <f>DATE(2013,11,4) + TIME(10,58,48)</f>
        <v>41582.457499999997</v>
      </c>
      <c r="C1978">
        <v>80</v>
      </c>
      <c r="D1978">
        <v>79.564002990999995</v>
      </c>
      <c r="E1978">
        <v>50</v>
      </c>
      <c r="F1978">
        <v>50.036861420000001</v>
      </c>
      <c r="G1978">
        <v>1327.4306641000001</v>
      </c>
      <c r="H1978">
        <v>1325.2142334</v>
      </c>
      <c r="I1978">
        <v>1344.8635254000001</v>
      </c>
      <c r="J1978">
        <v>1340.3366699000001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1283.6746760000001</v>
      </c>
      <c r="B1979" s="1">
        <f>DATE(2013,11,4) + TIME(16,11,31)</f>
        <v>41582.674664351849</v>
      </c>
      <c r="C1979">
        <v>80</v>
      </c>
      <c r="D1979">
        <v>79.544029236</v>
      </c>
      <c r="E1979">
        <v>50</v>
      </c>
      <c r="F1979">
        <v>50.023677825999997</v>
      </c>
      <c r="G1979">
        <v>1327.4229736</v>
      </c>
      <c r="H1979">
        <v>1325.2036132999999</v>
      </c>
      <c r="I1979">
        <v>1344.8513184000001</v>
      </c>
      <c r="J1979">
        <v>1340.3300781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1283.8945269999999</v>
      </c>
      <c r="B1980" s="1">
        <f>DATE(2013,11,4) + TIME(21,28,7)</f>
        <v>41582.894525462965</v>
      </c>
      <c r="C1980">
        <v>80</v>
      </c>
      <c r="D1980">
        <v>79.523880004999995</v>
      </c>
      <c r="E1980">
        <v>50</v>
      </c>
      <c r="F1980">
        <v>50.013557433999999</v>
      </c>
      <c r="G1980">
        <v>1327.4151611</v>
      </c>
      <c r="H1980">
        <v>1325.192749</v>
      </c>
      <c r="I1980">
        <v>1344.8397216999999</v>
      </c>
      <c r="J1980">
        <v>1340.3238524999999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1284.117538</v>
      </c>
      <c r="B1981" s="1">
        <f>DATE(2013,11,5) + TIME(2,49,15)</f>
        <v>41583.117534722223</v>
      </c>
      <c r="C1981">
        <v>80</v>
      </c>
      <c r="D1981">
        <v>79.503540039000001</v>
      </c>
      <c r="E1981">
        <v>50</v>
      </c>
      <c r="F1981">
        <v>50.005786895999996</v>
      </c>
      <c r="G1981">
        <v>1327.4069824000001</v>
      </c>
      <c r="H1981">
        <v>1325.1815185999999</v>
      </c>
      <c r="I1981">
        <v>1344.8284911999999</v>
      </c>
      <c r="J1981">
        <v>1340.3178711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1284.3441580000001</v>
      </c>
      <c r="B1982" s="1">
        <f>DATE(2013,11,5) + TIME(8,15,35)</f>
        <v>41583.344155092593</v>
      </c>
      <c r="C1982">
        <v>80</v>
      </c>
      <c r="D1982">
        <v>79.482994079999997</v>
      </c>
      <c r="E1982">
        <v>50</v>
      </c>
      <c r="F1982">
        <v>49.999828338999997</v>
      </c>
      <c r="G1982">
        <v>1327.3986815999999</v>
      </c>
      <c r="H1982">
        <v>1325.1700439000001</v>
      </c>
      <c r="I1982">
        <v>1344.8178711</v>
      </c>
      <c r="J1982">
        <v>1340.3121338000001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1284.5748390000001</v>
      </c>
      <c r="B1983" s="1">
        <f>DATE(2013,11,5) + TIME(13,47,46)</f>
        <v>41583.574837962966</v>
      </c>
      <c r="C1983">
        <v>80</v>
      </c>
      <c r="D1983">
        <v>79.462203978999995</v>
      </c>
      <c r="E1983">
        <v>50</v>
      </c>
      <c r="F1983">
        <v>49.995258331000002</v>
      </c>
      <c r="G1983">
        <v>1327.3901367000001</v>
      </c>
      <c r="H1983">
        <v>1325.1582031</v>
      </c>
      <c r="I1983">
        <v>1344.8074951000001</v>
      </c>
      <c r="J1983">
        <v>1340.3066406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1284.8099500000001</v>
      </c>
      <c r="B1984" s="1">
        <f>DATE(2013,11,5) + TIME(19,26,19)</f>
        <v>41583.809942129628</v>
      </c>
      <c r="C1984">
        <v>80</v>
      </c>
      <c r="D1984">
        <v>79.441154479999994</v>
      </c>
      <c r="E1984">
        <v>50</v>
      </c>
      <c r="F1984">
        <v>49.991760253999999</v>
      </c>
      <c r="G1984">
        <v>1327.3813477000001</v>
      </c>
      <c r="H1984">
        <v>1325.1459961</v>
      </c>
      <c r="I1984">
        <v>1344.7973632999999</v>
      </c>
      <c r="J1984">
        <v>1340.3012695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1285.049927</v>
      </c>
      <c r="B1985" s="1">
        <f>DATE(2013,11,6) + TIME(1,11,53)</f>
        <v>41584.04991898148</v>
      </c>
      <c r="C1985">
        <v>80</v>
      </c>
      <c r="D1985">
        <v>79.419822693</v>
      </c>
      <c r="E1985">
        <v>50</v>
      </c>
      <c r="F1985">
        <v>49.989086151000002</v>
      </c>
      <c r="G1985">
        <v>1327.3723144999999</v>
      </c>
      <c r="H1985">
        <v>1325.1334228999999</v>
      </c>
      <c r="I1985">
        <v>1344.7875977000001</v>
      </c>
      <c r="J1985">
        <v>1340.2961425999999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1285.2953110000001</v>
      </c>
      <c r="B1986" s="1">
        <f>DATE(2013,11,6) + TIME(7,5,14)</f>
        <v>41584.295300925929</v>
      </c>
      <c r="C1986">
        <v>80</v>
      </c>
      <c r="D1986">
        <v>79.398178100999999</v>
      </c>
      <c r="E1986">
        <v>50</v>
      </c>
      <c r="F1986">
        <v>49.987041472999998</v>
      </c>
      <c r="G1986">
        <v>1327.3630370999999</v>
      </c>
      <c r="H1986">
        <v>1325.1204834</v>
      </c>
      <c r="I1986">
        <v>1344.7781981999999</v>
      </c>
      <c r="J1986">
        <v>1340.2911377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1285.5465770000001</v>
      </c>
      <c r="B1987" s="1">
        <f>DATE(2013,11,6) + TIME(13,7,4)</f>
        <v>41584.546574074076</v>
      </c>
      <c r="C1987">
        <v>80</v>
      </c>
      <c r="D1987">
        <v>79.376174926999994</v>
      </c>
      <c r="E1987">
        <v>50</v>
      </c>
      <c r="F1987">
        <v>49.985481262</v>
      </c>
      <c r="G1987">
        <v>1327.3535156</v>
      </c>
      <c r="H1987">
        <v>1325.1071777</v>
      </c>
      <c r="I1987">
        <v>1344.7687988</v>
      </c>
      <c r="J1987">
        <v>1340.2862548999999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1285.8042129999999</v>
      </c>
      <c r="B1988" s="1">
        <f>DATE(2013,11,6) + TIME(19,18,4)</f>
        <v>41584.804212962961</v>
      </c>
      <c r="C1988">
        <v>80</v>
      </c>
      <c r="D1988">
        <v>79.353790282999995</v>
      </c>
      <c r="E1988">
        <v>50</v>
      </c>
      <c r="F1988">
        <v>49.984291077000002</v>
      </c>
      <c r="G1988">
        <v>1327.3436279</v>
      </c>
      <c r="H1988">
        <v>1325.0933838000001</v>
      </c>
      <c r="I1988">
        <v>1344.7597656</v>
      </c>
      <c r="J1988">
        <v>1340.2813721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1286.068732</v>
      </c>
      <c r="B1989" s="1">
        <f>DATE(2013,11,7) + TIME(1,38,58)</f>
        <v>41585.068726851852</v>
      </c>
      <c r="C1989">
        <v>80</v>
      </c>
      <c r="D1989">
        <v>79.330993652000004</v>
      </c>
      <c r="E1989">
        <v>50</v>
      </c>
      <c r="F1989">
        <v>49.983383179</v>
      </c>
      <c r="G1989">
        <v>1327.3334961</v>
      </c>
      <c r="H1989">
        <v>1325.0792236</v>
      </c>
      <c r="I1989">
        <v>1344.7508545000001</v>
      </c>
      <c r="J1989">
        <v>1340.2766113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1286.3406480000001</v>
      </c>
      <c r="B1990" s="1">
        <f>DATE(2013,11,7) + TIME(8,10,32)</f>
        <v>41585.340648148151</v>
      </c>
      <c r="C1990">
        <v>80</v>
      </c>
      <c r="D1990">
        <v>79.307754517000006</v>
      </c>
      <c r="E1990">
        <v>50</v>
      </c>
      <c r="F1990">
        <v>49.982692718999999</v>
      </c>
      <c r="G1990">
        <v>1327.3229980000001</v>
      </c>
      <c r="H1990">
        <v>1325.0645752</v>
      </c>
      <c r="I1990">
        <v>1344.7419434000001</v>
      </c>
      <c r="J1990">
        <v>1340.2719727000001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1286.6205319999999</v>
      </c>
      <c r="B1991" s="1">
        <f>DATE(2013,11,7) + TIME(14,53,33)</f>
        <v>41585.620520833334</v>
      </c>
      <c r="C1991">
        <v>80</v>
      </c>
      <c r="D1991">
        <v>79.284027100000003</v>
      </c>
      <c r="E1991">
        <v>50</v>
      </c>
      <c r="F1991">
        <v>49.982166290000002</v>
      </c>
      <c r="G1991">
        <v>1327.3121338000001</v>
      </c>
      <c r="H1991">
        <v>1325.0494385</v>
      </c>
      <c r="I1991">
        <v>1344.7332764</v>
      </c>
      <c r="J1991">
        <v>1340.2673339999999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1286.9089839999999</v>
      </c>
      <c r="B1992" s="1">
        <f>DATE(2013,11,7) + TIME(21,48,56)</f>
        <v>41585.90898148148</v>
      </c>
      <c r="C1992">
        <v>80</v>
      </c>
      <c r="D1992">
        <v>79.259780883999994</v>
      </c>
      <c r="E1992">
        <v>50</v>
      </c>
      <c r="F1992">
        <v>49.981761931999998</v>
      </c>
      <c r="G1992">
        <v>1327.3009033000001</v>
      </c>
      <c r="H1992">
        <v>1325.0336914</v>
      </c>
      <c r="I1992">
        <v>1344.7247314000001</v>
      </c>
      <c r="J1992">
        <v>1340.2628173999999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1287.2066500000001</v>
      </c>
      <c r="B1993" s="1">
        <f>DATE(2013,11,8) + TIME(4,57,34)</f>
        <v>41586.206643518519</v>
      </c>
      <c r="C1993">
        <v>80</v>
      </c>
      <c r="D1993">
        <v>79.234970093000001</v>
      </c>
      <c r="E1993">
        <v>50</v>
      </c>
      <c r="F1993">
        <v>49.981452941999997</v>
      </c>
      <c r="G1993">
        <v>1327.2893065999999</v>
      </c>
      <c r="H1993">
        <v>1325.0174560999999</v>
      </c>
      <c r="I1993">
        <v>1344.7161865</v>
      </c>
      <c r="J1993">
        <v>1340.2583007999999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1287.5142060000001</v>
      </c>
      <c r="B1994" s="1">
        <f>DATE(2013,11,8) + TIME(12,20,27)</f>
        <v>41586.514201388891</v>
      </c>
      <c r="C1994">
        <v>80</v>
      </c>
      <c r="D1994">
        <v>79.209556579999997</v>
      </c>
      <c r="E1994">
        <v>50</v>
      </c>
      <c r="F1994">
        <v>49.981212616000001</v>
      </c>
      <c r="G1994">
        <v>1327.2773437999999</v>
      </c>
      <c r="H1994">
        <v>1325.0006103999999</v>
      </c>
      <c r="I1994">
        <v>1344.7077637</v>
      </c>
      <c r="J1994">
        <v>1340.2537841999999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1287.8323310000001</v>
      </c>
      <c r="B1995" s="1">
        <f>DATE(2013,11,8) + TIME(19,58,33)</f>
        <v>41586.832326388889</v>
      </c>
      <c r="C1995">
        <v>80</v>
      </c>
      <c r="D1995">
        <v>79.183494568</v>
      </c>
      <c r="E1995">
        <v>50</v>
      </c>
      <c r="F1995">
        <v>49.981029509999999</v>
      </c>
      <c r="G1995">
        <v>1327.2647704999999</v>
      </c>
      <c r="H1995">
        <v>1324.9831543</v>
      </c>
      <c r="I1995">
        <v>1344.6993408000001</v>
      </c>
      <c r="J1995">
        <v>1340.2492675999999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1288.161971</v>
      </c>
      <c r="B1996" s="1">
        <f>DATE(2013,11,9) + TIME(3,53,14)</f>
        <v>41587.16196759259</v>
      </c>
      <c r="C1996">
        <v>80</v>
      </c>
      <c r="D1996">
        <v>79.156738281000003</v>
      </c>
      <c r="E1996">
        <v>50</v>
      </c>
      <c r="F1996">
        <v>49.980884551999999</v>
      </c>
      <c r="G1996">
        <v>1327.2518310999999</v>
      </c>
      <c r="H1996">
        <v>1324.9649658000001</v>
      </c>
      <c r="I1996">
        <v>1344.6910399999999</v>
      </c>
      <c r="J1996">
        <v>1340.2448730000001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1288.5040409999999</v>
      </c>
      <c r="B1997" s="1">
        <f>DATE(2013,11,9) + TIME(12,5,49)</f>
        <v>41587.50403935185</v>
      </c>
      <c r="C1997">
        <v>80</v>
      </c>
      <c r="D1997">
        <v>79.129219054999993</v>
      </c>
      <c r="E1997">
        <v>50</v>
      </c>
      <c r="F1997">
        <v>49.980770110999998</v>
      </c>
      <c r="G1997">
        <v>1327.2384033000001</v>
      </c>
      <c r="H1997">
        <v>1324.9460449000001</v>
      </c>
      <c r="I1997">
        <v>1344.6827393000001</v>
      </c>
      <c r="J1997">
        <v>1340.2403564000001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1288.859549</v>
      </c>
      <c r="B1998" s="1">
        <f>DATE(2013,11,9) + TIME(20,37,45)</f>
        <v>41587.859548611108</v>
      </c>
      <c r="C1998">
        <v>80</v>
      </c>
      <c r="D1998">
        <v>79.100891113000003</v>
      </c>
      <c r="E1998">
        <v>50</v>
      </c>
      <c r="F1998">
        <v>49.980678558000001</v>
      </c>
      <c r="G1998">
        <v>1327.2243652</v>
      </c>
      <c r="H1998">
        <v>1324.9263916</v>
      </c>
      <c r="I1998">
        <v>1344.6743164</v>
      </c>
      <c r="J1998">
        <v>1340.2359618999999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1289.229603</v>
      </c>
      <c r="B1999" s="1">
        <f>DATE(2013,11,10) + TIME(5,30,37)</f>
        <v>41588.229594907411</v>
      </c>
      <c r="C1999">
        <v>80</v>
      </c>
      <c r="D1999">
        <v>79.071678161999998</v>
      </c>
      <c r="E1999">
        <v>50</v>
      </c>
      <c r="F1999">
        <v>49.980602263999998</v>
      </c>
      <c r="G1999">
        <v>1327.2097168</v>
      </c>
      <c r="H1999">
        <v>1324.9057617000001</v>
      </c>
      <c r="I1999">
        <v>1344.6660156</v>
      </c>
      <c r="J1999">
        <v>1340.2314452999999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1289.6154320000001</v>
      </c>
      <c r="B2000" s="1">
        <f>DATE(2013,11,10) + TIME(14,46,13)</f>
        <v>41588.615428240744</v>
      </c>
      <c r="C2000">
        <v>80</v>
      </c>
      <c r="D2000">
        <v>79.041526794000006</v>
      </c>
      <c r="E2000">
        <v>50</v>
      </c>
      <c r="F2000">
        <v>49.980541229000004</v>
      </c>
      <c r="G2000">
        <v>1327.1944579999999</v>
      </c>
      <c r="H2000">
        <v>1324.8843993999999</v>
      </c>
      <c r="I2000">
        <v>1344.6577147999999</v>
      </c>
      <c r="J2000">
        <v>1340.2270507999999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1290.0183999999999</v>
      </c>
      <c r="B2001" s="1">
        <f>DATE(2013,11,11) + TIME(0,26,29)</f>
        <v>41589.018391203703</v>
      </c>
      <c r="C2001">
        <v>80</v>
      </c>
      <c r="D2001">
        <v>79.010337829999997</v>
      </c>
      <c r="E2001">
        <v>50</v>
      </c>
      <c r="F2001">
        <v>49.980491637999997</v>
      </c>
      <c r="G2001">
        <v>1327.1784668</v>
      </c>
      <c r="H2001">
        <v>1324.8619385</v>
      </c>
      <c r="I2001">
        <v>1344.6492920000001</v>
      </c>
      <c r="J2001">
        <v>1340.2225341999999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1290.4400310000001</v>
      </c>
      <c r="B2002" s="1">
        <f>DATE(2013,11,11) + TIME(10,33,38)</f>
        <v>41589.440023148149</v>
      </c>
      <c r="C2002">
        <v>80</v>
      </c>
      <c r="D2002">
        <v>78.978042603000006</v>
      </c>
      <c r="E2002">
        <v>50</v>
      </c>
      <c r="F2002">
        <v>49.980449677000003</v>
      </c>
      <c r="G2002">
        <v>1327.1617432</v>
      </c>
      <c r="H2002">
        <v>1324.8383789</v>
      </c>
      <c r="I2002">
        <v>1344.6408690999999</v>
      </c>
      <c r="J2002">
        <v>1340.2180175999999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1290.8820310000001</v>
      </c>
      <c r="B2003" s="1">
        <f>DATE(2013,11,11) + TIME(21,10,7)</f>
        <v>41589.882025462961</v>
      </c>
      <c r="C2003">
        <v>80</v>
      </c>
      <c r="D2003">
        <v>78.944549561000002</v>
      </c>
      <c r="E2003">
        <v>50</v>
      </c>
      <c r="F2003">
        <v>49.980411529999998</v>
      </c>
      <c r="G2003">
        <v>1327.1441649999999</v>
      </c>
      <c r="H2003">
        <v>1324.8137207</v>
      </c>
      <c r="I2003">
        <v>1344.6324463000001</v>
      </c>
      <c r="J2003">
        <v>1340.213501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1291.345462</v>
      </c>
      <c r="B2004" s="1">
        <f>DATE(2013,11,12) + TIME(8,17,27)</f>
        <v>41590.345451388886</v>
      </c>
      <c r="C2004">
        <v>80</v>
      </c>
      <c r="D2004">
        <v>78.909797667999996</v>
      </c>
      <c r="E2004">
        <v>50</v>
      </c>
      <c r="F2004">
        <v>49.980381012000002</v>
      </c>
      <c r="G2004">
        <v>1327.1257324000001</v>
      </c>
      <c r="H2004">
        <v>1324.7878418</v>
      </c>
      <c r="I2004">
        <v>1344.6239014</v>
      </c>
      <c r="J2004">
        <v>1340.2088623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1291.8283489999999</v>
      </c>
      <c r="B2005" s="1">
        <f>DATE(2013,11,12) + TIME(19,52,49)</f>
        <v>41590.828344907408</v>
      </c>
      <c r="C2005">
        <v>80</v>
      </c>
      <c r="D2005">
        <v>78.873863220000004</v>
      </c>
      <c r="E2005">
        <v>50</v>
      </c>
      <c r="F2005">
        <v>49.980354308999999</v>
      </c>
      <c r="G2005">
        <v>1327.1064452999999</v>
      </c>
      <c r="H2005">
        <v>1324.7607422000001</v>
      </c>
      <c r="I2005">
        <v>1344.6152344</v>
      </c>
      <c r="J2005">
        <v>1340.2042236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1292.3292100000001</v>
      </c>
      <c r="B2006" s="1">
        <f>DATE(2013,11,13) + TIME(7,54,3)</f>
        <v>41591.329201388886</v>
      </c>
      <c r="C2006">
        <v>80</v>
      </c>
      <c r="D2006">
        <v>78.836845397999994</v>
      </c>
      <c r="E2006">
        <v>50</v>
      </c>
      <c r="F2006">
        <v>49.980327606000003</v>
      </c>
      <c r="G2006">
        <v>1327.0863036999999</v>
      </c>
      <c r="H2006">
        <v>1324.7324219</v>
      </c>
      <c r="I2006">
        <v>1344.6065673999999</v>
      </c>
      <c r="J2006">
        <v>1340.1995850000001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1292.836916</v>
      </c>
      <c r="B2007" s="1">
        <f>DATE(2013,11,13) + TIME(20,5,9)</f>
        <v>41591.836909722224</v>
      </c>
      <c r="C2007">
        <v>80</v>
      </c>
      <c r="D2007">
        <v>78.799301146999994</v>
      </c>
      <c r="E2007">
        <v>50</v>
      </c>
      <c r="F2007">
        <v>49.980308532999999</v>
      </c>
      <c r="G2007">
        <v>1327.0654297000001</v>
      </c>
      <c r="H2007">
        <v>1324.7030029</v>
      </c>
      <c r="I2007">
        <v>1344.5980225000001</v>
      </c>
      <c r="J2007">
        <v>1340.1949463000001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1293.3526629999999</v>
      </c>
      <c r="B2008" s="1">
        <f>DATE(2013,11,14) + TIME(8,27,50)</f>
        <v>41592.352662037039</v>
      </c>
      <c r="C2008">
        <v>80</v>
      </c>
      <c r="D2008">
        <v>78.761314392000003</v>
      </c>
      <c r="E2008">
        <v>50</v>
      </c>
      <c r="F2008">
        <v>49.980289458999998</v>
      </c>
      <c r="G2008">
        <v>1327.0440673999999</v>
      </c>
      <c r="H2008">
        <v>1324.6729736</v>
      </c>
      <c r="I2008">
        <v>1344.5895995999999</v>
      </c>
      <c r="J2008">
        <v>1340.1905518000001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1293.8775109999999</v>
      </c>
      <c r="B2009" s="1">
        <f>DATE(2013,11,14) + TIME(21,3,36)</f>
        <v>41592.877500000002</v>
      </c>
      <c r="C2009">
        <v>80</v>
      </c>
      <c r="D2009">
        <v>78.722915649000001</v>
      </c>
      <c r="E2009">
        <v>50</v>
      </c>
      <c r="F2009">
        <v>49.980270386000001</v>
      </c>
      <c r="G2009">
        <v>1327.0223389</v>
      </c>
      <c r="H2009">
        <v>1324.6423339999999</v>
      </c>
      <c r="I2009">
        <v>1344.5814209</v>
      </c>
      <c r="J2009">
        <v>1340.1861572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1294.4125590000001</v>
      </c>
      <c r="B2010" s="1">
        <f>DATE(2013,11,15) + TIME(9,54,5)</f>
        <v>41593.412557870368</v>
      </c>
      <c r="C2010">
        <v>80</v>
      </c>
      <c r="D2010">
        <v>78.684104919000006</v>
      </c>
      <c r="E2010">
        <v>50</v>
      </c>
      <c r="F2010">
        <v>49.980255127</v>
      </c>
      <c r="G2010">
        <v>1327.0001221</v>
      </c>
      <c r="H2010">
        <v>1324.6112060999999</v>
      </c>
      <c r="I2010">
        <v>1344.5733643000001</v>
      </c>
      <c r="J2010">
        <v>1340.1817627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1294.958938</v>
      </c>
      <c r="B2011" s="1">
        <f>DATE(2013,11,15) + TIME(23,0,52)</f>
        <v>41593.958935185183</v>
      </c>
      <c r="C2011">
        <v>80</v>
      </c>
      <c r="D2011">
        <v>78.644859314000001</v>
      </c>
      <c r="E2011">
        <v>50</v>
      </c>
      <c r="F2011">
        <v>49.980239867999998</v>
      </c>
      <c r="G2011">
        <v>1326.9775391000001</v>
      </c>
      <c r="H2011">
        <v>1324.5793457</v>
      </c>
      <c r="I2011">
        <v>1344.5654297000001</v>
      </c>
      <c r="J2011">
        <v>1340.1776123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1295.5178089999999</v>
      </c>
      <c r="B2012" s="1">
        <f>DATE(2013,11,16) + TIME(12,25,38)</f>
        <v>41594.517800925925</v>
      </c>
      <c r="C2012">
        <v>80</v>
      </c>
      <c r="D2012">
        <v>78.605140685999999</v>
      </c>
      <c r="E2012">
        <v>50</v>
      </c>
      <c r="F2012">
        <v>49.980228424000003</v>
      </c>
      <c r="G2012">
        <v>1326.9544678</v>
      </c>
      <c r="H2012">
        <v>1324.546875</v>
      </c>
      <c r="I2012">
        <v>1344.5576172000001</v>
      </c>
      <c r="J2012">
        <v>1340.1734618999999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1296.0903989999999</v>
      </c>
      <c r="B2013" s="1">
        <f>DATE(2013,11,17) + TIME(2,10,10)</f>
        <v>41595.09039351852</v>
      </c>
      <c r="C2013">
        <v>80</v>
      </c>
      <c r="D2013">
        <v>78.564887999999996</v>
      </c>
      <c r="E2013">
        <v>50</v>
      </c>
      <c r="F2013">
        <v>49.980213165000002</v>
      </c>
      <c r="G2013">
        <v>1326.9307861</v>
      </c>
      <c r="H2013">
        <v>1324.5135498</v>
      </c>
      <c r="I2013">
        <v>1344.5499268000001</v>
      </c>
      <c r="J2013">
        <v>1340.1693115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1296.6780040000001</v>
      </c>
      <c r="B2014" s="1">
        <f>DATE(2013,11,17) + TIME(16,16,19)</f>
        <v>41595.677997685183</v>
      </c>
      <c r="C2014">
        <v>80</v>
      </c>
      <c r="D2014">
        <v>78.524047851999995</v>
      </c>
      <c r="E2014">
        <v>50</v>
      </c>
      <c r="F2014">
        <v>49.980201721</v>
      </c>
      <c r="G2014">
        <v>1326.9066161999999</v>
      </c>
      <c r="H2014">
        <v>1324.4794922000001</v>
      </c>
      <c r="I2014">
        <v>1344.5423584</v>
      </c>
      <c r="J2014">
        <v>1340.1652832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1297.28199</v>
      </c>
      <c r="B2015" s="1">
        <f>DATE(2013,11,18) + TIME(6,46,3)</f>
        <v>41596.28197916667</v>
      </c>
      <c r="C2015">
        <v>80</v>
      </c>
      <c r="D2015">
        <v>78.482559203999998</v>
      </c>
      <c r="E2015">
        <v>50</v>
      </c>
      <c r="F2015">
        <v>49.980190276999998</v>
      </c>
      <c r="G2015">
        <v>1326.8818358999999</v>
      </c>
      <c r="H2015">
        <v>1324.4445800999999</v>
      </c>
      <c r="I2015">
        <v>1344.5349120999999</v>
      </c>
      <c r="J2015">
        <v>1340.1613769999999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1297.9035940000001</v>
      </c>
      <c r="B2016" s="1">
        <f>DATE(2013,11,18) + TIME(21,41,10)</f>
        <v>41596.903587962966</v>
      </c>
      <c r="C2016">
        <v>80</v>
      </c>
      <c r="D2016">
        <v>78.440353393999999</v>
      </c>
      <c r="E2016">
        <v>50</v>
      </c>
      <c r="F2016">
        <v>49.980178832999997</v>
      </c>
      <c r="G2016">
        <v>1326.8563231999999</v>
      </c>
      <c r="H2016">
        <v>1324.4086914</v>
      </c>
      <c r="I2016">
        <v>1344.5274658000001</v>
      </c>
      <c r="J2016">
        <v>1340.1573486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1298.544498</v>
      </c>
      <c r="B2017" s="1">
        <f>DATE(2013,11,19) + TIME(13,4,4)</f>
        <v>41597.544490740744</v>
      </c>
      <c r="C2017">
        <v>80</v>
      </c>
      <c r="D2017">
        <v>78.397361755000006</v>
      </c>
      <c r="E2017">
        <v>50</v>
      </c>
      <c r="F2017">
        <v>49.980171204000001</v>
      </c>
      <c r="G2017">
        <v>1326.8300781</v>
      </c>
      <c r="H2017">
        <v>1324.3718262</v>
      </c>
      <c r="I2017">
        <v>1344.5200195</v>
      </c>
      <c r="J2017">
        <v>1340.1534423999999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1299.2064620000001</v>
      </c>
      <c r="B2018" s="1">
        <f>DATE(2013,11,20) + TIME(4,57,18)</f>
        <v>41598.206458333334</v>
      </c>
      <c r="C2018">
        <v>80</v>
      </c>
      <c r="D2018">
        <v>78.353500366000006</v>
      </c>
      <c r="E2018">
        <v>50</v>
      </c>
      <c r="F2018">
        <v>49.980159759999999</v>
      </c>
      <c r="G2018">
        <v>1326.8031006000001</v>
      </c>
      <c r="H2018">
        <v>1324.3338623</v>
      </c>
      <c r="I2018">
        <v>1344.5126952999999</v>
      </c>
      <c r="J2018">
        <v>1340.1495361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1299.8913419999999</v>
      </c>
      <c r="B2019" s="1">
        <f>DATE(2013,11,20) + TIME(21,23,31)</f>
        <v>41598.891331018516</v>
      </c>
      <c r="C2019">
        <v>80</v>
      </c>
      <c r="D2019">
        <v>78.308692932</v>
      </c>
      <c r="E2019">
        <v>50</v>
      </c>
      <c r="F2019">
        <v>49.980148315000001</v>
      </c>
      <c r="G2019">
        <v>1326.7753906</v>
      </c>
      <c r="H2019">
        <v>1324.2946777</v>
      </c>
      <c r="I2019">
        <v>1344.505249</v>
      </c>
      <c r="J2019">
        <v>1340.1457519999999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1300.6011699999999</v>
      </c>
      <c r="B2020" s="1">
        <f>DATE(2013,11,21) + TIME(14,25,41)</f>
        <v>41599.601168981484</v>
      </c>
      <c r="C2020">
        <v>80</v>
      </c>
      <c r="D2020">
        <v>78.262832642000006</v>
      </c>
      <c r="E2020">
        <v>50</v>
      </c>
      <c r="F2020">
        <v>49.980140685999999</v>
      </c>
      <c r="G2020">
        <v>1326.746582</v>
      </c>
      <c r="H2020">
        <v>1324.2542725000001</v>
      </c>
      <c r="I2020">
        <v>1344.4979248</v>
      </c>
      <c r="J2020">
        <v>1340.1418457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1301.338176</v>
      </c>
      <c r="B2021" s="1">
        <f>DATE(2013,11,22) + TIME(8,6,58)</f>
        <v>41600.338171296295</v>
      </c>
      <c r="C2021">
        <v>80</v>
      </c>
      <c r="D2021">
        <v>78.215843200999998</v>
      </c>
      <c r="E2021">
        <v>50</v>
      </c>
      <c r="F2021">
        <v>49.980133057000003</v>
      </c>
      <c r="G2021">
        <v>1326.7169189000001</v>
      </c>
      <c r="H2021">
        <v>1324.2125243999999</v>
      </c>
      <c r="I2021">
        <v>1344.4906006000001</v>
      </c>
      <c r="J2021">
        <v>1340.1380615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1302.1048040000001</v>
      </c>
      <c r="B2022" s="1">
        <f>DATE(2013,11,23) + TIME(2,30,55)</f>
        <v>41601.104803240742</v>
      </c>
      <c r="C2022">
        <v>80</v>
      </c>
      <c r="D2022">
        <v>78.167610167999996</v>
      </c>
      <c r="E2022">
        <v>50</v>
      </c>
      <c r="F2022">
        <v>49.980121613000001</v>
      </c>
      <c r="G2022">
        <v>1326.6861572</v>
      </c>
      <c r="H2022">
        <v>1324.1693115</v>
      </c>
      <c r="I2022">
        <v>1344.4831543</v>
      </c>
      <c r="J2022">
        <v>1340.1341553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1302.9037820000001</v>
      </c>
      <c r="B2023" s="1">
        <f>DATE(2013,11,23) + TIME(21,41,26)</f>
        <v>41601.903773148151</v>
      </c>
      <c r="C2023">
        <v>80</v>
      </c>
      <c r="D2023">
        <v>78.118019103999998</v>
      </c>
      <c r="E2023">
        <v>50</v>
      </c>
      <c r="F2023">
        <v>49.980113983000003</v>
      </c>
      <c r="G2023">
        <v>1326.6542969</v>
      </c>
      <c r="H2023">
        <v>1324.1245117000001</v>
      </c>
      <c r="I2023">
        <v>1344.4757079999999</v>
      </c>
      <c r="J2023">
        <v>1340.130249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1303.7381439999999</v>
      </c>
      <c r="B2024" s="1">
        <f>DATE(2013,11,24) + TIME(17,42,55)</f>
        <v>41602.738136574073</v>
      </c>
      <c r="C2024">
        <v>80</v>
      </c>
      <c r="D2024">
        <v>78.066947936999995</v>
      </c>
      <c r="E2024">
        <v>50</v>
      </c>
      <c r="F2024">
        <v>49.980106354</v>
      </c>
      <c r="G2024">
        <v>1326.6210937999999</v>
      </c>
      <c r="H2024">
        <v>1324.0778809000001</v>
      </c>
      <c r="I2024">
        <v>1344.4682617000001</v>
      </c>
      <c r="J2024">
        <v>1340.1264647999999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1304.6055019999999</v>
      </c>
      <c r="B2025" s="1">
        <f>DATE(2013,11,25) + TIME(14,31,55)</f>
        <v>41603.605497685188</v>
      </c>
      <c r="C2025">
        <v>80</v>
      </c>
      <c r="D2025">
        <v>78.014434813999998</v>
      </c>
      <c r="E2025">
        <v>50</v>
      </c>
      <c r="F2025">
        <v>49.980094909999998</v>
      </c>
      <c r="G2025">
        <v>1326.5866699000001</v>
      </c>
      <c r="H2025">
        <v>1324.0294189000001</v>
      </c>
      <c r="I2025">
        <v>1344.4606934000001</v>
      </c>
      <c r="J2025">
        <v>1340.1225586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1305.487883</v>
      </c>
      <c r="B2026" s="1">
        <f>DATE(2013,11,26) + TIME(11,42,33)</f>
        <v>41604.487881944442</v>
      </c>
      <c r="C2026">
        <v>80</v>
      </c>
      <c r="D2026">
        <v>77.961029053000004</v>
      </c>
      <c r="E2026">
        <v>50</v>
      </c>
      <c r="F2026">
        <v>49.980087279999999</v>
      </c>
      <c r="G2026">
        <v>1326.5509033000001</v>
      </c>
      <c r="H2026">
        <v>1323.9793701000001</v>
      </c>
      <c r="I2026">
        <v>1344.453125</v>
      </c>
      <c r="J2026">
        <v>1340.1186522999999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1306.3852380000001</v>
      </c>
      <c r="B2027" s="1">
        <f>DATE(2013,11,27) + TIME(9,14,44)</f>
        <v>41605.385231481479</v>
      </c>
      <c r="C2027">
        <v>80</v>
      </c>
      <c r="D2027">
        <v>77.907066345000004</v>
      </c>
      <c r="E2027">
        <v>50</v>
      </c>
      <c r="F2027">
        <v>49.980079650999997</v>
      </c>
      <c r="G2027">
        <v>1326.5146483999999</v>
      </c>
      <c r="H2027">
        <v>1323.9283447</v>
      </c>
      <c r="I2027">
        <v>1344.4456786999999</v>
      </c>
      <c r="J2027">
        <v>1340.1148682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1307.299589</v>
      </c>
      <c r="B2028" s="1">
        <f>DATE(2013,11,28) + TIME(7,11,24)</f>
        <v>41606.299583333333</v>
      </c>
      <c r="C2028">
        <v>80</v>
      </c>
      <c r="D2028">
        <v>77.852676392000006</v>
      </c>
      <c r="E2028">
        <v>50</v>
      </c>
      <c r="F2028">
        <v>49.980072020999998</v>
      </c>
      <c r="G2028">
        <v>1326.4776611</v>
      </c>
      <c r="H2028">
        <v>1323.8764647999999</v>
      </c>
      <c r="I2028">
        <v>1344.4384766000001</v>
      </c>
      <c r="J2028">
        <v>1340.1110839999999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1308.2330139999999</v>
      </c>
      <c r="B2029" s="1">
        <f>DATE(2013,11,29) + TIME(5,35,32)</f>
        <v>41607.23300925926</v>
      </c>
      <c r="C2029">
        <v>80</v>
      </c>
      <c r="D2029">
        <v>77.797843932999996</v>
      </c>
      <c r="E2029">
        <v>50</v>
      </c>
      <c r="F2029">
        <v>49.980064392000003</v>
      </c>
      <c r="G2029">
        <v>1326.4401855000001</v>
      </c>
      <c r="H2029">
        <v>1323.8238524999999</v>
      </c>
      <c r="I2029">
        <v>1344.4312743999999</v>
      </c>
      <c r="J2029">
        <v>1340.1074219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1309.187723</v>
      </c>
      <c r="B2030" s="1">
        <f>DATE(2013,11,30) + TIME(4,30,19)</f>
        <v>41608.187719907408</v>
      </c>
      <c r="C2030">
        <v>80</v>
      </c>
      <c r="D2030">
        <v>77.742515564000001</v>
      </c>
      <c r="E2030">
        <v>50</v>
      </c>
      <c r="F2030">
        <v>49.980056763</v>
      </c>
      <c r="G2030">
        <v>1326.4019774999999</v>
      </c>
      <c r="H2030">
        <v>1323.7702637</v>
      </c>
      <c r="I2030">
        <v>1344.4241943</v>
      </c>
      <c r="J2030">
        <v>1340.1038818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1310</v>
      </c>
      <c r="B2031" s="1">
        <f>DATE(2013,12,1) + TIME(0,0,0)</f>
        <v>41609</v>
      </c>
      <c r="C2031">
        <v>80</v>
      </c>
      <c r="D2031">
        <v>77.691207886000001</v>
      </c>
      <c r="E2031">
        <v>50</v>
      </c>
      <c r="F2031">
        <v>49.980049133000001</v>
      </c>
      <c r="G2031">
        <v>1326.3637695</v>
      </c>
      <c r="H2031">
        <v>1323.7167969</v>
      </c>
      <c r="I2031">
        <v>1344.4171143000001</v>
      </c>
      <c r="J2031">
        <v>1340.1002197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1310.978343</v>
      </c>
      <c r="B2032" s="1">
        <f>DATE(2013,12,1) + TIME(23,28,48)</f>
        <v>41609.978333333333</v>
      </c>
      <c r="C2032">
        <v>80</v>
      </c>
      <c r="D2032">
        <v>77.637992858999993</v>
      </c>
      <c r="E2032">
        <v>50</v>
      </c>
      <c r="F2032">
        <v>49.980045318999998</v>
      </c>
      <c r="G2032">
        <v>1326.3289795000001</v>
      </c>
      <c r="H2032">
        <v>1323.6674805</v>
      </c>
      <c r="I2032">
        <v>1344.4113769999999</v>
      </c>
      <c r="J2032">
        <v>1340.0974120999999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1312.00613</v>
      </c>
      <c r="B2033" s="1">
        <f>DATE(2013,12,3) + TIME(0,8,49)</f>
        <v>41611.006122685183</v>
      </c>
      <c r="C2033">
        <v>80</v>
      </c>
      <c r="D2033">
        <v>77.582359314000001</v>
      </c>
      <c r="E2033">
        <v>50</v>
      </c>
      <c r="F2033">
        <v>49.980037689</v>
      </c>
      <c r="G2033">
        <v>1326.2899170000001</v>
      </c>
      <c r="H2033">
        <v>1323.6129149999999</v>
      </c>
      <c r="I2033">
        <v>1344.4046631000001</v>
      </c>
      <c r="J2033">
        <v>1340.0939940999999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1313.0639189999999</v>
      </c>
      <c r="B2034" s="1">
        <f>DATE(2013,12,4) + TIME(1,32,2)</f>
        <v>41612.06391203704</v>
      </c>
      <c r="C2034">
        <v>80</v>
      </c>
      <c r="D2034">
        <v>77.524932860999996</v>
      </c>
      <c r="E2034">
        <v>50</v>
      </c>
      <c r="F2034">
        <v>49.980033874999997</v>
      </c>
      <c r="G2034">
        <v>1326.2490233999999</v>
      </c>
      <c r="H2034">
        <v>1323.5556641000001</v>
      </c>
      <c r="I2034">
        <v>1344.3978271000001</v>
      </c>
      <c r="J2034">
        <v>1340.0905762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1314.1554329999999</v>
      </c>
      <c r="B2035" s="1">
        <f>DATE(2013,12,5) + TIME(3,43,49)</f>
        <v>41613.155428240738</v>
      </c>
      <c r="C2035">
        <v>80</v>
      </c>
      <c r="D2035">
        <v>77.466102599999999</v>
      </c>
      <c r="E2035">
        <v>50</v>
      </c>
      <c r="F2035">
        <v>49.980026244999998</v>
      </c>
      <c r="G2035">
        <v>1326.2069091999999</v>
      </c>
      <c r="H2035">
        <v>1323.4967041</v>
      </c>
      <c r="I2035">
        <v>1344.3909911999999</v>
      </c>
      <c r="J2035">
        <v>1340.0871582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1315.283887</v>
      </c>
      <c r="B2036" s="1">
        <f>DATE(2013,12,6) + TIME(6,48,47)</f>
        <v>41614.283877314818</v>
      </c>
      <c r="C2036">
        <v>80</v>
      </c>
      <c r="D2036">
        <v>77.405960082999997</v>
      </c>
      <c r="E2036">
        <v>50</v>
      </c>
      <c r="F2036">
        <v>49.980022429999998</v>
      </c>
      <c r="G2036">
        <v>1326.1635742000001</v>
      </c>
      <c r="H2036">
        <v>1323.4361572</v>
      </c>
      <c r="I2036">
        <v>1344.3841553</v>
      </c>
      <c r="J2036">
        <v>1340.0838623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1316.4528150000001</v>
      </c>
      <c r="B2037" s="1">
        <f>DATE(2013,12,7) + TIME(10,52,3)</f>
        <v>41615.4528125</v>
      </c>
      <c r="C2037">
        <v>80</v>
      </c>
      <c r="D2037">
        <v>77.344459533999995</v>
      </c>
      <c r="E2037">
        <v>50</v>
      </c>
      <c r="F2037">
        <v>49.980014801000003</v>
      </c>
      <c r="G2037">
        <v>1326.1190185999999</v>
      </c>
      <c r="H2037">
        <v>1323.3737793</v>
      </c>
      <c r="I2037">
        <v>1344.3773193</v>
      </c>
      <c r="J2037">
        <v>1340.0804443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1317.666107</v>
      </c>
      <c r="B2038" s="1">
        <f>DATE(2013,12,8) + TIME(15,59,11)</f>
        <v>41616.66609953704</v>
      </c>
      <c r="C2038">
        <v>80</v>
      </c>
      <c r="D2038">
        <v>77.281486510999997</v>
      </c>
      <c r="E2038">
        <v>50</v>
      </c>
      <c r="F2038">
        <v>49.980010986000003</v>
      </c>
      <c r="G2038">
        <v>1326.0729980000001</v>
      </c>
      <c r="H2038">
        <v>1323.3095702999999</v>
      </c>
      <c r="I2038">
        <v>1344.3703613</v>
      </c>
      <c r="J2038">
        <v>1340.0771483999999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1318.9280650000001</v>
      </c>
      <c r="B2039" s="1">
        <f>DATE(2013,12,9) + TIME(22,16,24)</f>
        <v>41617.928055555552</v>
      </c>
      <c r="C2039">
        <v>80</v>
      </c>
      <c r="D2039">
        <v>77.216880798000005</v>
      </c>
      <c r="E2039">
        <v>50</v>
      </c>
      <c r="F2039">
        <v>49.980007172000001</v>
      </c>
      <c r="G2039">
        <v>1326.0256348</v>
      </c>
      <c r="H2039">
        <v>1323.2434082</v>
      </c>
      <c r="I2039">
        <v>1344.3635254000001</v>
      </c>
      <c r="J2039">
        <v>1340.0737305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1320.243477</v>
      </c>
      <c r="B2040" s="1">
        <f>DATE(2013,12,11) + TIME(5,50,36)</f>
        <v>41619.243472222224</v>
      </c>
      <c r="C2040">
        <v>80</v>
      </c>
      <c r="D2040">
        <v>77.150459290000001</v>
      </c>
      <c r="E2040">
        <v>50</v>
      </c>
      <c r="F2040">
        <v>49.980003357000001</v>
      </c>
      <c r="G2040">
        <v>1325.9766846</v>
      </c>
      <c r="H2040">
        <v>1323.1750488</v>
      </c>
      <c r="I2040">
        <v>1344.3565673999999</v>
      </c>
      <c r="J2040">
        <v>1340.0703125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1321.6177</v>
      </c>
      <c r="B2041" s="1">
        <f>DATE(2013,12,12) + TIME(14,49,29)</f>
        <v>41620.617696759262</v>
      </c>
      <c r="C2041">
        <v>80</v>
      </c>
      <c r="D2041">
        <v>77.082015991000006</v>
      </c>
      <c r="E2041">
        <v>50</v>
      </c>
      <c r="F2041">
        <v>49.979999542000002</v>
      </c>
      <c r="G2041">
        <v>1325.9260254000001</v>
      </c>
      <c r="H2041">
        <v>1323.1042480000001</v>
      </c>
      <c r="I2041">
        <v>1344.3494873</v>
      </c>
      <c r="J2041">
        <v>1340.0670166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1323.015813</v>
      </c>
      <c r="B2042" s="1">
        <f>DATE(2013,12,14) + TIME(0,22,46)</f>
        <v>41622.015810185185</v>
      </c>
      <c r="C2042">
        <v>80</v>
      </c>
      <c r="D2042">
        <v>77.012001037999994</v>
      </c>
      <c r="E2042">
        <v>50</v>
      </c>
      <c r="F2042">
        <v>49.979991912999999</v>
      </c>
      <c r="G2042">
        <v>1325.8736572</v>
      </c>
      <c r="H2042">
        <v>1323.0311279</v>
      </c>
      <c r="I2042">
        <v>1344.3424072</v>
      </c>
      <c r="J2042">
        <v>1340.0635986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1324.4415409999999</v>
      </c>
      <c r="B2043" s="1">
        <f>DATE(2013,12,15) + TIME(10,35,49)</f>
        <v>41623.44153935185</v>
      </c>
      <c r="C2043">
        <v>80</v>
      </c>
      <c r="D2043">
        <v>76.941070557000003</v>
      </c>
      <c r="E2043">
        <v>50</v>
      </c>
      <c r="F2043">
        <v>49.979988098</v>
      </c>
      <c r="G2043">
        <v>1325.8203125</v>
      </c>
      <c r="H2043">
        <v>1322.9567870999999</v>
      </c>
      <c r="I2043">
        <v>1344.3354492000001</v>
      </c>
      <c r="J2043">
        <v>1340.0601807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1325.898365</v>
      </c>
      <c r="B2044" s="1">
        <f>DATE(2013,12,16) + TIME(21,33,38)</f>
        <v>41624.898356481484</v>
      </c>
      <c r="C2044">
        <v>80</v>
      </c>
      <c r="D2044">
        <v>76.869323730000005</v>
      </c>
      <c r="E2044">
        <v>50</v>
      </c>
      <c r="F2044">
        <v>49.979984283</v>
      </c>
      <c r="G2044">
        <v>1325.7662353999999</v>
      </c>
      <c r="H2044">
        <v>1322.8813477000001</v>
      </c>
      <c r="I2044">
        <v>1344.3284911999999</v>
      </c>
      <c r="J2044">
        <v>1340.0568848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1327.3900839999999</v>
      </c>
      <c r="B2045" s="1">
        <f>DATE(2013,12,18) + TIME(9,21,43)</f>
        <v>41626.390081018515</v>
      </c>
      <c r="C2045">
        <v>80</v>
      </c>
      <c r="D2045">
        <v>76.796653747999997</v>
      </c>
      <c r="E2045">
        <v>50</v>
      </c>
      <c r="F2045">
        <v>49.979984283</v>
      </c>
      <c r="G2045">
        <v>1325.7114257999999</v>
      </c>
      <c r="H2045">
        <v>1322.8048096</v>
      </c>
      <c r="I2045">
        <v>1344.3216553</v>
      </c>
      <c r="J2045">
        <v>1340.0537108999999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1328.920775</v>
      </c>
      <c r="B2046" s="1">
        <f>DATE(2013,12,19) + TIME(22,5,54)</f>
        <v>41627.920763888891</v>
      </c>
      <c r="C2046">
        <v>80</v>
      </c>
      <c r="D2046">
        <v>76.722877502000003</v>
      </c>
      <c r="E2046">
        <v>50</v>
      </c>
      <c r="F2046">
        <v>49.979980468999997</v>
      </c>
      <c r="G2046">
        <v>1325.6556396000001</v>
      </c>
      <c r="H2046">
        <v>1322.7271728999999</v>
      </c>
      <c r="I2046">
        <v>1344.3148193</v>
      </c>
      <c r="J2046">
        <v>1340.0504149999999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1330.4949300000001</v>
      </c>
      <c r="B2047" s="1">
        <f>DATE(2013,12,21) + TIME(11,52,41)</f>
        <v>41629.49491898148</v>
      </c>
      <c r="C2047">
        <v>80</v>
      </c>
      <c r="D2047">
        <v>76.647789001000007</v>
      </c>
      <c r="E2047">
        <v>50</v>
      </c>
      <c r="F2047">
        <v>49.979976653999998</v>
      </c>
      <c r="G2047">
        <v>1325.598999</v>
      </c>
      <c r="H2047">
        <v>1322.6481934000001</v>
      </c>
      <c r="I2047">
        <v>1344.3081055</v>
      </c>
      <c r="J2047">
        <v>1340.0472411999999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1332.11682</v>
      </c>
      <c r="B2048" s="1">
        <f>DATE(2013,12,23) + TIME(2,48,13)</f>
        <v>41631.11681712963</v>
      </c>
      <c r="C2048">
        <v>80</v>
      </c>
      <c r="D2048">
        <v>76.571128845000004</v>
      </c>
      <c r="E2048">
        <v>50</v>
      </c>
      <c r="F2048">
        <v>49.979976653999998</v>
      </c>
      <c r="G2048">
        <v>1325.5411377</v>
      </c>
      <c r="H2048">
        <v>1322.5676269999999</v>
      </c>
      <c r="I2048">
        <v>1344.3013916</v>
      </c>
      <c r="J2048">
        <v>1340.0441894999999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1333.7911429999999</v>
      </c>
      <c r="B2049" s="1">
        <f>DATE(2013,12,24) + TIME(18,59,14)</f>
        <v>41632.791134259256</v>
      </c>
      <c r="C2049">
        <v>80</v>
      </c>
      <c r="D2049">
        <v>76.492668151999993</v>
      </c>
      <c r="E2049">
        <v>50</v>
      </c>
      <c r="F2049">
        <v>49.979972838999998</v>
      </c>
      <c r="G2049">
        <v>1325.4821777</v>
      </c>
      <c r="H2049">
        <v>1322.4855957</v>
      </c>
      <c r="I2049">
        <v>1344.2945557</v>
      </c>
      <c r="J2049">
        <v>1340.0410156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1335.5235</v>
      </c>
      <c r="B2050" s="1">
        <f>DATE(2013,12,26) + TIME(12,33,50)</f>
        <v>41634.523495370369</v>
      </c>
      <c r="C2050">
        <v>80</v>
      </c>
      <c r="D2050">
        <v>76.412109375</v>
      </c>
      <c r="E2050">
        <v>50</v>
      </c>
      <c r="F2050">
        <v>49.979972838999998</v>
      </c>
      <c r="G2050">
        <v>1325.4217529</v>
      </c>
      <c r="H2050">
        <v>1322.4016113</v>
      </c>
      <c r="I2050">
        <v>1344.2878418</v>
      </c>
      <c r="J2050">
        <v>1340.0378418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1337.320017</v>
      </c>
      <c r="B2051" s="1">
        <f>DATE(2013,12,28) + TIME(7,40,49)</f>
        <v>41636.320011574076</v>
      </c>
      <c r="C2051">
        <v>80</v>
      </c>
      <c r="D2051">
        <v>76.329147339000002</v>
      </c>
      <c r="E2051">
        <v>50</v>
      </c>
      <c r="F2051">
        <v>49.979972838999998</v>
      </c>
      <c r="G2051">
        <v>1325.3599853999999</v>
      </c>
      <c r="H2051">
        <v>1322.3156738</v>
      </c>
      <c r="I2051">
        <v>1344.2810059000001</v>
      </c>
      <c r="J2051">
        <v>1340.034668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1339.1874270000001</v>
      </c>
      <c r="B2052" s="1">
        <f>DATE(2013,12,30) + TIME(4,29,53)</f>
        <v>41638.187418981484</v>
      </c>
      <c r="C2052">
        <v>80</v>
      </c>
      <c r="D2052">
        <v>76.243423461999996</v>
      </c>
      <c r="E2052">
        <v>50</v>
      </c>
      <c r="F2052">
        <v>49.979972838999998</v>
      </c>
      <c r="G2052">
        <v>1325.2965088000001</v>
      </c>
      <c r="H2052">
        <v>1322.2275391000001</v>
      </c>
      <c r="I2052">
        <v>1344.2741699000001</v>
      </c>
      <c r="J2052">
        <v>1340.0314940999999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1341</v>
      </c>
      <c r="B2053" s="1">
        <f>DATE(2014,1,1) + TIME(0,0,0)</f>
        <v>41640</v>
      </c>
      <c r="C2053">
        <v>80</v>
      </c>
      <c r="D2053">
        <v>76.156188964999998</v>
      </c>
      <c r="E2053">
        <v>50</v>
      </c>
      <c r="F2053">
        <v>49.979969025000003</v>
      </c>
      <c r="G2053">
        <v>1325.2314452999999</v>
      </c>
      <c r="H2053">
        <v>1322.1374512</v>
      </c>
      <c r="I2053">
        <v>1344.2672118999999</v>
      </c>
      <c r="J2053">
        <v>1340.0283202999999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1342.945774</v>
      </c>
      <c r="B2054" s="1">
        <f>DATE(2014,1,2) + TIME(22,41,54)</f>
        <v>41641.945763888885</v>
      </c>
      <c r="C2054">
        <v>80</v>
      </c>
      <c r="D2054">
        <v>76.068183899000005</v>
      </c>
      <c r="E2054">
        <v>50</v>
      </c>
      <c r="F2054">
        <v>49.979972838999998</v>
      </c>
      <c r="G2054">
        <v>1325.1676024999999</v>
      </c>
      <c r="H2054">
        <v>1322.0484618999999</v>
      </c>
      <c r="I2054">
        <v>1344.2606201000001</v>
      </c>
      <c r="J2054">
        <v>1340.0253906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1345.036537</v>
      </c>
      <c r="B2055" s="1">
        <f>DATE(2014,1,5) + TIME(0,52,36)</f>
        <v>41644.036527777775</v>
      </c>
      <c r="C2055">
        <v>80</v>
      </c>
      <c r="D2055">
        <v>75.975273131999998</v>
      </c>
      <c r="E2055">
        <v>50</v>
      </c>
      <c r="F2055">
        <v>49.979972838999998</v>
      </c>
      <c r="G2055">
        <v>1325.1010742000001</v>
      </c>
      <c r="H2055">
        <v>1321.9561768000001</v>
      </c>
      <c r="I2055">
        <v>1344.2537841999999</v>
      </c>
      <c r="J2055">
        <v>1340.0222168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1347.193366</v>
      </c>
      <c r="B2056" s="1">
        <f>DATE(2014,1,7) + TIME(4,38,26)</f>
        <v>41646.193356481483</v>
      </c>
      <c r="C2056">
        <v>80</v>
      </c>
      <c r="D2056">
        <v>75.876708984000004</v>
      </c>
      <c r="E2056">
        <v>50</v>
      </c>
      <c r="F2056">
        <v>49.979972838999998</v>
      </c>
      <c r="G2056">
        <v>1325.0308838000001</v>
      </c>
      <c r="H2056">
        <v>1321.8592529</v>
      </c>
      <c r="I2056">
        <v>1344.246582</v>
      </c>
      <c r="J2056">
        <v>1340.019043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1349.4016770000001</v>
      </c>
      <c r="B2057" s="1">
        <f>DATE(2014,1,9) + TIME(9,38,24)</f>
        <v>41648.401666666665</v>
      </c>
      <c r="C2057">
        <v>80</v>
      </c>
      <c r="D2057">
        <v>75.774307250999996</v>
      </c>
      <c r="E2057">
        <v>50</v>
      </c>
      <c r="F2057">
        <v>49.979976653999998</v>
      </c>
      <c r="G2057">
        <v>1324.9587402</v>
      </c>
      <c r="H2057">
        <v>1321.7593993999999</v>
      </c>
      <c r="I2057">
        <v>1344.2393798999999</v>
      </c>
      <c r="J2057">
        <v>1340.0157471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1351.667856</v>
      </c>
      <c r="B2058" s="1">
        <f>DATE(2014,1,11) + TIME(16,1,42)</f>
        <v>41650.667847222219</v>
      </c>
      <c r="C2058">
        <v>80</v>
      </c>
      <c r="D2058">
        <v>75.668708800999994</v>
      </c>
      <c r="E2058">
        <v>50</v>
      </c>
      <c r="F2058">
        <v>49.979976653999998</v>
      </c>
      <c r="G2058">
        <v>1324.8854980000001</v>
      </c>
      <c r="H2058">
        <v>1321.6579589999999</v>
      </c>
      <c r="I2058">
        <v>1344.2322998</v>
      </c>
      <c r="J2058">
        <v>1340.0124512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1353.9988350000001</v>
      </c>
      <c r="B2059" s="1">
        <f>DATE(2014,1,13) + TIME(23,58,19)</f>
        <v>41652.998831018522</v>
      </c>
      <c r="C2059">
        <v>80</v>
      </c>
      <c r="D2059">
        <v>75.559715271000002</v>
      </c>
      <c r="E2059">
        <v>50</v>
      </c>
      <c r="F2059">
        <v>49.979980468999997</v>
      </c>
      <c r="G2059">
        <v>1324.8112793</v>
      </c>
      <c r="H2059">
        <v>1321.5550536999999</v>
      </c>
      <c r="I2059">
        <v>1344.2250977000001</v>
      </c>
      <c r="J2059">
        <v>1340.0091553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1356.3930479999999</v>
      </c>
      <c r="B2060" s="1">
        <f>DATE(2014,1,16) + TIME(9,25,59)</f>
        <v>41655.393043981479</v>
      </c>
      <c r="C2060">
        <v>80</v>
      </c>
      <c r="D2060">
        <v>75.446952820000007</v>
      </c>
      <c r="E2060">
        <v>50</v>
      </c>
      <c r="F2060">
        <v>49.979980468999997</v>
      </c>
      <c r="G2060">
        <v>1324.7358397999999</v>
      </c>
      <c r="H2060">
        <v>1321.4506836</v>
      </c>
      <c r="I2060">
        <v>1344.2178954999999</v>
      </c>
      <c r="J2060">
        <v>1340.0059814000001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1358.8130349999999</v>
      </c>
      <c r="B2061" s="1">
        <f>DATE(2014,1,18) + TIME(19,30,46)</f>
        <v>41657.813032407408</v>
      </c>
      <c r="C2061">
        <v>80</v>
      </c>
      <c r="D2061">
        <v>75.330604553000001</v>
      </c>
      <c r="E2061">
        <v>50</v>
      </c>
      <c r="F2061">
        <v>49.979984283</v>
      </c>
      <c r="G2061">
        <v>1324.6594238</v>
      </c>
      <c r="H2061">
        <v>1321.3450928</v>
      </c>
      <c r="I2061">
        <v>1344.2106934000001</v>
      </c>
      <c r="J2061">
        <v>1340.0026855000001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1361.280475</v>
      </c>
      <c r="B2062" s="1">
        <f>DATE(2014,1,21) + TIME(6,43,53)</f>
        <v>41660.280474537038</v>
      </c>
      <c r="C2062">
        <v>80</v>
      </c>
      <c r="D2062">
        <v>75.211425781000003</v>
      </c>
      <c r="E2062">
        <v>50</v>
      </c>
      <c r="F2062">
        <v>49.979988098</v>
      </c>
      <c r="G2062">
        <v>1324.5828856999999</v>
      </c>
      <c r="H2062">
        <v>1321.2392577999999</v>
      </c>
      <c r="I2062">
        <v>1344.2036132999999</v>
      </c>
      <c r="J2062">
        <v>1339.9993896000001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1363.8182409999999</v>
      </c>
      <c r="B2063" s="1">
        <f>DATE(2014,1,23) + TIME(19,38,16)</f>
        <v>41662.818240740744</v>
      </c>
      <c r="C2063">
        <v>80</v>
      </c>
      <c r="D2063">
        <v>75.088653563999998</v>
      </c>
      <c r="E2063">
        <v>50</v>
      </c>
      <c r="F2063">
        <v>49.979991912999999</v>
      </c>
      <c r="G2063">
        <v>1324.5059814000001</v>
      </c>
      <c r="H2063">
        <v>1321.1329346</v>
      </c>
      <c r="I2063">
        <v>1344.1965332</v>
      </c>
      <c r="J2063">
        <v>1339.9962158000001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1366.4468360000001</v>
      </c>
      <c r="B2064" s="1">
        <f>DATE(2014,1,26) + TIME(10,43,26)</f>
        <v>41665.446828703702</v>
      </c>
      <c r="C2064">
        <v>80</v>
      </c>
      <c r="D2064">
        <v>74.961013793999996</v>
      </c>
      <c r="E2064">
        <v>50</v>
      </c>
      <c r="F2064">
        <v>49.979999542000002</v>
      </c>
      <c r="G2064">
        <v>1324.4282227000001</v>
      </c>
      <c r="H2064">
        <v>1321.0255127</v>
      </c>
      <c r="I2064">
        <v>1344.1894531</v>
      </c>
      <c r="J2064">
        <v>1339.9929199000001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1369.120866</v>
      </c>
      <c r="B2065" s="1">
        <f>DATE(2014,1,29) + TIME(2,54,2)</f>
        <v>41668.120856481481</v>
      </c>
      <c r="C2065">
        <v>80</v>
      </c>
      <c r="D2065">
        <v>74.827751160000005</v>
      </c>
      <c r="E2065">
        <v>50</v>
      </c>
      <c r="F2065">
        <v>49.980003357000001</v>
      </c>
      <c r="G2065">
        <v>1324.3491211</v>
      </c>
      <c r="H2065">
        <v>1320.9162598</v>
      </c>
      <c r="I2065">
        <v>1344.182251</v>
      </c>
      <c r="J2065">
        <v>1339.989624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1371.855319</v>
      </c>
      <c r="B2066" s="1">
        <f>DATE(2014,1,31) + TIME(20,31,39)</f>
        <v>41670.855312500003</v>
      </c>
      <c r="C2066">
        <v>80</v>
      </c>
      <c r="D2066">
        <v>74.689941406000003</v>
      </c>
      <c r="E2066">
        <v>50</v>
      </c>
      <c r="F2066">
        <v>49.980007172000001</v>
      </c>
      <c r="G2066">
        <v>1324.2694091999999</v>
      </c>
      <c r="H2066">
        <v>1320.8062743999999</v>
      </c>
      <c r="I2066">
        <v>1344.1750488</v>
      </c>
      <c r="J2066">
        <v>1339.9863281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1372</v>
      </c>
      <c r="B2067" s="1">
        <f>DATE(2014,2,1) + TIME(0,0,0)</f>
        <v>41671</v>
      </c>
      <c r="C2067">
        <v>80</v>
      </c>
      <c r="D2067">
        <v>74.656387328999998</v>
      </c>
      <c r="E2067">
        <v>50</v>
      </c>
      <c r="F2067">
        <v>49.980003357000001</v>
      </c>
      <c r="G2067">
        <v>1324.2025146000001</v>
      </c>
      <c r="H2067">
        <v>1320.7186279</v>
      </c>
      <c r="I2067">
        <v>1344.1694336</v>
      </c>
      <c r="J2067">
        <v>1339.9838867000001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1374.817063</v>
      </c>
      <c r="B2068" s="1">
        <f>DATE(2014,2,3) + TIME(19,36,34)</f>
        <v>41673.817060185182</v>
      </c>
      <c r="C2068">
        <v>80</v>
      </c>
      <c r="D2068">
        <v>74.534622192</v>
      </c>
      <c r="E2068">
        <v>50</v>
      </c>
      <c r="F2068">
        <v>49.980014801000003</v>
      </c>
      <c r="G2068">
        <v>1324.1806641000001</v>
      </c>
      <c r="H2068">
        <v>1320.682251</v>
      </c>
      <c r="I2068">
        <v>1344.1673584</v>
      </c>
      <c r="J2068">
        <v>1339.9826660000001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1377.747723</v>
      </c>
      <c r="B2069" s="1">
        <f>DATE(2014,2,6) + TIME(17,56,43)</f>
        <v>41676.747719907406</v>
      </c>
      <c r="C2069">
        <v>80</v>
      </c>
      <c r="D2069">
        <v>74.388992310000006</v>
      </c>
      <c r="E2069">
        <v>50</v>
      </c>
      <c r="F2069">
        <v>49.980022429999998</v>
      </c>
      <c r="G2069">
        <v>1324.1029053</v>
      </c>
      <c r="H2069">
        <v>1320.5762939000001</v>
      </c>
      <c r="I2069">
        <v>1344.1601562000001</v>
      </c>
      <c r="J2069">
        <v>1339.9793701000001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1380.7601079999999</v>
      </c>
      <c r="B2070" s="1">
        <f>DATE(2014,2,9) + TIME(18,14,33)</f>
        <v>41679.760104166664</v>
      </c>
      <c r="C2070">
        <v>80</v>
      </c>
      <c r="D2070">
        <v>74.232124329000001</v>
      </c>
      <c r="E2070">
        <v>50</v>
      </c>
      <c r="F2070">
        <v>49.980030059999997</v>
      </c>
      <c r="G2070">
        <v>1324.0207519999999</v>
      </c>
      <c r="H2070">
        <v>1320.4633789</v>
      </c>
      <c r="I2070">
        <v>1344.1527100000001</v>
      </c>
      <c r="J2070">
        <v>1339.9758300999999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1383.807828</v>
      </c>
      <c r="B2071" s="1">
        <f>DATE(2014,2,12) + TIME(19,23,16)</f>
        <v>41682.807824074072</v>
      </c>
      <c r="C2071">
        <v>80</v>
      </c>
      <c r="D2071">
        <v>74.067916870000005</v>
      </c>
      <c r="E2071">
        <v>50</v>
      </c>
      <c r="F2071">
        <v>49.980037689</v>
      </c>
      <c r="G2071">
        <v>1323.9370117000001</v>
      </c>
      <c r="H2071">
        <v>1320.3481445</v>
      </c>
      <c r="I2071">
        <v>1344.1451416</v>
      </c>
      <c r="J2071">
        <v>1339.9722899999999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1386.912474</v>
      </c>
      <c r="B2072" s="1">
        <f>DATE(2014,2,15) + TIME(21,53,57)</f>
        <v>41685.912465277775</v>
      </c>
      <c r="C2072">
        <v>80</v>
      </c>
      <c r="D2072">
        <v>73.898315429999997</v>
      </c>
      <c r="E2072">
        <v>50</v>
      </c>
      <c r="F2072">
        <v>49.980045318999998</v>
      </c>
      <c r="G2072">
        <v>1323.8532714999999</v>
      </c>
      <c r="H2072">
        <v>1320.2326660000001</v>
      </c>
      <c r="I2072">
        <v>1344.1376952999999</v>
      </c>
      <c r="J2072">
        <v>1339.96875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1390.083783</v>
      </c>
      <c r="B2073" s="1">
        <f>DATE(2014,2,19) + TIME(2,0,38)</f>
        <v>41689.083773148152</v>
      </c>
      <c r="C2073">
        <v>80</v>
      </c>
      <c r="D2073">
        <v>73.72265625</v>
      </c>
      <c r="E2073">
        <v>50</v>
      </c>
      <c r="F2073">
        <v>49.980052948000001</v>
      </c>
      <c r="G2073">
        <v>1323.7694091999999</v>
      </c>
      <c r="H2073">
        <v>1320.1170654</v>
      </c>
      <c r="I2073">
        <v>1344.130249</v>
      </c>
      <c r="J2073">
        <v>1339.9650879000001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1393.3067329999999</v>
      </c>
      <c r="B2074" s="1">
        <f>DATE(2014,2,22) + TIME(7,21,41)</f>
        <v>41692.30672453704</v>
      </c>
      <c r="C2074">
        <v>80</v>
      </c>
      <c r="D2074">
        <v>73.540344238000003</v>
      </c>
      <c r="E2074">
        <v>50</v>
      </c>
      <c r="F2074">
        <v>49.980064392000003</v>
      </c>
      <c r="G2074">
        <v>1323.6853027</v>
      </c>
      <c r="H2074">
        <v>1320.0013428</v>
      </c>
      <c r="I2074">
        <v>1344.1226807</v>
      </c>
      <c r="J2074">
        <v>1339.9614257999999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1396.60781</v>
      </c>
      <c r="B2075" s="1">
        <f>DATE(2014,2,25) + TIME(14,35,14)</f>
        <v>41695.607800925929</v>
      </c>
      <c r="C2075">
        <v>80</v>
      </c>
      <c r="D2075">
        <v>73.351509093999994</v>
      </c>
      <c r="E2075">
        <v>50</v>
      </c>
      <c r="F2075">
        <v>49.980075835999997</v>
      </c>
      <c r="G2075">
        <v>1323.6011963000001</v>
      </c>
      <c r="H2075">
        <v>1319.8854980000001</v>
      </c>
      <c r="I2075">
        <v>1344.1152344</v>
      </c>
      <c r="J2075">
        <v>1339.9576416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1400</v>
      </c>
      <c r="B2076" s="1">
        <f>DATE(2014,3,1) + TIME(0,0,0)</f>
        <v>41699</v>
      </c>
      <c r="C2076">
        <v>80</v>
      </c>
      <c r="D2076">
        <v>73.154777526999993</v>
      </c>
      <c r="E2076">
        <v>50</v>
      </c>
      <c r="F2076">
        <v>49.980083466000004</v>
      </c>
      <c r="G2076">
        <v>1323.5168457</v>
      </c>
      <c r="H2076">
        <v>1319.7694091999999</v>
      </c>
      <c r="I2076">
        <v>1344.1075439000001</v>
      </c>
      <c r="J2076">
        <v>1339.9538574000001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1403.406784</v>
      </c>
      <c r="B2077" s="1">
        <f>DATE(2014,3,4) + TIME(9,45,46)</f>
        <v>41702.406782407408</v>
      </c>
      <c r="C2077">
        <v>80</v>
      </c>
      <c r="D2077">
        <v>72.949806213000002</v>
      </c>
      <c r="E2077">
        <v>50</v>
      </c>
      <c r="F2077">
        <v>49.980094909999998</v>
      </c>
      <c r="G2077">
        <v>1323.4318848</v>
      </c>
      <c r="H2077">
        <v>1319.6525879000001</v>
      </c>
      <c r="I2077">
        <v>1344.0998535000001</v>
      </c>
      <c r="J2077">
        <v>1339.9499512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1407.121018</v>
      </c>
      <c r="B2078" s="1">
        <f>DATE(2014,3,8) + TIME(2,54,15)</f>
        <v>41706.121006944442</v>
      </c>
      <c r="C2078">
        <v>80</v>
      </c>
      <c r="D2078">
        <v>72.737251282000003</v>
      </c>
      <c r="E2078">
        <v>50</v>
      </c>
      <c r="F2078">
        <v>49.980110168000003</v>
      </c>
      <c r="G2078">
        <v>1323.3475341999999</v>
      </c>
      <c r="H2078">
        <v>1319.5362548999999</v>
      </c>
      <c r="I2078">
        <v>1344.0921631000001</v>
      </c>
      <c r="J2078">
        <v>1339.9460449000001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1409.0102079999999</v>
      </c>
      <c r="B2079" s="1">
        <f>DATE(2014,3,10) + TIME(0,14,41)</f>
        <v>41708.010196759256</v>
      </c>
      <c r="C2079">
        <v>80</v>
      </c>
      <c r="D2079">
        <v>72.532485961999996</v>
      </c>
      <c r="E2079">
        <v>50</v>
      </c>
      <c r="F2079">
        <v>49.980106354</v>
      </c>
      <c r="G2079">
        <v>1323.2612305</v>
      </c>
      <c r="H2079">
        <v>1319.4199219</v>
      </c>
      <c r="I2079">
        <v>1344.0841064000001</v>
      </c>
      <c r="J2079">
        <v>1339.9420166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1411.784054</v>
      </c>
      <c r="B2080" s="1">
        <f>DATE(2014,3,12) + TIME(18,49,2)</f>
        <v>41710.784050925926</v>
      </c>
      <c r="C2080">
        <v>80</v>
      </c>
      <c r="D2080">
        <v>72.380477905000006</v>
      </c>
      <c r="E2080">
        <v>50</v>
      </c>
      <c r="F2080">
        <v>49.980117798000002</v>
      </c>
      <c r="G2080">
        <v>1323.2050781</v>
      </c>
      <c r="H2080">
        <v>1319.3372803</v>
      </c>
      <c r="I2080">
        <v>1344.0797118999999</v>
      </c>
      <c r="J2080">
        <v>1339.9395752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1415.5468579999999</v>
      </c>
      <c r="B2081" s="1">
        <f>DATE(2014,3,16) + TIME(13,7,28)</f>
        <v>41714.546851851854</v>
      </c>
      <c r="C2081">
        <v>80</v>
      </c>
      <c r="D2081">
        <v>72.197334290000001</v>
      </c>
      <c r="E2081">
        <v>50</v>
      </c>
      <c r="F2081">
        <v>49.980136870999999</v>
      </c>
      <c r="G2081">
        <v>1323.1416016000001</v>
      </c>
      <c r="H2081">
        <v>1319.2504882999999</v>
      </c>
      <c r="I2081">
        <v>1344.0737305</v>
      </c>
      <c r="J2081">
        <v>1339.9364014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1419.3440539999999</v>
      </c>
      <c r="B2082" s="1">
        <f>DATE(2014,3,20) + TIME(8,15,26)</f>
        <v>41718.344050925924</v>
      </c>
      <c r="C2082">
        <v>80</v>
      </c>
      <c r="D2082">
        <v>71.958091736</v>
      </c>
      <c r="E2082">
        <v>50</v>
      </c>
      <c r="F2082">
        <v>49.98015213</v>
      </c>
      <c r="G2082">
        <v>1323.0609131000001</v>
      </c>
      <c r="H2082">
        <v>1319.1419678</v>
      </c>
      <c r="I2082">
        <v>1344.0656738</v>
      </c>
      <c r="J2082">
        <v>1339.9321289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1423.2212629999999</v>
      </c>
      <c r="B2083" s="1">
        <f>DATE(2014,3,24) + TIME(5,18,37)</f>
        <v>41722.221261574072</v>
      </c>
      <c r="C2083">
        <v>80</v>
      </c>
      <c r="D2083">
        <v>71.704978943</v>
      </c>
      <c r="E2083">
        <v>50</v>
      </c>
      <c r="F2083">
        <v>49.980167389000002</v>
      </c>
      <c r="G2083">
        <v>1322.9759521000001</v>
      </c>
      <c r="H2083">
        <v>1319.0253906</v>
      </c>
      <c r="I2083">
        <v>1344.0574951000001</v>
      </c>
      <c r="J2083">
        <v>1339.9277344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1427.223808</v>
      </c>
      <c r="B2084" s="1">
        <f>DATE(2014,3,28) + TIME(5,22,17)</f>
        <v>41726.223807870374</v>
      </c>
      <c r="C2084">
        <v>80</v>
      </c>
      <c r="D2084">
        <v>71.441032410000005</v>
      </c>
      <c r="E2084">
        <v>50</v>
      </c>
      <c r="F2084">
        <v>49.980182648000003</v>
      </c>
      <c r="G2084">
        <v>1322.8903809000001</v>
      </c>
      <c r="H2084">
        <v>1318.9077147999999</v>
      </c>
      <c r="I2084">
        <v>1344.0493164</v>
      </c>
      <c r="J2084">
        <v>1339.9232178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1431</v>
      </c>
      <c r="B2085" s="1">
        <f>DATE(2014,4,1) + TIME(0,0,0)</f>
        <v>41730</v>
      </c>
      <c r="C2085">
        <v>80</v>
      </c>
      <c r="D2085">
        <v>71.166748046999999</v>
      </c>
      <c r="E2085">
        <v>50</v>
      </c>
      <c r="F2085">
        <v>49.980194091999998</v>
      </c>
      <c r="G2085">
        <v>1322.8043213000001</v>
      </c>
      <c r="H2085">
        <v>1318.7896728999999</v>
      </c>
      <c r="I2085">
        <v>1344.0408935999999</v>
      </c>
      <c r="J2085">
        <v>1339.918457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1435.1643059999999</v>
      </c>
      <c r="B2086" s="1">
        <f>DATE(2014,4,5) + TIME(3,56,36)</f>
        <v>41734.164305555554</v>
      </c>
      <c r="C2086">
        <v>80</v>
      </c>
      <c r="D2086">
        <v>70.895591736</v>
      </c>
      <c r="E2086">
        <v>50</v>
      </c>
      <c r="F2086">
        <v>49.980213165000002</v>
      </c>
      <c r="G2086">
        <v>1322.7227783000001</v>
      </c>
      <c r="H2086">
        <v>1318.6766356999999</v>
      </c>
      <c r="I2086">
        <v>1344.0329589999999</v>
      </c>
      <c r="J2086">
        <v>1339.9140625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1439.6738580000001</v>
      </c>
      <c r="B2087" s="1">
        <f>DATE(2014,4,9) + TIME(16,10,21)</f>
        <v>41738.673854166664</v>
      </c>
      <c r="C2087">
        <v>80</v>
      </c>
      <c r="D2087">
        <v>70.596839904999996</v>
      </c>
      <c r="E2087">
        <v>50</v>
      </c>
      <c r="F2087">
        <v>49.980232239000003</v>
      </c>
      <c r="G2087">
        <v>1322.6380615</v>
      </c>
      <c r="H2087">
        <v>1318.5604248</v>
      </c>
      <c r="I2087">
        <v>1344.0242920000001</v>
      </c>
      <c r="J2087">
        <v>1339.9090576000001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1444.1889180000001</v>
      </c>
      <c r="B2088" s="1">
        <f>DATE(2014,4,14) + TIME(4,32,2)</f>
        <v>41743.18891203704</v>
      </c>
      <c r="C2088">
        <v>80</v>
      </c>
      <c r="D2088">
        <v>70.269950867000006</v>
      </c>
      <c r="E2088">
        <v>50</v>
      </c>
      <c r="F2088">
        <v>49.980251312</v>
      </c>
      <c r="G2088">
        <v>1322.5487060999999</v>
      </c>
      <c r="H2088">
        <v>1318.4379882999999</v>
      </c>
      <c r="I2088">
        <v>1344.0151367000001</v>
      </c>
      <c r="J2088">
        <v>1339.9036865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1448.7192339999999</v>
      </c>
      <c r="B2089" s="1">
        <f>DATE(2014,4,18) + TIME(17,15,41)</f>
        <v>41747.719224537039</v>
      </c>
      <c r="C2089">
        <v>80</v>
      </c>
      <c r="D2089">
        <v>69.933868407999995</v>
      </c>
      <c r="E2089">
        <v>50</v>
      </c>
      <c r="F2089">
        <v>49.980266571000001</v>
      </c>
      <c r="G2089">
        <v>1322.4597168</v>
      </c>
      <c r="H2089">
        <v>1318.3153076000001</v>
      </c>
      <c r="I2089">
        <v>1344.0058594</v>
      </c>
      <c r="J2089">
        <v>1339.8983154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1453.303795</v>
      </c>
      <c r="B2090" s="1">
        <f>DATE(2014,4,23) + TIME(7,17,27)</f>
        <v>41752.303784722222</v>
      </c>
      <c r="C2090">
        <v>80</v>
      </c>
      <c r="D2090">
        <v>69.589332580999994</v>
      </c>
      <c r="E2090">
        <v>50</v>
      </c>
      <c r="F2090">
        <v>49.980285645000002</v>
      </c>
      <c r="G2090">
        <v>1322.3726807</v>
      </c>
      <c r="H2090">
        <v>1318.1951904</v>
      </c>
      <c r="I2090">
        <v>1343.9967041</v>
      </c>
      <c r="J2090">
        <v>1339.8928223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1457.996701</v>
      </c>
      <c r="B2091" s="1">
        <f>DATE(2014,4,27) + TIME(23,55,15)</f>
        <v>41756.996701388889</v>
      </c>
      <c r="C2091">
        <v>80</v>
      </c>
      <c r="D2091">
        <v>69.234275818</v>
      </c>
      <c r="E2091">
        <v>50</v>
      </c>
      <c r="F2091">
        <v>49.980308532999999</v>
      </c>
      <c r="G2091">
        <v>1322.2869873</v>
      </c>
      <c r="H2091">
        <v>1318.0767822</v>
      </c>
      <c r="I2091">
        <v>1343.9874268000001</v>
      </c>
      <c r="J2091">
        <v>1339.887207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1461</v>
      </c>
      <c r="B2092" s="1">
        <f>DATE(2014,5,1) + TIME(0,0,0)</f>
        <v>41760</v>
      </c>
      <c r="C2092">
        <v>80</v>
      </c>
      <c r="D2092">
        <v>68.885963439999998</v>
      </c>
      <c r="E2092">
        <v>50</v>
      </c>
      <c r="F2092">
        <v>49.980316162000001</v>
      </c>
      <c r="G2092">
        <v>1322.2027588000001</v>
      </c>
      <c r="H2092">
        <v>1317.9620361</v>
      </c>
      <c r="I2092">
        <v>1343.9782714999999</v>
      </c>
      <c r="J2092">
        <v>1339.8815918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1461.0000010000001</v>
      </c>
      <c r="B2093" s="1">
        <f>DATE(2014,5,1) + TIME(0,0,0)</f>
        <v>41760</v>
      </c>
      <c r="C2093">
        <v>80</v>
      </c>
      <c r="D2093">
        <v>68.886024474999999</v>
      </c>
      <c r="E2093">
        <v>50</v>
      </c>
      <c r="F2093">
        <v>49.980300903</v>
      </c>
      <c r="G2093">
        <v>1326.7156981999999</v>
      </c>
      <c r="H2093">
        <v>1322.2176514</v>
      </c>
      <c r="I2093">
        <v>1339.8718262</v>
      </c>
      <c r="J2093">
        <v>1336.2995605000001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1461.000004</v>
      </c>
      <c r="B2094" s="1">
        <f>DATE(2014,5,1) + TIME(0,0,0)</f>
        <v>41760</v>
      </c>
      <c r="C2094">
        <v>80</v>
      </c>
      <c r="D2094">
        <v>68.886199950999995</v>
      </c>
      <c r="E2094">
        <v>50</v>
      </c>
      <c r="F2094">
        <v>49.980251312</v>
      </c>
      <c r="G2094">
        <v>1326.7484131000001</v>
      </c>
      <c r="H2094">
        <v>1322.2618408000001</v>
      </c>
      <c r="I2094">
        <v>1339.8425293</v>
      </c>
      <c r="J2094">
        <v>1336.2703856999999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1461.0000130000001</v>
      </c>
      <c r="B2095" s="1">
        <f>DATE(2014,5,1) + TIME(0,0,1)</f>
        <v>41760.000011574077</v>
      </c>
      <c r="C2095">
        <v>80</v>
      </c>
      <c r="D2095">
        <v>68.886726378999995</v>
      </c>
      <c r="E2095">
        <v>50</v>
      </c>
      <c r="F2095">
        <v>49.980117798000002</v>
      </c>
      <c r="G2095">
        <v>1326.8442382999999</v>
      </c>
      <c r="H2095">
        <v>1322.3903809000001</v>
      </c>
      <c r="I2095">
        <v>1339.7567139</v>
      </c>
      <c r="J2095">
        <v>1336.1844481999999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1461.0000399999999</v>
      </c>
      <c r="B2096" s="1">
        <f>DATE(2014,5,1) + TIME(0,0,3)</f>
        <v>41760.000034722223</v>
      </c>
      <c r="C2096">
        <v>80</v>
      </c>
      <c r="D2096">
        <v>68.888198853000006</v>
      </c>
      <c r="E2096">
        <v>50</v>
      </c>
      <c r="F2096">
        <v>49.979728698999999</v>
      </c>
      <c r="G2096">
        <v>1327.1132812000001</v>
      </c>
      <c r="H2096">
        <v>1322.7431641000001</v>
      </c>
      <c r="I2096">
        <v>1339.5141602000001</v>
      </c>
      <c r="J2096">
        <v>1335.9418945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1461.000121</v>
      </c>
      <c r="B2097" s="1">
        <f>DATE(2014,5,1) + TIME(0,0,10)</f>
        <v>41760.000115740739</v>
      </c>
      <c r="C2097">
        <v>80</v>
      </c>
      <c r="D2097">
        <v>68.892021178999997</v>
      </c>
      <c r="E2097">
        <v>50</v>
      </c>
      <c r="F2097">
        <v>49.978744507000002</v>
      </c>
      <c r="G2097">
        <v>1327.7927245999999</v>
      </c>
      <c r="H2097">
        <v>1323.5870361</v>
      </c>
      <c r="I2097">
        <v>1338.8953856999999</v>
      </c>
      <c r="J2097">
        <v>1335.322876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1461.000364</v>
      </c>
      <c r="B2098" s="1">
        <f>DATE(2014,5,1) + TIME(0,0,31)</f>
        <v>41760.000358796293</v>
      </c>
      <c r="C2098">
        <v>80</v>
      </c>
      <c r="D2098">
        <v>68.900840759000005</v>
      </c>
      <c r="E2098">
        <v>50</v>
      </c>
      <c r="F2098">
        <v>49.976715087999999</v>
      </c>
      <c r="G2098">
        <v>1329.182251</v>
      </c>
      <c r="H2098">
        <v>1325.1524658000001</v>
      </c>
      <c r="I2098">
        <v>1337.6217041</v>
      </c>
      <c r="J2098">
        <v>1334.0490723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1461.0010930000001</v>
      </c>
      <c r="B2099" s="1">
        <f>DATE(2014,5,1) + TIME(0,1,34)</f>
        <v>41760.001087962963</v>
      </c>
      <c r="C2099">
        <v>80</v>
      </c>
      <c r="D2099">
        <v>68.920532226999995</v>
      </c>
      <c r="E2099">
        <v>50</v>
      </c>
      <c r="F2099">
        <v>49.973644256999997</v>
      </c>
      <c r="G2099">
        <v>1331.2929687999999</v>
      </c>
      <c r="H2099">
        <v>1327.2951660000001</v>
      </c>
      <c r="I2099">
        <v>1335.7145995999999</v>
      </c>
      <c r="J2099">
        <v>1332.1422118999999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1461.0032799999999</v>
      </c>
      <c r="B2100" s="1">
        <f>DATE(2014,5,1) + TIME(0,4,43)</f>
        <v>41760.003275462965</v>
      </c>
      <c r="C2100">
        <v>80</v>
      </c>
      <c r="D2100">
        <v>68.969772339000002</v>
      </c>
      <c r="E2100">
        <v>50</v>
      </c>
      <c r="F2100">
        <v>49.970046996999997</v>
      </c>
      <c r="G2100">
        <v>1333.7502440999999</v>
      </c>
      <c r="H2100">
        <v>1329.675293</v>
      </c>
      <c r="I2100">
        <v>1333.5520019999999</v>
      </c>
      <c r="J2100">
        <v>1329.9799805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1461.0098410000001</v>
      </c>
      <c r="B2101" s="1">
        <f>DATE(2014,5,1) + TIME(0,14,10)</f>
        <v>41760.009837962964</v>
      </c>
      <c r="C2101">
        <v>80</v>
      </c>
      <c r="D2101">
        <v>69.106285095000004</v>
      </c>
      <c r="E2101">
        <v>50</v>
      </c>
      <c r="F2101">
        <v>49.966049194</v>
      </c>
      <c r="G2101">
        <v>1336.2562256000001</v>
      </c>
      <c r="H2101">
        <v>1332.1048584</v>
      </c>
      <c r="I2101">
        <v>1331.3612060999999</v>
      </c>
      <c r="J2101">
        <v>1327.7895507999999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1461.029524</v>
      </c>
      <c r="B2102" s="1">
        <f>DATE(2014,5,1) + TIME(0,42,30)</f>
        <v>41760.029513888891</v>
      </c>
      <c r="C2102">
        <v>80</v>
      </c>
      <c r="D2102">
        <v>69.495925903</v>
      </c>
      <c r="E2102">
        <v>50</v>
      </c>
      <c r="F2102">
        <v>49.960979461999997</v>
      </c>
      <c r="G2102">
        <v>1338.7310791</v>
      </c>
      <c r="H2102">
        <v>1334.5261230000001</v>
      </c>
      <c r="I2102">
        <v>1329.1595459</v>
      </c>
      <c r="J2102">
        <v>1325.5789795000001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1461.051418</v>
      </c>
      <c r="B2103" s="1">
        <f>DATE(2014,5,1) + TIME(1,14,2)</f>
        <v>41760.051412037035</v>
      </c>
      <c r="C2103">
        <v>80</v>
      </c>
      <c r="D2103">
        <v>69.914031981999997</v>
      </c>
      <c r="E2103">
        <v>50</v>
      </c>
      <c r="F2103">
        <v>49.957214354999998</v>
      </c>
      <c r="G2103">
        <v>1340.1210937999999</v>
      </c>
      <c r="H2103">
        <v>1335.885376</v>
      </c>
      <c r="I2103">
        <v>1327.9104004000001</v>
      </c>
      <c r="J2103">
        <v>1324.3148193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1461.073965</v>
      </c>
      <c r="B2104" s="1">
        <f>DATE(2014,5,1) + TIME(1,46,30)</f>
        <v>41760.073958333334</v>
      </c>
      <c r="C2104">
        <v>80</v>
      </c>
      <c r="D2104">
        <v>70.329193114999995</v>
      </c>
      <c r="E2104">
        <v>50</v>
      </c>
      <c r="F2104">
        <v>49.954055785999998</v>
      </c>
      <c r="G2104">
        <v>1341.0168457</v>
      </c>
      <c r="H2104">
        <v>1336.7651367000001</v>
      </c>
      <c r="I2104">
        <v>1327.0860596</v>
      </c>
      <c r="J2104">
        <v>1323.4741211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1461.097109</v>
      </c>
      <c r="B2105" s="1">
        <f>DATE(2014,5,1) + TIME(2,19,50)</f>
        <v>41760.09710648148</v>
      </c>
      <c r="C2105">
        <v>80</v>
      </c>
      <c r="D2105">
        <v>70.739517211999996</v>
      </c>
      <c r="E2105">
        <v>50</v>
      </c>
      <c r="F2105">
        <v>49.951190947999997</v>
      </c>
      <c r="G2105">
        <v>1341.6591797000001</v>
      </c>
      <c r="H2105">
        <v>1337.3996582</v>
      </c>
      <c r="I2105">
        <v>1326.4779053</v>
      </c>
      <c r="J2105">
        <v>1322.8504639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1461.1208360000001</v>
      </c>
      <c r="B2106" s="1">
        <f>DATE(2014,5,1) + TIME(2,54,0)</f>
        <v>41760.120833333334</v>
      </c>
      <c r="C2106">
        <v>80</v>
      </c>
      <c r="D2106">
        <v>71.143844603999995</v>
      </c>
      <c r="E2106">
        <v>50</v>
      </c>
      <c r="F2106">
        <v>49.948490143000001</v>
      </c>
      <c r="G2106">
        <v>1342.1494141000001</v>
      </c>
      <c r="H2106">
        <v>1337.8869629000001</v>
      </c>
      <c r="I2106">
        <v>1326.0003661999999</v>
      </c>
      <c r="J2106">
        <v>1322.3594971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1461.1451520000001</v>
      </c>
      <c r="B2107" s="1">
        <f>DATE(2014,5,1) + TIME(3,29,1)</f>
        <v>41760.145150462966</v>
      </c>
      <c r="C2107">
        <v>80</v>
      </c>
      <c r="D2107">
        <v>71.541389464999995</v>
      </c>
      <c r="E2107">
        <v>50</v>
      </c>
      <c r="F2107">
        <v>49.945888519</v>
      </c>
      <c r="G2107">
        <v>1342.5390625</v>
      </c>
      <c r="H2107">
        <v>1338.2766113</v>
      </c>
      <c r="I2107">
        <v>1325.6107178</v>
      </c>
      <c r="J2107">
        <v>1321.9586182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1461.170071</v>
      </c>
      <c r="B2108" s="1">
        <f>DATE(2014,5,1) + TIME(4,4,54)</f>
        <v>41760.170069444444</v>
      </c>
      <c r="C2108">
        <v>80</v>
      </c>
      <c r="D2108">
        <v>71.931587218999994</v>
      </c>
      <c r="E2108">
        <v>50</v>
      </c>
      <c r="F2108">
        <v>49.943344115999999</v>
      </c>
      <c r="G2108">
        <v>1342.8575439000001</v>
      </c>
      <c r="H2108">
        <v>1338.5972899999999</v>
      </c>
      <c r="I2108">
        <v>1325.2844238</v>
      </c>
      <c r="J2108">
        <v>1321.6229248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1461.195608</v>
      </c>
      <c r="B2109" s="1">
        <f>DATE(2014,5,1) + TIME(4,41,40)</f>
        <v>41760.195601851854</v>
      </c>
      <c r="C2109">
        <v>80</v>
      </c>
      <c r="D2109">
        <v>72.313926696999999</v>
      </c>
      <c r="E2109">
        <v>50</v>
      </c>
      <c r="F2109">
        <v>49.940841675000001</v>
      </c>
      <c r="G2109">
        <v>1343.1235352000001</v>
      </c>
      <c r="H2109">
        <v>1338.8669434000001</v>
      </c>
      <c r="I2109">
        <v>1325.0061035000001</v>
      </c>
      <c r="J2109">
        <v>1321.3370361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1461.2217680000001</v>
      </c>
      <c r="B2110" s="1">
        <f>DATE(2014,5,1) + TIME(5,19,20)</f>
        <v>41760.221759259257</v>
      </c>
      <c r="C2110">
        <v>80</v>
      </c>
      <c r="D2110">
        <v>72.687835692999997</v>
      </c>
      <c r="E2110">
        <v>50</v>
      </c>
      <c r="F2110">
        <v>49.938358307000001</v>
      </c>
      <c r="G2110">
        <v>1343.3494873</v>
      </c>
      <c r="H2110">
        <v>1339.0975341999999</v>
      </c>
      <c r="I2110">
        <v>1324.7655029</v>
      </c>
      <c r="J2110">
        <v>1321.0902100000001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1461.2485569999999</v>
      </c>
      <c r="B2111" s="1">
        <f>DATE(2014,5,1) + TIME(5,57,55)</f>
        <v>41760.248553240737</v>
      </c>
      <c r="C2111">
        <v>80</v>
      </c>
      <c r="D2111">
        <v>73.052764893000003</v>
      </c>
      <c r="E2111">
        <v>50</v>
      </c>
      <c r="F2111">
        <v>49.935886383000003</v>
      </c>
      <c r="G2111">
        <v>1343.5441894999999</v>
      </c>
      <c r="H2111">
        <v>1339.2973632999999</v>
      </c>
      <c r="I2111">
        <v>1324.5554199000001</v>
      </c>
      <c r="J2111">
        <v>1320.875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1461.2759960000001</v>
      </c>
      <c r="B2112" s="1">
        <f>DATE(2014,5,1) + TIME(6,37,26)</f>
        <v>41760.275995370372</v>
      </c>
      <c r="C2112">
        <v>80</v>
      </c>
      <c r="D2112">
        <v>73.408493042000003</v>
      </c>
      <c r="E2112">
        <v>50</v>
      </c>
      <c r="F2112">
        <v>49.933418273999997</v>
      </c>
      <c r="G2112">
        <v>1343.7138672000001</v>
      </c>
      <c r="H2112">
        <v>1339.4726562000001</v>
      </c>
      <c r="I2112">
        <v>1324.3702393000001</v>
      </c>
      <c r="J2112">
        <v>1320.6856689000001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1461.3041109999999</v>
      </c>
      <c r="B2113" s="1">
        <f>DATE(2014,5,1) + TIME(7,17,55)</f>
        <v>41760.304108796299</v>
      </c>
      <c r="C2113">
        <v>80</v>
      </c>
      <c r="D2113">
        <v>73.754814147999994</v>
      </c>
      <c r="E2113">
        <v>50</v>
      </c>
      <c r="F2113">
        <v>49.930942535</v>
      </c>
      <c r="G2113">
        <v>1343.8634033000001</v>
      </c>
      <c r="H2113">
        <v>1339.6278076000001</v>
      </c>
      <c r="I2113">
        <v>1324.2061768000001</v>
      </c>
      <c r="J2113">
        <v>1320.5180664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1461.3329329999999</v>
      </c>
      <c r="B2114" s="1">
        <f>DATE(2014,5,1) + TIME(7,59,25)</f>
        <v>41760.332928240743</v>
      </c>
      <c r="C2114">
        <v>80</v>
      </c>
      <c r="D2114">
        <v>74.091606139999996</v>
      </c>
      <c r="E2114">
        <v>50</v>
      </c>
      <c r="F2114">
        <v>49.928459167</v>
      </c>
      <c r="G2114">
        <v>1343.9963379000001</v>
      </c>
      <c r="H2114">
        <v>1339.7662353999999</v>
      </c>
      <c r="I2114">
        <v>1324.0598144999999</v>
      </c>
      <c r="J2114">
        <v>1320.3686522999999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1461.3624910000001</v>
      </c>
      <c r="B2115" s="1">
        <f>DATE(2014,5,1) + TIME(8,41,59)</f>
        <v>41760.362488425926</v>
      </c>
      <c r="C2115">
        <v>80</v>
      </c>
      <c r="D2115">
        <v>74.418731688999998</v>
      </c>
      <c r="E2115">
        <v>50</v>
      </c>
      <c r="F2115">
        <v>49.925960541000002</v>
      </c>
      <c r="G2115">
        <v>1344.1153564000001</v>
      </c>
      <c r="H2115">
        <v>1339.8907471</v>
      </c>
      <c r="I2115">
        <v>1323.9288329999999</v>
      </c>
      <c r="J2115">
        <v>1320.2352295000001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1461.3928149999999</v>
      </c>
      <c r="B2116" s="1">
        <f>DATE(2014,5,1) + TIME(9,25,39)</f>
        <v>41760.392812500002</v>
      </c>
      <c r="C2116">
        <v>80</v>
      </c>
      <c r="D2116">
        <v>74.736061096</v>
      </c>
      <c r="E2116">
        <v>50</v>
      </c>
      <c r="F2116">
        <v>49.923439025999997</v>
      </c>
      <c r="G2116">
        <v>1344.2227783000001</v>
      </c>
      <c r="H2116">
        <v>1340.0032959</v>
      </c>
      <c r="I2116">
        <v>1323.8112793</v>
      </c>
      <c r="J2116">
        <v>1320.1154785000001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1461.4239500000001</v>
      </c>
      <c r="B2117" s="1">
        <f>DATE(2014,5,1) + TIME(10,10,29)</f>
        <v>41760.423946759256</v>
      </c>
      <c r="C2117">
        <v>80</v>
      </c>
      <c r="D2117">
        <v>75.043556213000002</v>
      </c>
      <c r="E2117">
        <v>50</v>
      </c>
      <c r="F2117">
        <v>49.920890808000003</v>
      </c>
      <c r="G2117">
        <v>1344.3200684000001</v>
      </c>
      <c r="H2117">
        <v>1340.1054687999999</v>
      </c>
      <c r="I2117">
        <v>1323.7055664</v>
      </c>
      <c r="J2117">
        <v>1320.0078125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1461.4559380000001</v>
      </c>
      <c r="B2118" s="1">
        <f>DATE(2014,5,1) + TIME(10,56,33)</f>
        <v>41760.455937500003</v>
      </c>
      <c r="C2118">
        <v>80</v>
      </c>
      <c r="D2118">
        <v>75.341018676999994</v>
      </c>
      <c r="E2118">
        <v>50</v>
      </c>
      <c r="F2118">
        <v>49.918315886999999</v>
      </c>
      <c r="G2118">
        <v>1344.4088135</v>
      </c>
      <c r="H2118">
        <v>1340.1987305</v>
      </c>
      <c r="I2118">
        <v>1323.6102295000001</v>
      </c>
      <c r="J2118">
        <v>1319.9108887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1461.488824</v>
      </c>
      <c r="B2119" s="1">
        <f>DATE(2014,5,1) + TIME(11,43,54)</f>
        <v>41760.488819444443</v>
      </c>
      <c r="C2119">
        <v>80</v>
      </c>
      <c r="D2119">
        <v>75.628593445000007</v>
      </c>
      <c r="E2119">
        <v>50</v>
      </c>
      <c r="F2119">
        <v>49.915706634999999</v>
      </c>
      <c r="G2119">
        <v>1344.4901123</v>
      </c>
      <c r="H2119">
        <v>1340.2839355000001</v>
      </c>
      <c r="I2119">
        <v>1323.5244141000001</v>
      </c>
      <c r="J2119">
        <v>1319.8234863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1461.5226580000001</v>
      </c>
      <c r="B2120" s="1">
        <f>DATE(2014,5,1) + TIME(12,32,37)</f>
        <v>41760.522650462961</v>
      </c>
      <c r="C2120">
        <v>80</v>
      </c>
      <c r="D2120">
        <v>75.906242371000005</v>
      </c>
      <c r="E2120">
        <v>50</v>
      </c>
      <c r="F2120">
        <v>49.913063049000002</v>
      </c>
      <c r="G2120">
        <v>1344.5646973</v>
      </c>
      <c r="H2120">
        <v>1340.3621826000001</v>
      </c>
      <c r="I2120">
        <v>1323.4470214999999</v>
      </c>
      <c r="J2120">
        <v>1319.7448730000001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1461.5574939999999</v>
      </c>
      <c r="B2121" s="1">
        <f>DATE(2014,5,1) + TIME(13,22,47)</f>
        <v>41760.557488425926</v>
      </c>
      <c r="C2121">
        <v>80</v>
      </c>
      <c r="D2121">
        <v>76.173965453999998</v>
      </c>
      <c r="E2121">
        <v>50</v>
      </c>
      <c r="F2121">
        <v>49.910373688</v>
      </c>
      <c r="G2121">
        <v>1344.6333007999999</v>
      </c>
      <c r="H2121">
        <v>1340.434082</v>
      </c>
      <c r="I2121">
        <v>1323.3773193</v>
      </c>
      <c r="J2121">
        <v>1319.6739502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1461.59339</v>
      </c>
      <c r="B2122" s="1">
        <f>DATE(2014,5,1) + TIME(14,14,28)</f>
        <v>41760.59337962963</v>
      </c>
      <c r="C2122">
        <v>80</v>
      </c>
      <c r="D2122">
        <v>76.431739807</v>
      </c>
      <c r="E2122">
        <v>50</v>
      </c>
      <c r="F2122">
        <v>49.907642365000001</v>
      </c>
      <c r="G2122">
        <v>1344.6966553</v>
      </c>
      <c r="H2122">
        <v>1340.5003661999999</v>
      </c>
      <c r="I2122">
        <v>1323.3146973</v>
      </c>
      <c r="J2122">
        <v>1319.6102295000001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1461.63041</v>
      </c>
      <c r="B2123" s="1">
        <f>DATE(2014,5,1) + TIME(15,7,47)</f>
        <v>41760.63040509259</v>
      </c>
      <c r="C2123">
        <v>80</v>
      </c>
      <c r="D2123">
        <v>76.679573059000006</v>
      </c>
      <c r="E2123">
        <v>50</v>
      </c>
      <c r="F2123">
        <v>49.904857634999999</v>
      </c>
      <c r="G2123">
        <v>1344.7553711</v>
      </c>
      <c r="H2123">
        <v>1340.5614014</v>
      </c>
      <c r="I2123">
        <v>1323.2584228999999</v>
      </c>
      <c r="J2123">
        <v>1319.5531006000001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1461.6686239999999</v>
      </c>
      <c r="B2124" s="1">
        <f>DATE(2014,5,1) + TIME(16,2,49)</f>
        <v>41760.668622685182</v>
      </c>
      <c r="C2124">
        <v>80</v>
      </c>
      <c r="D2124">
        <v>76.917472838999998</v>
      </c>
      <c r="E2124">
        <v>50</v>
      </c>
      <c r="F2124">
        <v>49.902019500999998</v>
      </c>
      <c r="G2124">
        <v>1344.8095702999999</v>
      </c>
      <c r="H2124">
        <v>1340.6177978999999</v>
      </c>
      <c r="I2124">
        <v>1323.2080077999999</v>
      </c>
      <c r="J2124">
        <v>1319.5018310999999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1461.7081069999999</v>
      </c>
      <c r="B2125" s="1">
        <f>DATE(2014,5,1) + TIME(16,59,40)</f>
        <v>41760.708101851851</v>
      </c>
      <c r="C2125">
        <v>80</v>
      </c>
      <c r="D2125">
        <v>77.145454407000003</v>
      </c>
      <c r="E2125">
        <v>50</v>
      </c>
      <c r="F2125">
        <v>49.899124145999998</v>
      </c>
      <c r="G2125">
        <v>1344.8599853999999</v>
      </c>
      <c r="H2125">
        <v>1340.6697998</v>
      </c>
      <c r="I2125">
        <v>1323.1629639</v>
      </c>
      <c r="J2125">
        <v>1319.4560547000001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1461.7489579999999</v>
      </c>
      <c r="B2126" s="1">
        <f>DATE(2014,5,1) + TIME(17,58,29)</f>
        <v>41760.74894675926</v>
      </c>
      <c r="C2126">
        <v>80</v>
      </c>
      <c r="D2126">
        <v>77.363624572999996</v>
      </c>
      <c r="E2126">
        <v>50</v>
      </c>
      <c r="F2126">
        <v>49.896160125999998</v>
      </c>
      <c r="G2126">
        <v>1344.9067382999999</v>
      </c>
      <c r="H2126">
        <v>1340.7177733999999</v>
      </c>
      <c r="I2126">
        <v>1323.1228027</v>
      </c>
      <c r="J2126">
        <v>1319.4151611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1461.7912530000001</v>
      </c>
      <c r="B2127" s="1">
        <f>DATE(2014,5,1) + TIME(18,59,24)</f>
        <v>41760.791250000002</v>
      </c>
      <c r="C2127">
        <v>80</v>
      </c>
      <c r="D2127">
        <v>77.571929932000003</v>
      </c>
      <c r="E2127">
        <v>50</v>
      </c>
      <c r="F2127">
        <v>49.893131255999997</v>
      </c>
      <c r="G2127">
        <v>1344.9501952999999</v>
      </c>
      <c r="H2127">
        <v>1340.762207</v>
      </c>
      <c r="I2127">
        <v>1323.0872803</v>
      </c>
      <c r="J2127">
        <v>1319.3790283000001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1461.8349900000001</v>
      </c>
      <c r="B2128" s="1">
        <f>DATE(2014,5,1) + TIME(20,2,23)</f>
        <v>41760.834988425922</v>
      </c>
      <c r="C2128">
        <v>80</v>
      </c>
      <c r="D2128">
        <v>77.769981384000005</v>
      </c>
      <c r="E2128">
        <v>50</v>
      </c>
      <c r="F2128">
        <v>49.890029906999999</v>
      </c>
      <c r="G2128">
        <v>1344.9906006000001</v>
      </c>
      <c r="H2128">
        <v>1340.8031006000001</v>
      </c>
      <c r="I2128">
        <v>1323.0559082</v>
      </c>
      <c r="J2128">
        <v>1319.3470459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1461.8802599999999</v>
      </c>
      <c r="B2129" s="1">
        <f>DATE(2014,5,1) + TIME(21,7,34)</f>
        <v>41760.880254629628</v>
      </c>
      <c r="C2129">
        <v>80</v>
      </c>
      <c r="D2129">
        <v>77.957878113000007</v>
      </c>
      <c r="E2129">
        <v>50</v>
      </c>
      <c r="F2129">
        <v>49.886856078999998</v>
      </c>
      <c r="G2129">
        <v>1345.0280762</v>
      </c>
      <c r="H2129">
        <v>1340.8409423999999</v>
      </c>
      <c r="I2129">
        <v>1323.0284423999999</v>
      </c>
      <c r="J2129">
        <v>1319.3189697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1461.9271630000001</v>
      </c>
      <c r="B2130" s="1">
        <f>DATE(2014,5,1) + TIME(22,15,6)</f>
        <v>41760.927152777775</v>
      </c>
      <c r="C2130">
        <v>80</v>
      </c>
      <c r="D2130">
        <v>78.135719299000002</v>
      </c>
      <c r="E2130">
        <v>50</v>
      </c>
      <c r="F2130">
        <v>49.883605957</v>
      </c>
      <c r="G2130">
        <v>1345.0628661999999</v>
      </c>
      <c r="H2130">
        <v>1340.8757324000001</v>
      </c>
      <c r="I2130">
        <v>1323.0043945</v>
      </c>
      <c r="J2130">
        <v>1319.2944336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1461.9758139999999</v>
      </c>
      <c r="B2131" s="1">
        <f>DATE(2014,5,1) + TIME(23,25,10)</f>
        <v>41760.975810185184</v>
      </c>
      <c r="C2131">
        <v>80</v>
      </c>
      <c r="D2131">
        <v>78.303642272999994</v>
      </c>
      <c r="E2131">
        <v>50</v>
      </c>
      <c r="F2131">
        <v>49.880264281999999</v>
      </c>
      <c r="G2131">
        <v>1345.0952147999999</v>
      </c>
      <c r="H2131">
        <v>1340.9078368999999</v>
      </c>
      <c r="I2131">
        <v>1322.9835204999999</v>
      </c>
      <c r="J2131">
        <v>1319.2731934000001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1462.0263460000001</v>
      </c>
      <c r="B2132" s="1">
        <f>DATE(2014,5,2) + TIME(0,37,56)</f>
        <v>41761.026342592595</v>
      </c>
      <c r="C2132">
        <v>80</v>
      </c>
      <c r="D2132">
        <v>78.461814880000006</v>
      </c>
      <c r="E2132">
        <v>50</v>
      </c>
      <c r="F2132">
        <v>49.876834869</v>
      </c>
      <c r="G2132">
        <v>1345.1253661999999</v>
      </c>
      <c r="H2132">
        <v>1340.9373779</v>
      </c>
      <c r="I2132">
        <v>1322.9654541</v>
      </c>
      <c r="J2132">
        <v>1319.2547606999999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1462.0788729999999</v>
      </c>
      <c r="B2133" s="1">
        <f>DATE(2014,5,2) + TIME(1,53,34)</f>
        <v>41761.078865740739</v>
      </c>
      <c r="C2133">
        <v>80</v>
      </c>
      <c r="D2133">
        <v>78.610328674000002</v>
      </c>
      <c r="E2133">
        <v>50</v>
      </c>
      <c r="F2133">
        <v>49.873302459999998</v>
      </c>
      <c r="G2133">
        <v>1345.1531981999999</v>
      </c>
      <c r="H2133">
        <v>1340.9644774999999</v>
      </c>
      <c r="I2133">
        <v>1322.9500731999999</v>
      </c>
      <c r="J2133">
        <v>1319.2388916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1462.1335409999999</v>
      </c>
      <c r="B2134" s="1">
        <f>DATE(2014,5,2) + TIME(3,12,17)</f>
        <v>41761.133530092593</v>
      </c>
      <c r="C2134">
        <v>80</v>
      </c>
      <c r="D2134">
        <v>78.749343871999997</v>
      </c>
      <c r="E2134">
        <v>50</v>
      </c>
      <c r="F2134">
        <v>49.869667053000001</v>
      </c>
      <c r="G2134">
        <v>1345.1791992000001</v>
      </c>
      <c r="H2134">
        <v>1340.9895019999999</v>
      </c>
      <c r="I2134">
        <v>1322.9368896000001</v>
      </c>
      <c r="J2134">
        <v>1319.2254639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1462.1905079999999</v>
      </c>
      <c r="B2135" s="1">
        <f>DATE(2014,5,2) + TIME(4,34,19)</f>
        <v>41761.190497685187</v>
      </c>
      <c r="C2135">
        <v>80</v>
      </c>
      <c r="D2135">
        <v>78.879043578999998</v>
      </c>
      <c r="E2135">
        <v>50</v>
      </c>
      <c r="F2135">
        <v>49.865913390999999</v>
      </c>
      <c r="G2135">
        <v>1345.203125</v>
      </c>
      <c r="H2135">
        <v>1341.0124512</v>
      </c>
      <c r="I2135">
        <v>1322.9257812000001</v>
      </c>
      <c r="J2135">
        <v>1319.2141113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1462.2499519999999</v>
      </c>
      <c r="B2136" s="1">
        <f>DATE(2014,5,2) + TIME(5,59,55)</f>
        <v>41761.249942129631</v>
      </c>
      <c r="C2136">
        <v>80</v>
      </c>
      <c r="D2136">
        <v>78.999633789000001</v>
      </c>
      <c r="E2136">
        <v>50</v>
      </c>
      <c r="F2136">
        <v>49.862033844000003</v>
      </c>
      <c r="G2136">
        <v>1345.2254639</v>
      </c>
      <c r="H2136">
        <v>1341.0335693</v>
      </c>
      <c r="I2136">
        <v>1322.916626</v>
      </c>
      <c r="J2136">
        <v>1319.2045897999999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1462.3120690000001</v>
      </c>
      <c r="B2137" s="1">
        <f>DATE(2014,5,2) + TIME(7,29,22)</f>
        <v>41761.312060185184</v>
      </c>
      <c r="C2137">
        <v>80</v>
      </c>
      <c r="D2137">
        <v>79.111328125</v>
      </c>
      <c r="E2137">
        <v>50</v>
      </c>
      <c r="F2137">
        <v>49.858024596999996</v>
      </c>
      <c r="G2137">
        <v>1345.2460937999999</v>
      </c>
      <c r="H2137">
        <v>1341.0528564000001</v>
      </c>
      <c r="I2137">
        <v>1322.9089355000001</v>
      </c>
      <c r="J2137">
        <v>1319.1966553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1462.3770790000001</v>
      </c>
      <c r="B2138" s="1">
        <f>DATE(2014,5,2) + TIME(9,2,59)</f>
        <v>41761.377071759256</v>
      </c>
      <c r="C2138">
        <v>80</v>
      </c>
      <c r="D2138">
        <v>79.214363098000007</v>
      </c>
      <c r="E2138">
        <v>50</v>
      </c>
      <c r="F2138">
        <v>49.853866576999998</v>
      </c>
      <c r="G2138">
        <v>1345.2651367000001</v>
      </c>
      <c r="H2138">
        <v>1341.0704346</v>
      </c>
      <c r="I2138">
        <v>1322.9027100000001</v>
      </c>
      <c r="J2138">
        <v>1319.1901855000001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1462.44523</v>
      </c>
      <c r="B2139" s="1">
        <f>DATE(2014,5,2) + TIME(10,41,7)</f>
        <v>41761.445219907408</v>
      </c>
      <c r="C2139">
        <v>80</v>
      </c>
      <c r="D2139">
        <v>79.308990479000002</v>
      </c>
      <c r="E2139">
        <v>50</v>
      </c>
      <c r="F2139">
        <v>49.849552154999998</v>
      </c>
      <c r="G2139">
        <v>1345.2825928</v>
      </c>
      <c r="H2139">
        <v>1341.0865478999999</v>
      </c>
      <c r="I2139">
        <v>1322.8977050999999</v>
      </c>
      <c r="J2139">
        <v>1319.1849365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1462.5167980000001</v>
      </c>
      <c r="B2140" s="1">
        <f>DATE(2014,5,2) + TIME(12,24,11)</f>
        <v>41761.516793981478</v>
      </c>
      <c r="C2140">
        <v>80</v>
      </c>
      <c r="D2140">
        <v>79.395500182999996</v>
      </c>
      <c r="E2140">
        <v>50</v>
      </c>
      <c r="F2140">
        <v>49.845062255999999</v>
      </c>
      <c r="G2140">
        <v>1345.2987060999999</v>
      </c>
      <c r="H2140">
        <v>1341.1013184000001</v>
      </c>
      <c r="I2140">
        <v>1322.8936768000001</v>
      </c>
      <c r="J2140">
        <v>1319.1806641000001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1462.5921000000001</v>
      </c>
      <c r="B2141" s="1">
        <f>DATE(2014,5,2) + TIME(14,12,37)</f>
        <v>41761.592094907406</v>
      </c>
      <c r="C2141">
        <v>80</v>
      </c>
      <c r="D2141">
        <v>79.474182128999999</v>
      </c>
      <c r="E2141">
        <v>50</v>
      </c>
      <c r="F2141">
        <v>49.840389252000001</v>
      </c>
      <c r="G2141">
        <v>1345.3134766000001</v>
      </c>
      <c r="H2141">
        <v>1341.114624</v>
      </c>
      <c r="I2141">
        <v>1322.890625</v>
      </c>
      <c r="J2141">
        <v>1319.1773682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1462.67154</v>
      </c>
      <c r="B2142" s="1">
        <f>DATE(2014,5,2) + TIME(16,7,1)</f>
        <v>41761.671539351853</v>
      </c>
      <c r="C2142">
        <v>80</v>
      </c>
      <c r="D2142">
        <v>79.545379639000004</v>
      </c>
      <c r="E2142">
        <v>50</v>
      </c>
      <c r="F2142">
        <v>49.835502624999997</v>
      </c>
      <c r="G2142">
        <v>1345.3269043</v>
      </c>
      <c r="H2142">
        <v>1341.1265868999999</v>
      </c>
      <c r="I2142">
        <v>1322.8881836</v>
      </c>
      <c r="J2142">
        <v>1319.1748047000001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1462.7555070000001</v>
      </c>
      <c r="B2143" s="1">
        <f>DATE(2014,5,2) + TIME(18,7,55)</f>
        <v>41761.755497685182</v>
      </c>
      <c r="C2143">
        <v>80</v>
      </c>
      <c r="D2143">
        <v>79.609405518000003</v>
      </c>
      <c r="E2143">
        <v>50</v>
      </c>
      <c r="F2143">
        <v>49.830394745</v>
      </c>
      <c r="G2143">
        <v>1345.3388672000001</v>
      </c>
      <c r="H2143">
        <v>1341.1373291</v>
      </c>
      <c r="I2143">
        <v>1322.8864745999999</v>
      </c>
      <c r="J2143">
        <v>1319.1728516000001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1462.8444629999999</v>
      </c>
      <c r="B2144" s="1">
        <f>DATE(2014,5,2) + TIME(20,16,1)</f>
        <v>41761.844456018516</v>
      </c>
      <c r="C2144">
        <v>80</v>
      </c>
      <c r="D2144">
        <v>79.666580199999999</v>
      </c>
      <c r="E2144">
        <v>50</v>
      </c>
      <c r="F2144">
        <v>49.825031281000001</v>
      </c>
      <c r="G2144">
        <v>1345.3497314000001</v>
      </c>
      <c r="H2144">
        <v>1341.1469727000001</v>
      </c>
      <c r="I2144">
        <v>1322.8851318</v>
      </c>
      <c r="J2144">
        <v>1319.1713867000001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1462.9389630000001</v>
      </c>
      <c r="B2145" s="1">
        <f>DATE(2014,5,2) + TIME(22,32,6)</f>
        <v>41761.938958333332</v>
      </c>
      <c r="C2145">
        <v>80</v>
      </c>
      <c r="D2145">
        <v>79.717292786000002</v>
      </c>
      <c r="E2145">
        <v>50</v>
      </c>
      <c r="F2145">
        <v>49.819396973000003</v>
      </c>
      <c r="G2145">
        <v>1345.3591309000001</v>
      </c>
      <c r="H2145">
        <v>1341.1555175999999</v>
      </c>
      <c r="I2145">
        <v>1322.8842772999999</v>
      </c>
      <c r="J2145">
        <v>1319.1702881000001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1463.037372</v>
      </c>
      <c r="B2146" s="1">
        <f>DATE(2014,5,3) + TIME(0,53,48)</f>
        <v>41762.037361111114</v>
      </c>
      <c r="C2146">
        <v>80</v>
      </c>
      <c r="D2146">
        <v>79.761070251000007</v>
      </c>
      <c r="E2146">
        <v>50</v>
      </c>
      <c r="F2146">
        <v>49.813575745000001</v>
      </c>
      <c r="G2146">
        <v>1345.3676757999999</v>
      </c>
      <c r="H2146">
        <v>1341.1630858999999</v>
      </c>
      <c r="I2146">
        <v>1322.8836670000001</v>
      </c>
      <c r="J2146">
        <v>1319.1695557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1463.136643</v>
      </c>
      <c r="B2147" s="1">
        <f>DATE(2014,5,3) + TIME(3,16,45)</f>
        <v>41762.136631944442</v>
      </c>
      <c r="C2147">
        <v>80</v>
      </c>
      <c r="D2147">
        <v>79.797622681000007</v>
      </c>
      <c r="E2147">
        <v>50</v>
      </c>
      <c r="F2147">
        <v>49.807727814000003</v>
      </c>
      <c r="G2147">
        <v>1345.3753661999999</v>
      </c>
      <c r="H2147">
        <v>1341.1696777</v>
      </c>
      <c r="I2147">
        <v>1322.8833007999999</v>
      </c>
      <c r="J2147">
        <v>1319.1689452999999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1463.2371579999999</v>
      </c>
      <c r="B2148" s="1">
        <f>DATE(2014,5,3) + TIME(5,41,30)</f>
        <v>41762.23715277778</v>
      </c>
      <c r="C2148">
        <v>80</v>
      </c>
      <c r="D2148">
        <v>79.828201293999996</v>
      </c>
      <c r="E2148">
        <v>50</v>
      </c>
      <c r="F2148">
        <v>49.801834106000001</v>
      </c>
      <c r="G2148">
        <v>1345.3812256000001</v>
      </c>
      <c r="H2148">
        <v>1341.1750488</v>
      </c>
      <c r="I2148">
        <v>1322.8830565999999</v>
      </c>
      <c r="J2148">
        <v>1319.168457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1463.3392120000001</v>
      </c>
      <c r="B2149" s="1">
        <f>DATE(2014,5,3) + TIME(8,8,27)</f>
        <v>41762.339201388888</v>
      </c>
      <c r="C2149">
        <v>80</v>
      </c>
      <c r="D2149">
        <v>79.853767395000006</v>
      </c>
      <c r="E2149">
        <v>50</v>
      </c>
      <c r="F2149">
        <v>49.795879364000001</v>
      </c>
      <c r="G2149">
        <v>1345.3856201000001</v>
      </c>
      <c r="H2149">
        <v>1341.1791992000001</v>
      </c>
      <c r="I2149">
        <v>1322.8828125</v>
      </c>
      <c r="J2149">
        <v>1319.1680908000001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1463.4430179999999</v>
      </c>
      <c r="B2150" s="1">
        <f>DATE(2014,5,3) + TIME(10,37,56)</f>
        <v>41762.443009259259</v>
      </c>
      <c r="C2150">
        <v>80</v>
      </c>
      <c r="D2150">
        <v>79.875137328999998</v>
      </c>
      <c r="E2150">
        <v>50</v>
      </c>
      <c r="F2150">
        <v>49.789855957</v>
      </c>
      <c r="G2150">
        <v>1345.3887939000001</v>
      </c>
      <c r="H2150">
        <v>1341.1824951000001</v>
      </c>
      <c r="I2150">
        <v>1322.8825684000001</v>
      </c>
      <c r="J2150">
        <v>1319.1677245999999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1463.548839</v>
      </c>
      <c r="B2151" s="1">
        <f>DATE(2014,5,3) + TIME(13,10,19)</f>
        <v>41762.548831018517</v>
      </c>
      <c r="C2151">
        <v>80</v>
      </c>
      <c r="D2151">
        <v>79.892967224000003</v>
      </c>
      <c r="E2151">
        <v>50</v>
      </c>
      <c r="F2151">
        <v>49.783744812000002</v>
      </c>
      <c r="G2151">
        <v>1345.3908690999999</v>
      </c>
      <c r="H2151">
        <v>1341.1848144999999</v>
      </c>
      <c r="I2151">
        <v>1322.8824463000001</v>
      </c>
      <c r="J2151">
        <v>1319.1673584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1463.6569489999999</v>
      </c>
      <c r="B2152" s="1">
        <f>DATE(2014,5,3) + TIME(15,46,0)</f>
        <v>41762.656944444447</v>
      </c>
      <c r="C2152">
        <v>80</v>
      </c>
      <c r="D2152">
        <v>79.907829285000005</v>
      </c>
      <c r="E2152">
        <v>50</v>
      </c>
      <c r="F2152">
        <v>49.777534484999997</v>
      </c>
      <c r="G2152">
        <v>1345.3917236</v>
      </c>
      <c r="H2152">
        <v>1341.1864014</v>
      </c>
      <c r="I2152">
        <v>1322.8823242000001</v>
      </c>
      <c r="J2152">
        <v>1319.1669922000001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1463.767642</v>
      </c>
      <c r="B2153" s="1">
        <f>DATE(2014,5,3) + TIME(18,25,24)</f>
        <v>41762.767638888887</v>
      </c>
      <c r="C2153">
        <v>80</v>
      </c>
      <c r="D2153">
        <v>79.920188904</v>
      </c>
      <c r="E2153">
        <v>50</v>
      </c>
      <c r="F2153">
        <v>49.771213531000001</v>
      </c>
      <c r="G2153">
        <v>1345.3917236</v>
      </c>
      <c r="H2153">
        <v>1341.1873779</v>
      </c>
      <c r="I2153">
        <v>1322.8820800999999</v>
      </c>
      <c r="J2153">
        <v>1319.166626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1463.8812339999999</v>
      </c>
      <c r="B2154" s="1">
        <f>DATE(2014,5,3) + TIME(21,8,58)</f>
        <v>41762.881226851852</v>
      </c>
      <c r="C2154">
        <v>80</v>
      </c>
      <c r="D2154">
        <v>79.930450438999998</v>
      </c>
      <c r="E2154">
        <v>50</v>
      </c>
      <c r="F2154">
        <v>49.764762877999999</v>
      </c>
      <c r="G2154">
        <v>1345.3907471</v>
      </c>
      <c r="H2154">
        <v>1341.1876221</v>
      </c>
      <c r="I2154">
        <v>1322.8818358999999</v>
      </c>
      <c r="J2154">
        <v>1319.1661377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1463.9970390000001</v>
      </c>
      <c r="B2155" s="1">
        <f>DATE(2014,5,3) + TIME(23,55,44)</f>
        <v>41762.997037037036</v>
      </c>
      <c r="C2155">
        <v>80</v>
      </c>
      <c r="D2155">
        <v>79.938880920000003</v>
      </c>
      <c r="E2155">
        <v>50</v>
      </c>
      <c r="F2155">
        <v>49.758220672999997</v>
      </c>
      <c r="G2155">
        <v>1345.3889160000001</v>
      </c>
      <c r="H2155">
        <v>1341.1872559000001</v>
      </c>
      <c r="I2155">
        <v>1322.8814697</v>
      </c>
      <c r="J2155">
        <v>1319.1657714999999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1464.114736</v>
      </c>
      <c r="B2156" s="1">
        <f>DATE(2014,5,4) + TIME(2,45,13)</f>
        <v>41763.114733796298</v>
      </c>
      <c r="C2156">
        <v>80</v>
      </c>
      <c r="D2156">
        <v>79.945777892999999</v>
      </c>
      <c r="E2156">
        <v>50</v>
      </c>
      <c r="F2156">
        <v>49.751602173000002</v>
      </c>
      <c r="G2156">
        <v>1345.3864745999999</v>
      </c>
      <c r="H2156">
        <v>1341.1864014</v>
      </c>
      <c r="I2156">
        <v>1322.8812256000001</v>
      </c>
      <c r="J2156">
        <v>1319.1651611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1464.234559</v>
      </c>
      <c r="B2157" s="1">
        <f>DATE(2014,5,4) + TIME(5,37,45)</f>
        <v>41763.234548611108</v>
      </c>
      <c r="C2157">
        <v>80</v>
      </c>
      <c r="D2157">
        <v>79.951408385999997</v>
      </c>
      <c r="E2157">
        <v>50</v>
      </c>
      <c r="F2157">
        <v>49.744892120000003</v>
      </c>
      <c r="G2157">
        <v>1345.3831786999999</v>
      </c>
      <c r="H2157">
        <v>1341.1850586</v>
      </c>
      <c r="I2157">
        <v>1322.8808594</v>
      </c>
      <c r="J2157">
        <v>1319.1646728999999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1464.3567849999999</v>
      </c>
      <c r="B2158" s="1">
        <f>DATE(2014,5,4) + TIME(8,33,46)</f>
        <v>41763.356782407405</v>
      </c>
      <c r="C2158">
        <v>80</v>
      </c>
      <c r="D2158">
        <v>79.956001282000003</v>
      </c>
      <c r="E2158">
        <v>50</v>
      </c>
      <c r="F2158">
        <v>49.738079071000001</v>
      </c>
      <c r="G2158">
        <v>1345.3792725000001</v>
      </c>
      <c r="H2158">
        <v>1341.1833495999999</v>
      </c>
      <c r="I2158">
        <v>1322.8803711</v>
      </c>
      <c r="J2158">
        <v>1319.1640625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1464.4816169999999</v>
      </c>
      <c r="B2159" s="1">
        <f>DATE(2014,5,4) + TIME(11,33,31)</f>
        <v>41763.481608796297</v>
      </c>
      <c r="C2159">
        <v>80</v>
      </c>
      <c r="D2159">
        <v>79.959739685000002</v>
      </c>
      <c r="E2159">
        <v>50</v>
      </c>
      <c r="F2159">
        <v>49.731159210000001</v>
      </c>
      <c r="G2159">
        <v>1345.3747559000001</v>
      </c>
      <c r="H2159">
        <v>1341.1811522999999</v>
      </c>
      <c r="I2159">
        <v>1322.8798827999999</v>
      </c>
      <c r="J2159">
        <v>1319.1634521000001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1464.609312</v>
      </c>
      <c r="B2160" s="1">
        <f>DATE(2014,5,4) + TIME(14,37,24)</f>
        <v>41763.609305555554</v>
      </c>
      <c r="C2160">
        <v>80</v>
      </c>
      <c r="D2160">
        <v>79.962776184000006</v>
      </c>
      <c r="E2160">
        <v>50</v>
      </c>
      <c r="F2160">
        <v>49.724117278999998</v>
      </c>
      <c r="G2160">
        <v>1345.3696289</v>
      </c>
      <c r="H2160">
        <v>1341.1785889</v>
      </c>
      <c r="I2160">
        <v>1322.8793945</v>
      </c>
      <c r="J2160">
        <v>1319.1627197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1464.74019</v>
      </c>
      <c r="B2161" s="1">
        <f>DATE(2014,5,4) + TIME(17,45,52)</f>
        <v>41763.740185185183</v>
      </c>
      <c r="C2161">
        <v>80</v>
      </c>
      <c r="D2161">
        <v>79.965248107999997</v>
      </c>
      <c r="E2161">
        <v>50</v>
      </c>
      <c r="F2161">
        <v>49.716934203999998</v>
      </c>
      <c r="G2161">
        <v>1345.3640137</v>
      </c>
      <c r="H2161">
        <v>1341.1756591999999</v>
      </c>
      <c r="I2161">
        <v>1322.8789062000001</v>
      </c>
      <c r="J2161">
        <v>1319.1619873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1464.8746349999999</v>
      </c>
      <c r="B2162" s="1">
        <f>DATE(2014,5,4) + TIME(20,59,28)</f>
        <v>41763.87462962963</v>
      </c>
      <c r="C2162">
        <v>80</v>
      </c>
      <c r="D2162">
        <v>79.967239379999995</v>
      </c>
      <c r="E2162">
        <v>50</v>
      </c>
      <c r="F2162">
        <v>49.709598540999998</v>
      </c>
      <c r="G2162">
        <v>1345.3579102000001</v>
      </c>
      <c r="H2162">
        <v>1341.1724853999999</v>
      </c>
      <c r="I2162">
        <v>1322.8782959</v>
      </c>
      <c r="J2162">
        <v>1319.1612548999999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1465.0130059999999</v>
      </c>
      <c r="B2163" s="1">
        <f>DATE(2014,5,5) + TIME(0,18,43)</f>
        <v>41764.012997685182</v>
      </c>
      <c r="C2163">
        <v>80</v>
      </c>
      <c r="D2163">
        <v>79.968856811999999</v>
      </c>
      <c r="E2163">
        <v>50</v>
      </c>
      <c r="F2163">
        <v>49.702095032000003</v>
      </c>
      <c r="G2163">
        <v>1345.3511963000001</v>
      </c>
      <c r="H2163">
        <v>1341.1690673999999</v>
      </c>
      <c r="I2163">
        <v>1322.8778076000001</v>
      </c>
      <c r="J2163">
        <v>1319.1604004000001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1465.155702</v>
      </c>
      <c r="B2164" s="1">
        <f>DATE(2014,5,5) + TIME(3,44,12)</f>
        <v>41764.155694444446</v>
      </c>
      <c r="C2164">
        <v>80</v>
      </c>
      <c r="D2164">
        <v>79.970153808999996</v>
      </c>
      <c r="E2164">
        <v>50</v>
      </c>
      <c r="F2164">
        <v>49.694400786999999</v>
      </c>
      <c r="G2164">
        <v>1345.3441161999999</v>
      </c>
      <c r="H2164">
        <v>1341.1652832</v>
      </c>
      <c r="I2164">
        <v>1322.8770752</v>
      </c>
      <c r="J2164">
        <v>1319.1595459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1465.3031679999999</v>
      </c>
      <c r="B2165" s="1">
        <f>DATE(2014,5,5) + TIME(7,16,33)</f>
        <v>41764.303159722222</v>
      </c>
      <c r="C2165">
        <v>80</v>
      </c>
      <c r="D2165">
        <v>79.971199036000002</v>
      </c>
      <c r="E2165">
        <v>50</v>
      </c>
      <c r="F2165">
        <v>49.686496734999999</v>
      </c>
      <c r="G2165">
        <v>1345.3365478999999</v>
      </c>
      <c r="H2165">
        <v>1341.1611327999999</v>
      </c>
      <c r="I2165">
        <v>1322.8764647999999</v>
      </c>
      <c r="J2165">
        <v>1319.1586914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1465.455901</v>
      </c>
      <c r="B2166" s="1">
        <f>DATE(2014,5,5) + TIME(10,56,29)</f>
        <v>41764.455891203703</v>
      </c>
      <c r="C2166">
        <v>80</v>
      </c>
      <c r="D2166">
        <v>79.972038268999995</v>
      </c>
      <c r="E2166">
        <v>50</v>
      </c>
      <c r="F2166">
        <v>49.6783638</v>
      </c>
      <c r="G2166">
        <v>1345.3284911999999</v>
      </c>
      <c r="H2166">
        <v>1341.1568603999999</v>
      </c>
      <c r="I2166">
        <v>1322.8757324000001</v>
      </c>
      <c r="J2166">
        <v>1319.1578368999999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1465.6142299999999</v>
      </c>
      <c r="B2167" s="1">
        <f>DATE(2014,5,5) + TIME(14,44,29)</f>
        <v>41764.614224537036</v>
      </c>
      <c r="C2167">
        <v>80</v>
      </c>
      <c r="D2167">
        <v>79.972709656000006</v>
      </c>
      <c r="E2167">
        <v>50</v>
      </c>
      <c r="F2167">
        <v>49.669986725000001</v>
      </c>
      <c r="G2167">
        <v>1345.3199463000001</v>
      </c>
      <c r="H2167">
        <v>1341.1522216999999</v>
      </c>
      <c r="I2167">
        <v>1322.875</v>
      </c>
      <c r="J2167">
        <v>1319.1568603999999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1465.776233</v>
      </c>
      <c r="B2168" s="1">
        <f>DATE(2014,5,5) + TIME(18,37,46)</f>
        <v>41764.776226851849</v>
      </c>
      <c r="C2168">
        <v>80</v>
      </c>
      <c r="D2168">
        <v>79.973236084000007</v>
      </c>
      <c r="E2168">
        <v>50</v>
      </c>
      <c r="F2168">
        <v>49.661449431999998</v>
      </c>
      <c r="G2168">
        <v>1345.3111572</v>
      </c>
      <c r="H2168">
        <v>1341.1474608999999</v>
      </c>
      <c r="I2168">
        <v>1322.8742675999999</v>
      </c>
      <c r="J2168">
        <v>1319.1558838000001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1465.9422669999999</v>
      </c>
      <c r="B2169" s="1">
        <f>DATE(2014,5,5) + TIME(22,36,51)</f>
        <v>41764.942256944443</v>
      </c>
      <c r="C2169">
        <v>80</v>
      </c>
      <c r="D2169">
        <v>79.973648071</v>
      </c>
      <c r="E2169">
        <v>50</v>
      </c>
      <c r="F2169">
        <v>49.652740479000002</v>
      </c>
      <c r="G2169">
        <v>1345.3018798999999</v>
      </c>
      <c r="H2169">
        <v>1341.1424560999999</v>
      </c>
      <c r="I2169">
        <v>1322.8734131000001</v>
      </c>
      <c r="J2169">
        <v>1319.1547852000001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1466.1126690000001</v>
      </c>
      <c r="B2170" s="1">
        <f>DATE(2014,5,6) + TIME(2,42,14)</f>
        <v>41765.112662037034</v>
      </c>
      <c r="C2170">
        <v>80</v>
      </c>
      <c r="D2170">
        <v>79.973976135000001</v>
      </c>
      <c r="E2170">
        <v>50</v>
      </c>
      <c r="F2170">
        <v>49.643844604000002</v>
      </c>
      <c r="G2170">
        <v>1345.2923584</v>
      </c>
      <c r="H2170">
        <v>1341.1373291</v>
      </c>
      <c r="I2170">
        <v>1322.8725586</v>
      </c>
      <c r="J2170">
        <v>1319.1536865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1466.28781</v>
      </c>
      <c r="B2171" s="1">
        <f>DATE(2014,5,6) + TIME(6,54,26)</f>
        <v>41765.287800925929</v>
      </c>
      <c r="C2171">
        <v>80</v>
      </c>
      <c r="D2171">
        <v>79.974227905000006</v>
      </c>
      <c r="E2171">
        <v>50</v>
      </c>
      <c r="F2171">
        <v>49.634750365999999</v>
      </c>
      <c r="G2171">
        <v>1345.2825928</v>
      </c>
      <c r="H2171">
        <v>1341.1320800999999</v>
      </c>
      <c r="I2171">
        <v>1322.8717041</v>
      </c>
      <c r="J2171">
        <v>1319.1525879000001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1466.468159</v>
      </c>
      <c r="B2172" s="1">
        <f>DATE(2014,5,6) + TIME(11,14,8)</f>
        <v>41765.468148148146</v>
      </c>
      <c r="C2172">
        <v>80</v>
      </c>
      <c r="D2172">
        <v>79.974426269999995</v>
      </c>
      <c r="E2172">
        <v>50</v>
      </c>
      <c r="F2172">
        <v>49.625434875000003</v>
      </c>
      <c r="G2172">
        <v>1345.2725829999999</v>
      </c>
      <c r="H2172">
        <v>1341.1265868999999</v>
      </c>
      <c r="I2172">
        <v>1322.8708495999999</v>
      </c>
      <c r="J2172">
        <v>1319.1514893000001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1466.654378</v>
      </c>
      <c r="B2173" s="1">
        <f>DATE(2014,5,6) + TIME(15,42,18)</f>
        <v>41765.654374999998</v>
      </c>
      <c r="C2173">
        <v>80</v>
      </c>
      <c r="D2173">
        <v>79.974586486999996</v>
      </c>
      <c r="E2173">
        <v>50</v>
      </c>
      <c r="F2173">
        <v>49.615871429000002</v>
      </c>
      <c r="G2173">
        <v>1345.262207</v>
      </c>
      <c r="H2173">
        <v>1341.1209716999999</v>
      </c>
      <c r="I2173">
        <v>1322.8698730000001</v>
      </c>
      <c r="J2173">
        <v>1319.1502685999999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1466.847031</v>
      </c>
      <c r="B2174" s="1">
        <f>DATE(2014,5,6) + TIME(20,19,43)</f>
        <v>41765.847025462965</v>
      </c>
      <c r="C2174">
        <v>80</v>
      </c>
      <c r="D2174">
        <v>79.974700928000004</v>
      </c>
      <c r="E2174">
        <v>50</v>
      </c>
      <c r="F2174">
        <v>49.606040954999997</v>
      </c>
      <c r="G2174">
        <v>1345.2514647999999</v>
      </c>
      <c r="H2174">
        <v>1341.1152344</v>
      </c>
      <c r="I2174">
        <v>1322.8690185999999</v>
      </c>
      <c r="J2174">
        <v>1319.1490478999999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1467.046758</v>
      </c>
      <c r="B2175" s="1">
        <f>DATE(2014,5,7) + TIME(1,7,19)</f>
        <v>41766.046747685185</v>
      </c>
      <c r="C2175">
        <v>80</v>
      </c>
      <c r="D2175">
        <v>79.974800110000004</v>
      </c>
      <c r="E2175">
        <v>50</v>
      </c>
      <c r="F2175">
        <v>49.595916748</v>
      </c>
      <c r="G2175">
        <v>1345.2406006000001</v>
      </c>
      <c r="H2175">
        <v>1341.109375</v>
      </c>
      <c r="I2175">
        <v>1322.8680420000001</v>
      </c>
      <c r="J2175">
        <v>1319.1478271000001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1467.2542860000001</v>
      </c>
      <c r="B2176" s="1">
        <f>DATE(2014,5,7) + TIME(6,6,10)</f>
        <v>41766.254282407404</v>
      </c>
      <c r="C2176">
        <v>80</v>
      </c>
      <c r="D2176">
        <v>79.974868774000001</v>
      </c>
      <c r="E2176">
        <v>50</v>
      </c>
      <c r="F2176">
        <v>49.585464477999999</v>
      </c>
      <c r="G2176">
        <v>1345.2292480000001</v>
      </c>
      <c r="H2176">
        <v>1341.1032714999999</v>
      </c>
      <c r="I2176">
        <v>1322.8669434000001</v>
      </c>
      <c r="J2176">
        <v>1319.1464844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1467.46903</v>
      </c>
      <c r="B2177" s="1">
        <f>DATE(2014,5,7) + TIME(11,15,24)</f>
        <v>41766.469027777777</v>
      </c>
      <c r="C2177">
        <v>80</v>
      </c>
      <c r="D2177">
        <v>79.974922179999993</v>
      </c>
      <c r="E2177">
        <v>50</v>
      </c>
      <c r="F2177">
        <v>49.574714661000002</v>
      </c>
      <c r="G2177">
        <v>1345.2176514</v>
      </c>
      <c r="H2177">
        <v>1341.0970459</v>
      </c>
      <c r="I2177">
        <v>1322.8659668</v>
      </c>
      <c r="J2177">
        <v>1319.1451416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1467.688234</v>
      </c>
      <c r="B2178" s="1">
        <f>DATE(2014,5,7) + TIME(16,31,3)</f>
        <v>41766.68822916667</v>
      </c>
      <c r="C2178">
        <v>80</v>
      </c>
      <c r="D2178">
        <v>79.974952697999996</v>
      </c>
      <c r="E2178">
        <v>50</v>
      </c>
      <c r="F2178">
        <v>49.563774109000001</v>
      </c>
      <c r="G2178">
        <v>1345.2058105000001</v>
      </c>
      <c r="H2178">
        <v>1341.0908202999999</v>
      </c>
      <c r="I2178">
        <v>1322.8647461</v>
      </c>
      <c r="J2178">
        <v>1319.1437988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1467.908582</v>
      </c>
      <c r="B2179" s="1">
        <f>DATE(2014,5,7) + TIME(21,48,21)</f>
        <v>41766.908576388887</v>
      </c>
      <c r="C2179">
        <v>80</v>
      </c>
      <c r="D2179">
        <v>79.974983214999995</v>
      </c>
      <c r="E2179">
        <v>50</v>
      </c>
      <c r="F2179">
        <v>49.552776336999997</v>
      </c>
      <c r="G2179">
        <v>1345.1939697</v>
      </c>
      <c r="H2179">
        <v>1341.0844727000001</v>
      </c>
      <c r="I2179">
        <v>1322.8636475000001</v>
      </c>
      <c r="J2179">
        <v>1319.1423339999999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1468.130586</v>
      </c>
      <c r="B2180" s="1">
        <f>DATE(2014,5,8) + TIME(3,8,2)</f>
        <v>41767.130578703705</v>
      </c>
      <c r="C2180">
        <v>80</v>
      </c>
      <c r="D2180">
        <v>79.974990844999994</v>
      </c>
      <c r="E2180">
        <v>50</v>
      </c>
      <c r="F2180">
        <v>49.541717529000003</v>
      </c>
      <c r="G2180">
        <v>1345.1821289</v>
      </c>
      <c r="H2180">
        <v>1341.078125</v>
      </c>
      <c r="I2180">
        <v>1322.8625488</v>
      </c>
      <c r="J2180">
        <v>1319.1408690999999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1468.354748</v>
      </c>
      <c r="B2181" s="1">
        <f>DATE(2014,5,8) + TIME(8,30,50)</f>
        <v>41767.354745370372</v>
      </c>
      <c r="C2181">
        <v>80</v>
      </c>
      <c r="D2181">
        <v>79.974998474000003</v>
      </c>
      <c r="E2181">
        <v>50</v>
      </c>
      <c r="F2181">
        <v>49.530578613000003</v>
      </c>
      <c r="G2181">
        <v>1345.1704102000001</v>
      </c>
      <c r="H2181">
        <v>1341.0718993999999</v>
      </c>
      <c r="I2181">
        <v>1322.8613281</v>
      </c>
      <c r="J2181">
        <v>1319.1394043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1468.5816339999999</v>
      </c>
      <c r="B2182" s="1">
        <f>DATE(2014,5,8) + TIME(13,57,33)</f>
        <v>41767.581631944442</v>
      </c>
      <c r="C2182">
        <v>80</v>
      </c>
      <c r="D2182">
        <v>79.974998474000003</v>
      </c>
      <c r="E2182">
        <v>50</v>
      </c>
      <c r="F2182">
        <v>49.519351958999998</v>
      </c>
      <c r="G2182">
        <v>1345.1586914</v>
      </c>
      <c r="H2182">
        <v>1341.0657959</v>
      </c>
      <c r="I2182">
        <v>1322.8602295000001</v>
      </c>
      <c r="J2182">
        <v>1319.1378173999999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1468.8116540000001</v>
      </c>
      <c r="B2183" s="1">
        <f>DATE(2014,5,8) + TIME(19,28,46)</f>
        <v>41767.811643518522</v>
      </c>
      <c r="C2183">
        <v>80</v>
      </c>
      <c r="D2183">
        <v>79.974998474000003</v>
      </c>
      <c r="E2183">
        <v>50</v>
      </c>
      <c r="F2183">
        <v>49.508022308000001</v>
      </c>
      <c r="G2183">
        <v>1345.1470947</v>
      </c>
      <c r="H2183">
        <v>1341.0596923999999</v>
      </c>
      <c r="I2183">
        <v>1322.8590088000001</v>
      </c>
      <c r="J2183">
        <v>1319.1363524999999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1469.0454119999999</v>
      </c>
      <c r="B2184" s="1">
        <f>DATE(2014,5,9) + TIME(1,5,23)</f>
        <v>41768.045405092591</v>
      </c>
      <c r="C2184">
        <v>80</v>
      </c>
      <c r="D2184">
        <v>79.974983214999995</v>
      </c>
      <c r="E2184">
        <v>50</v>
      </c>
      <c r="F2184">
        <v>49.496566772000001</v>
      </c>
      <c r="G2184">
        <v>1345.135376</v>
      </c>
      <c r="H2184">
        <v>1341.0535889</v>
      </c>
      <c r="I2184">
        <v>1322.8577881000001</v>
      </c>
      <c r="J2184">
        <v>1319.1347656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1469.2838119999999</v>
      </c>
      <c r="B2185" s="1">
        <f>DATE(2014,5,9) + TIME(6,48,41)</f>
        <v>41768.283807870372</v>
      </c>
      <c r="C2185">
        <v>80</v>
      </c>
      <c r="D2185">
        <v>79.974975585999999</v>
      </c>
      <c r="E2185">
        <v>50</v>
      </c>
      <c r="F2185">
        <v>49.484954834</v>
      </c>
      <c r="G2185">
        <v>1345.1237793</v>
      </c>
      <c r="H2185">
        <v>1341.0474853999999</v>
      </c>
      <c r="I2185">
        <v>1322.8565673999999</v>
      </c>
      <c r="J2185">
        <v>1319.1331786999999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1469.527484</v>
      </c>
      <c r="B2186" s="1">
        <f>DATE(2014,5,9) + TIME(12,39,34)</f>
        <v>41768.52747685185</v>
      </c>
      <c r="C2186">
        <v>80</v>
      </c>
      <c r="D2186">
        <v>79.974960327000005</v>
      </c>
      <c r="E2186">
        <v>50</v>
      </c>
      <c r="F2186">
        <v>49.473159789999997</v>
      </c>
      <c r="G2186">
        <v>1345.1121826000001</v>
      </c>
      <c r="H2186">
        <v>1341.0413818</v>
      </c>
      <c r="I2186">
        <v>1322.8552245999999</v>
      </c>
      <c r="J2186">
        <v>1319.1315918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1469.77711</v>
      </c>
      <c r="B2187" s="1">
        <f>DATE(2014,5,9) + TIME(18,39,2)</f>
        <v>41768.777106481481</v>
      </c>
      <c r="C2187">
        <v>80</v>
      </c>
      <c r="D2187">
        <v>79.974937439000001</v>
      </c>
      <c r="E2187">
        <v>50</v>
      </c>
      <c r="F2187">
        <v>49.461158752000003</v>
      </c>
      <c r="G2187">
        <v>1345.1004639</v>
      </c>
      <c r="H2187">
        <v>1341.0352783000001</v>
      </c>
      <c r="I2187">
        <v>1322.8540039</v>
      </c>
      <c r="J2187">
        <v>1319.1298827999999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1470.0334399999999</v>
      </c>
      <c r="B2188" s="1">
        <f>DATE(2014,5,10) + TIME(0,48,9)</f>
        <v>41769.033437500002</v>
      </c>
      <c r="C2188">
        <v>80</v>
      </c>
      <c r="D2188">
        <v>79.974922179999993</v>
      </c>
      <c r="E2188">
        <v>50</v>
      </c>
      <c r="F2188">
        <v>49.448921204000001</v>
      </c>
      <c r="G2188">
        <v>1345.0886230000001</v>
      </c>
      <c r="H2188">
        <v>1341.0291748</v>
      </c>
      <c r="I2188">
        <v>1322.8526611</v>
      </c>
      <c r="J2188">
        <v>1319.1281738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1470.2973119999999</v>
      </c>
      <c r="B2189" s="1">
        <f>DATE(2014,5,10) + TIME(7,8,7)</f>
        <v>41769.297303240739</v>
      </c>
      <c r="C2189">
        <v>80</v>
      </c>
      <c r="D2189">
        <v>79.974899292000003</v>
      </c>
      <c r="E2189">
        <v>50</v>
      </c>
      <c r="F2189">
        <v>49.436412810999997</v>
      </c>
      <c r="G2189">
        <v>1345.0767822</v>
      </c>
      <c r="H2189">
        <v>1341.0229492000001</v>
      </c>
      <c r="I2189">
        <v>1322.8511963000001</v>
      </c>
      <c r="J2189">
        <v>1319.1263428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1470.5654159999999</v>
      </c>
      <c r="B2190" s="1">
        <f>DATE(2014,5,10) + TIME(13,34,11)</f>
        <v>41769.565405092595</v>
      </c>
      <c r="C2190">
        <v>80</v>
      </c>
      <c r="D2190">
        <v>79.974876404</v>
      </c>
      <c r="E2190">
        <v>50</v>
      </c>
      <c r="F2190">
        <v>49.423755645999996</v>
      </c>
      <c r="G2190">
        <v>1345.0646973</v>
      </c>
      <c r="H2190">
        <v>1341.0168457</v>
      </c>
      <c r="I2190">
        <v>1322.8498535000001</v>
      </c>
      <c r="J2190">
        <v>1319.1245117000001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1470.838092</v>
      </c>
      <c r="B2191" s="1">
        <f>DATE(2014,5,10) + TIME(20,6,51)</f>
        <v>41769.838090277779</v>
      </c>
      <c r="C2191">
        <v>80</v>
      </c>
      <c r="D2191">
        <v>79.974845885999997</v>
      </c>
      <c r="E2191">
        <v>50</v>
      </c>
      <c r="F2191">
        <v>49.410938262999998</v>
      </c>
      <c r="G2191">
        <v>1345.0527344</v>
      </c>
      <c r="H2191">
        <v>1341.0106201000001</v>
      </c>
      <c r="I2191">
        <v>1322.8483887</v>
      </c>
      <c r="J2191">
        <v>1319.1226807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1471.1159070000001</v>
      </c>
      <c r="B2192" s="1">
        <f>DATE(2014,5,11) + TIME(2,46,54)</f>
        <v>41770.115902777776</v>
      </c>
      <c r="C2192">
        <v>80</v>
      </c>
      <c r="D2192">
        <v>79.974822997999993</v>
      </c>
      <c r="E2192">
        <v>50</v>
      </c>
      <c r="F2192">
        <v>49.397949218999997</v>
      </c>
      <c r="G2192">
        <v>1345.0407714999999</v>
      </c>
      <c r="H2192">
        <v>1341.0045166</v>
      </c>
      <c r="I2192">
        <v>1322.8468018000001</v>
      </c>
      <c r="J2192">
        <v>1319.1207274999999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1471.398171</v>
      </c>
      <c r="B2193" s="1">
        <f>DATE(2014,5,11) + TIME(9,33,21)</f>
        <v>41770.398159722223</v>
      </c>
      <c r="C2193">
        <v>80</v>
      </c>
      <c r="D2193">
        <v>79.974792480000005</v>
      </c>
      <c r="E2193">
        <v>50</v>
      </c>
      <c r="F2193">
        <v>49.384811401</v>
      </c>
      <c r="G2193">
        <v>1345.0288086</v>
      </c>
      <c r="H2193">
        <v>1340.9984131000001</v>
      </c>
      <c r="I2193">
        <v>1322.8453368999999</v>
      </c>
      <c r="J2193">
        <v>1319.1187743999999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1471.6847749999999</v>
      </c>
      <c r="B2194" s="1">
        <f>DATE(2014,5,11) + TIME(16,26,4)</f>
        <v>41770.68476851852</v>
      </c>
      <c r="C2194">
        <v>80</v>
      </c>
      <c r="D2194">
        <v>79.974761963000006</v>
      </c>
      <c r="E2194">
        <v>50</v>
      </c>
      <c r="F2194">
        <v>49.371532440000003</v>
      </c>
      <c r="G2194">
        <v>1345.0168457</v>
      </c>
      <c r="H2194">
        <v>1340.9923096</v>
      </c>
      <c r="I2194">
        <v>1322.84375</v>
      </c>
      <c r="J2194">
        <v>1319.1166992000001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1471.9761860000001</v>
      </c>
      <c r="B2195" s="1">
        <f>DATE(2014,5,11) + TIME(23,25,42)</f>
        <v>41770.976180555554</v>
      </c>
      <c r="C2195">
        <v>80</v>
      </c>
      <c r="D2195">
        <v>79.974731445000003</v>
      </c>
      <c r="E2195">
        <v>50</v>
      </c>
      <c r="F2195">
        <v>49.358104705999999</v>
      </c>
      <c r="G2195">
        <v>1345.0050048999999</v>
      </c>
      <c r="H2195">
        <v>1340.9863281</v>
      </c>
      <c r="I2195">
        <v>1322.8421631000001</v>
      </c>
      <c r="J2195">
        <v>1319.114624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1472.273001</v>
      </c>
      <c r="B2196" s="1">
        <f>DATE(2014,5,12) + TIME(6,33,7)</f>
        <v>41771.272997685184</v>
      </c>
      <c r="C2196">
        <v>80</v>
      </c>
      <c r="D2196">
        <v>79.974708557</v>
      </c>
      <c r="E2196">
        <v>50</v>
      </c>
      <c r="F2196">
        <v>49.344505310000002</v>
      </c>
      <c r="G2196">
        <v>1344.9930420000001</v>
      </c>
      <c r="H2196">
        <v>1340.9802245999999</v>
      </c>
      <c r="I2196">
        <v>1322.8404541</v>
      </c>
      <c r="J2196">
        <v>1319.1125488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1472.5763529999999</v>
      </c>
      <c r="B2197" s="1">
        <f>DATE(2014,5,12) + TIME(13,49,56)</f>
        <v>41771.576342592591</v>
      </c>
      <c r="C2197">
        <v>80</v>
      </c>
      <c r="D2197">
        <v>79.974678040000001</v>
      </c>
      <c r="E2197">
        <v>50</v>
      </c>
      <c r="F2197">
        <v>49.330699920999997</v>
      </c>
      <c r="G2197">
        <v>1344.9812012</v>
      </c>
      <c r="H2197">
        <v>1340.9742432</v>
      </c>
      <c r="I2197">
        <v>1322.8388672000001</v>
      </c>
      <c r="J2197">
        <v>1319.1103516000001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1472.8873329999999</v>
      </c>
      <c r="B2198" s="1">
        <f>DATE(2014,5,12) + TIME(21,17,45)</f>
        <v>41771.887326388889</v>
      </c>
      <c r="C2198">
        <v>80</v>
      </c>
      <c r="D2198">
        <v>79.974639893000003</v>
      </c>
      <c r="E2198">
        <v>50</v>
      </c>
      <c r="F2198">
        <v>49.316654204999999</v>
      </c>
      <c r="G2198">
        <v>1344.9693603999999</v>
      </c>
      <c r="H2198">
        <v>1340.9682617000001</v>
      </c>
      <c r="I2198">
        <v>1322.8371582</v>
      </c>
      <c r="J2198">
        <v>1319.1081543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1473.2068409999999</v>
      </c>
      <c r="B2199" s="1">
        <f>DATE(2014,5,13) + TIME(4,57,51)</f>
        <v>41772.20684027778</v>
      </c>
      <c r="C2199">
        <v>80</v>
      </c>
      <c r="D2199">
        <v>79.974609375</v>
      </c>
      <c r="E2199">
        <v>50</v>
      </c>
      <c r="F2199">
        <v>49.302333832000002</v>
      </c>
      <c r="G2199">
        <v>1344.9573975000001</v>
      </c>
      <c r="H2199">
        <v>1340.9622803</v>
      </c>
      <c r="I2199">
        <v>1322.8353271000001</v>
      </c>
      <c r="J2199">
        <v>1319.1058350000001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1473.535891</v>
      </c>
      <c r="B2200" s="1">
        <f>DATE(2014,5,13) + TIME(12,51,40)</f>
        <v>41772.535879629628</v>
      </c>
      <c r="C2200">
        <v>80</v>
      </c>
      <c r="D2200">
        <v>79.974578856999997</v>
      </c>
      <c r="E2200">
        <v>50</v>
      </c>
      <c r="F2200">
        <v>49.287700653000002</v>
      </c>
      <c r="G2200">
        <v>1344.9453125</v>
      </c>
      <c r="H2200">
        <v>1340.9561768000001</v>
      </c>
      <c r="I2200">
        <v>1322.8334961</v>
      </c>
      <c r="J2200">
        <v>1319.1033935999999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1473.8756149999999</v>
      </c>
      <c r="B2201" s="1">
        <f>DATE(2014,5,13) + TIME(21,0,53)</f>
        <v>41772.875613425924</v>
      </c>
      <c r="C2201">
        <v>80</v>
      </c>
      <c r="D2201">
        <v>79.974548339999998</v>
      </c>
      <c r="E2201">
        <v>50</v>
      </c>
      <c r="F2201">
        <v>49.272716522000003</v>
      </c>
      <c r="G2201">
        <v>1344.9331055</v>
      </c>
      <c r="H2201">
        <v>1340.9500731999999</v>
      </c>
      <c r="I2201">
        <v>1322.831543</v>
      </c>
      <c r="J2201">
        <v>1319.1009521000001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1474.225508</v>
      </c>
      <c r="B2202" s="1">
        <f>DATE(2014,5,14) + TIME(5,24,43)</f>
        <v>41773.225497685184</v>
      </c>
      <c r="C2202">
        <v>80</v>
      </c>
      <c r="D2202">
        <v>79.974510193</v>
      </c>
      <c r="E2202">
        <v>50</v>
      </c>
      <c r="F2202">
        <v>49.257392883000001</v>
      </c>
      <c r="G2202">
        <v>1344.9207764</v>
      </c>
      <c r="H2202">
        <v>1340.9439697</v>
      </c>
      <c r="I2202">
        <v>1322.8295897999999</v>
      </c>
      <c r="J2202">
        <v>1319.0983887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1474.579673</v>
      </c>
      <c r="B2203" s="1">
        <f>DATE(2014,5,14) + TIME(13,54,43)</f>
        <v>41773.579664351855</v>
      </c>
      <c r="C2203">
        <v>80</v>
      </c>
      <c r="D2203">
        <v>79.974479674999998</v>
      </c>
      <c r="E2203">
        <v>50</v>
      </c>
      <c r="F2203">
        <v>49.241905211999999</v>
      </c>
      <c r="G2203">
        <v>1344.9083252</v>
      </c>
      <c r="H2203">
        <v>1340.9377440999999</v>
      </c>
      <c r="I2203">
        <v>1322.8275146000001</v>
      </c>
      <c r="J2203">
        <v>1319.0957031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1474.938134</v>
      </c>
      <c r="B2204" s="1">
        <f>DATE(2014,5,14) + TIME(22,30,54)</f>
        <v>41773.938125000001</v>
      </c>
      <c r="C2204">
        <v>80</v>
      </c>
      <c r="D2204">
        <v>79.974441528</v>
      </c>
      <c r="E2204">
        <v>50</v>
      </c>
      <c r="F2204">
        <v>49.226280211999999</v>
      </c>
      <c r="G2204">
        <v>1344.8959961</v>
      </c>
      <c r="H2204">
        <v>1340.9316406</v>
      </c>
      <c r="I2204">
        <v>1322.8254394999999</v>
      </c>
      <c r="J2204">
        <v>1319.0930175999999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1475.3019389999999</v>
      </c>
      <c r="B2205" s="1">
        <f>DATE(2014,5,15) + TIME(7,14,47)</f>
        <v>41774.301932870374</v>
      </c>
      <c r="C2205">
        <v>80</v>
      </c>
      <c r="D2205">
        <v>79.974411011000001</v>
      </c>
      <c r="E2205">
        <v>50</v>
      </c>
      <c r="F2205">
        <v>49.210498809999997</v>
      </c>
      <c r="G2205">
        <v>1344.8836670000001</v>
      </c>
      <c r="H2205">
        <v>1340.9256591999999</v>
      </c>
      <c r="I2205">
        <v>1322.8233643000001</v>
      </c>
      <c r="J2205">
        <v>1319.0902100000001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1475.6719660000001</v>
      </c>
      <c r="B2206" s="1">
        <f>DATE(2014,5,15) + TIME(16,7,37)</f>
        <v>41774.671956018516</v>
      </c>
      <c r="C2206">
        <v>80</v>
      </c>
      <c r="D2206">
        <v>79.974372864000003</v>
      </c>
      <c r="E2206">
        <v>50</v>
      </c>
      <c r="F2206">
        <v>49.194541931000003</v>
      </c>
      <c r="G2206">
        <v>1344.8714600000001</v>
      </c>
      <c r="H2206">
        <v>1340.9195557</v>
      </c>
      <c r="I2206">
        <v>1322.8211670000001</v>
      </c>
      <c r="J2206">
        <v>1319.0872803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1476.049219</v>
      </c>
      <c r="B2207" s="1">
        <f>DATE(2014,5,16) + TIME(1,10,52)</f>
        <v>41775.049212962964</v>
      </c>
      <c r="C2207">
        <v>80</v>
      </c>
      <c r="D2207">
        <v>79.974342346</v>
      </c>
      <c r="E2207">
        <v>50</v>
      </c>
      <c r="F2207">
        <v>49.178386688000003</v>
      </c>
      <c r="G2207">
        <v>1344.8592529</v>
      </c>
      <c r="H2207">
        <v>1340.9135742000001</v>
      </c>
      <c r="I2207">
        <v>1322.8188477000001</v>
      </c>
      <c r="J2207">
        <v>1319.0843506000001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1476.434796</v>
      </c>
      <c r="B2208" s="1">
        <f>DATE(2014,5,16) + TIME(10,26,6)</f>
        <v>41775.434791666667</v>
      </c>
      <c r="C2208">
        <v>80</v>
      </c>
      <c r="D2208">
        <v>79.974304199000002</v>
      </c>
      <c r="E2208">
        <v>50</v>
      </c>
      <c r="F2208">
        <v>49.161998748999999</v>
      </c>
      <c r="G2208">
        <v>1344.8470459</v>
      </c>
      <c r="H2208">
        <v>1340.9075928</v>
      </c>
      <c r="I2208">
        <v>1322.8165283000001</v>
      </c>
      <c r="J2208">
        <v>1319.0812988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1476.8298850000001</v>
      </c>
      <c r="B2209" s="1">
        <f>DATE(2014,5,16) + TIME(19,55,2)</f>
        <v>41775.829884259256</v>
      </c>
      <c r="C2209">
        <v>80</v>
      </c>
      <c r="D2209">
        <v>79.974273682000003</v>
      </c>
      <c r="E2209">
        <v>50</v>
      </c>
      <c r="F2209">
        <v>49.145343781000001</v>
      </c>
      <c r="G2209">
        <v>1344.8348389</v>
      </c>
      <c r="H2209">
        <v>1340.9016113</v>
      </c>
      <c r="I2209">
        <v>1322.8142089999999</v>
      </c>
      <c r="J2209">
        <v>1319.0782471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1477.2357689999999</v>
      </c>
      <c r="B2210" s="1">
        <f>DATE(2014,5,17) + TIME(5,39,30)</f>
        <v>41776.235763888886</v>
      </c>
      <c r="C2210">
        <v>80</v>
      </c>
      <c r="D2210">
        <v>79.974235535000005</v>
      </c>
      <c r="E2210">
        <v>50</v>
      </c>
      <c r="F2210">
        <v>49.128376007</v>
      </c>
      <c r="G2210">
        <v>1344.8225098</v>
      </c>
      <c r="H2210">
        <v>1340.8955077999999</v>
      </c>
      <c r="I2210">
        <v>1322.8116454999999</v>
      </c>
      <c r="J2210">
        <v>1319.0749512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1477.6497039999999</v>
      </c>
      <c r="B2211" s="1">
        <f>DATE(2014,5,17) + TIME(15,35,34)</f>
        <v>41776.649699074071</v>
      </c>
      <c r="C2211">
        <v>80</v>
      </c>
      <c r="D2211">
        <v>79.974205017000003</v>
      </c>
      <c r="E2211">
        <v>50</v>
      </c>
      <c r="F2211">
        <v>49.111171722000002</v>
      </c>
      <c r="G2211">
        <v>1344.8101807</v>
      </c>
      <c r="H2211">
        <v>1340.8895264</v>
      </c>
      <c r="I2211">
        <v>1322.809082</v>
      </c>
      <c r="J2211">
        <v>1319.0715332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1478.06592</v>
      </c>
      <c r="B2212" s="1">
        <f>DATE(2014,5,18) + TIME(1,34,55)</f>
        <v>41777.06591435185</v>
      </c>
      <c r="C2212">
        <v>80</v>
      </c>
      <c r="D2212">
        <v>79.974166870000005</v>
      </c>
      <c r="E2212">
        <v>50</v>
      </c>
      <c r="F2212">
        <v>49.093898772999999</v>
      </c>
      <c r="G2212">
        <v>1344.7977295000001</v>
      </c>
      <c r="H2212">
        <v>1340.8834228999999</v>
      </c>
      <c r="I2212">
        <v>1322.8065185999999</v>
      </c>
      <c r="J2212">
        <v>1319.0681152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1478.485318</v>
      </c>
      <c r="B2213" s="1">
        <f>DATE(2014,5,18) + TIME(11,38,51)</f>
        <v>41777.485312500001</v>
      </c>
      <c r="C2213">
        <v>80</v>
      </c>
      <c r="D2213">
        <v>79.974128723000007</v>
      </c>
      <c r="E2213">
        <v>50</v>
      </c>
      <c r="F2213">
        <v>49.076557158999996</v>
      </c>
      <c r="G2213">
        <v>1344.7855225000001</v>
      </c>
      <c r="H2213">
        <v>1340.8775635</v>
      </c>
      <c r="I2213">
        <v>1322.8038329999999</v>
      </c>
      <c r="J2213">
        <v>1319.0645752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1478.90878</v>
      </c>
      <c r="B2214" s="1">
        <f>DATE(2014,5,18) + TIME(21,48,38)</f>
        <v>41777.908773148149</v>
      </c>
      <c r="C2214">
        <v>80</v>
      </c>
      <c r="D2214">
        <v>79.974098205999994</v>
      </c>
      <c r="E2214">
        <v>50</v>
      </c>
      <c r="F2214">
        <v>49.059143065999997</v>
      </c>
      <c r="G2214">
        <v>1344.7734375</v>
      </c>
      <c r="H2214">
        <v>1340.8717041</v>
      </c>
      <c r="I2214">
        <v>1322.8011475000001</v>
      </c>
      <c r="J2214">
        <v>1319.0609131000001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1479.3378700000001</v>
      </c>
      <c r="B2215" s="1">
        <f>DATE(2014,5,19) + TIME(8,6,31)</f>
        <v>41778.337858796294</v>
      </c>
      <c r="C2215">
        <v>80</v>
      </c>
      <c r="D2215">
        <v>79.974060058999996</v>
      </c>
      <c r="E2215">
        <v>50</v>
      </c>
      <c r="F2215">
        <v>49.041625977000002</v>
      </c>
      <c r="G2215">
        <v>1344.7613524999999</v>
      </c>
      <c r="H2215">
        <v>1340.8658447</v>
      </c>
      <c r="I2215">
        <v>1322.7983397999999</v>
      </c>
      <c r="J2215">
        <v>1319.057251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1479.7744640000001</v>
      </c>
      <c r="B2216" s="1">
        <f>DATE(2014,5,19) + TIME(18,35,13)</f>
        <v>41778.774456018517</v>
      </c>
      <c r="C2216">
        <v>80</v>
      </c>
      <c r="D2216">
        <v>79.974029540999993</v>
      </c>
      <c r="E2216">
        <v>50</v>
      </c>
      <c r="F2216">
        <v>49.023952483999999</v>
      </c>
      <c r="G2216">
        <v>1344.7495117000001</v>
      </c>
      <c r="H2216">
        <v>1340.8599853999999</v>
      </c>
      <c r="I2216">
        <v>1322.7955322</v>
      </c>
      <c r="J2216">
        <v>1319.0534668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1480.2196369999999</v>
      </c>
      <c r="B2217" s="1">
        <f>DATE(2014,5,20) + TIME(5,16,16)</f>
        <v>41779.219629629632</v>
      </c>
      <c r="C2217">
        <v>80</v>
      </c>
      <c r="D2217">
        <v>79.973991393999995</v>
      </c>
      <c r="E2217">
        <v>50</v>
      </c>
      <c r="F2217">
        <v>49.006092072000001</v>
      </c>
      <c r="G2217">
        <v>1344.7375488</v>
      </c>
      <c r="H2217">
        <v>1340.8542480000001</v>
      </c>
      <c r="I2217">
        <v>1322.7926024999999</v>
      </c>
      <c r="J2217">
        <v>1319.0495605000001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1480.6744490000001</v>
      </c>
      <c r="B2218" s="1">
        <f>DATE(2014,5,20) + TIME(16,11,12)</f>
        <v>41779.674444444441</v>
      </c>
      <c r="C2218">
        <v>80</v>
      </c>
      <c r="D2218">
        <v>79.973960876000007</v>
      </c>
      <c r="E2218">
        <v>50</v>
      </c>
      <c r="F2218">
        <v>48.988006591999998</v>
      </c>
      <c r="G2218">
        <v>1344.7255858999999</v>
      </c>
      <c r="H2218">
        <v>1340.8485106999999</v>
      </c>
      <c r="I2218">
        <v>1322.7895507999999</v>
      </c>
      <c r="J2218">
        <v>1319.0455322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1481.1382510000001</v>
      </c>
      <c r="B2219" s="1">
        <f>DATE(2014,5,21) + TIME(3,19,4)</f>
        <v>41780.138240740744</v>
      </c>
      <c r="C2219">
        <v>80</v>
      </c>
      <c r="D2219">
        <v>79.973922728999995</v>
      </c>
      <c r="E2219">
        <v>50</v>
      </c>
      <c r="F2219">
        <v>48.969699859999999</v>
      </c>
      <c r="G2219">
        <v>1344.7136230000001</v>
      </c>
      <c r="H2219">
        <v>1340.8427733999999</v>
      </c>
      <c r="I2219">
        <v>1322.7863769999999</v>
      </c>
      <c r="J2219">
        <v>1319.0413818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1481.612269</v>
      </c>
      <c r="B2220" s="1">
        <f>DATE(2014,5,21) + TIME(14,41,40)</f>
        <v>41780.612268518518</v>
      </c>
      <c r="C2220">
        <v>80</v>
      </c>
      <c r="D2220">
        <v>79.973892211999996</v>
      </c>
      <c r="E2220">
        <v>50</v>
      </c>
      <c r="F2220">
        <v>48.951152802000003</v>
      </c>
      <c r="G2220">
        <v>1344.7016602000001</v>
      </c>
      <c r="H2220">
        <v>1340.8369141000001</v>
      </c>
      <c r="I2220">
        <v>1322.7832031</v>
      </c>
      <c r="J2220">
        <v>1319.0371094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1482.097884</v>
      </c>
      <c r="B2221" s="1">
        <f>DATE(2014,5,22) + TIME(2,20,57)</f>
        <v>41781.097881944443</v>
      </c>
      <c r="C2221">
        <v>80</v>
      </c>
      <c r="D2221">
        <v>79.973854064999998</v>
      </c>
      <c r="E2221">
        <v>50</v>
      </c>
      <c r="F2221">
        <v>48.932315826</v>
      </c>
      <c r="G2221">
        <v>1344.6895752</v>
      </c>
      <c r="H2221">
        <v>1340.8311768000001</v>
      </c>
      <c r="I2221">
        <v>1322.7799072</v>
      </c>
      <c r="J2221">
        <v>1319.0325928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1482.592942</v>
      </c>
      <c r="B2222" s="1">
        <f>DATE(2014,5,22) + TIME(14,13,50)</f>
        <v>41781.592939814815</v>
      </c>
      <c r="C2222">
        <v>80</v>
      </c>
      <c r="D2222">
        <v>79.973815918</v>
      </c>
      <c r="E2222">
        <v>50</v>
      </c>
      <c r="F2222">
        <v>48.913242339999996</v>
      </c>
      <c r="G2222">
        <v>1344.6774902</v>
      </c>
      <c r="H2222">
        <v>1340.8253173999999</v>
      </c>
      <c r="I2222">
        <v>1322.7764893000001</v>
      </c>
      <c r="J2222">
        <v>1319.0279541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1483.0964570000001</v>
      </c>
      <c r="B2223" s="1">
        <f>DATE(2014,5,23) + TIME(2,18,53)</f>
        <v>41782.096446759257</v>
      </c>
      <c r="C2223">
        <v>80</v>
      </c>
      <c r="D2223">
        <v>79.973785399999997</v>
      </c>
      <c r="E2223">
        <v>50</v>
      </c>
      <c r="F2223">
        <v>48.893959045000003</v>
      </c>
      <c r="G2223">
        <v>1344.6654053</v>
      </c>
      <c r="H2223">
        <v>1340.8194579999999</v>
      </c>
      <c r="I2223">
        <v>1322.7729492000001</v>
      </c>
      <c r="J2223">
        <v>1319.0231934000001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1483.6100220000001</v>
      </c>
      <c r="B2224" s="1">
        <f>DATE(2014,5,23) + TIME(14,38,25)</f>
        <v>41782.610011574077</v>
      </c>
      <c r="C2224">
        <v>80</v>
      </c>
      <c r="D2224">
        <v>79.973747252999999</v>
      </c>
      <c r="E2224">
        <v>50</v>
      </c>
      <c r="F2224">
        <v>48.874443053999997</v>
      </c>
      <c r="G2224">
        <v>1344.6531981999999</v>
      </c>
      <c r="H2224">
        <v>1340.8137207</v>
      </c>
      <c r="I2224">
        <v>1322.7692870999999</v>
      </c>
      <c r="J2224">
        <v>1319.0181885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1484.135303</v>
      </c>
      <c r="B2225" s="1">
        <f>DATE(2014,5,24) + TIME(3,14,50)</f>
        <v>41783.135300925926</v>
      </c>
      <c r="C2225">
        <v>80</v>
      </c>
      <c r="D2225">
        <v>79.973716736</v>
      </c>
      <c r="E2225">
        <v>50</v>
      </c>
      <c r="F2225">
        <v>48.854656218999999</v>
      </c>
      <c r="G2225">
        <v>1344.6411132999999</v>
      </c>
      <c r="H2225">
        <v>1340.8078613</v>
      </c>
      <c r="I2225">
        <v>1322.7655029</v>
      </c>
      <c r="J2225">
        <v>1319.0130615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1484.674115</v>
      </c>
      <c r="B2226" s="1">
        <f>DATE(2014,5,24) + TIME(16,10,43)</f>
        <v>41783.674108796295</v>
      </c>
      <c r="C2226">
        <v>80</v>
      </c>
      <c r="D2226">
        <v>79.973678589000002</v>
      </c>
      <c r="E2226">
        <v>50</v>
      </c>
      <c r="F2226">
        <v>48.834556579999997</v>
      </c>
      <c r="G2226">
        <v>1344.6289062000001</v>
      </c>
      <c r="H2226">
        <v>1340.8020019999999</v>
      </c>
      <c r="I2226">
        <v>1322.7615966999999</v>
      </c>
      <c r="J2226">
        <v>1319.0078125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1485.2284669999999</v>
      </c>
      <c r="B2227" s="1">
        <f>DATE(2014,5,25) + TIME(5,28,59)</f>
        <v>41784.228460648148</v>
      </c>
      <c r="C2227">
        <v>80</v>
      </c>
      <c r="D2227">
        <v>79.973640442000004</v>
      </c>
      <c r="E2227">
        <v>50</v>
      </c>
      <c r="F2227">
        <v>48.814086914000001</v>
      </c>
      <c r="G2227">
        <v>1344.6165771000001</v>
      </c>
      <c r="H2227">
        <v>1340.7960204999999</v>
      </c>
      <c r="I2227">
        <v>1322.7575684000001</v>
      </c>
      <c r="J2227">
        <v>1319.0023193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1485.800606</v>
      </c>
      <c r="B2228" s="1">
        <f>DATE(2014,5,25) + TIME(19,12,52)</f>
        <v>41784.80060185185</v>
      </c>
      <c r="C2228">
        <v>80</v>
      </c>
      <c r="D2228">
        <v>79.973609924000002</v>
      </c>
      <c r="E2228">
        <v>50</v>
      </c>
      <c r="F2228">
        <v>48.793190002000003</v>
      </c>
      <c r="G2228">
        <v>1344.604126</v>
      </c>
      <c r="H2228">
        <v>1340.7901611</v>
      </c>
      <c r="I2228">
        <v>1322.7532959</v>
      </c>
      <c r="J2228">
        <v>1318.9964600000001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1486.38167</v>
      </c>
      <c r="B2229" s="1">
        <f>DATE(2014,5,26) + TIME(9,9,36)</f>
        <v>41785.381666666668</v>
      </c>
      <c r="C2229">
        <v>80</v>
      </c>
      <c r="D2229">
        <v>79.973571777000004</v>
      </c>
      <c r="E2229">
        <v>50</v>
      </c>
      <c r="F2229">
        <v>48.772033690999997</v>
      </c>
      <c r="G2229">
        <v>1344.5915527</v>
      </c>
      <c r="H2229">
        <v>1340.7840576000001</v>
      </c>
      <c r="I2229">
        <v>1322.7489014</v>
      </c>
      <c r="J2229">
        <v>1318.9904785000001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1486.9633879999999</v>
      </c>
      <c r="B2230" s="1">
        <f>DATE(2014,5,26) + TIME(23,7,16)</f>
        <v>41785.963379629633</v>
      </c>
      <c r="C2230">
        <v>80</v>
      </c>
      <c r="D2230">
        <v>79.973533630000006</v>
      </c>
      <c r="E2230">
        <v>50</v>
      </c>
      <c r="F2230">
        <v>48.750839233000001</v>
      </c>
      <c r="G2230">
        <v>1344.5789795000001</v>
      </c>
      <c r="H2230">
        <v>1340.7780762</v>
      </c>
      <c r="I2230">
        <v>1322.7443848</v>
      </c>
      <c r="J2230">
        <v>1318.9842529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1487.5459430000001</v>
      </c>
      <c r="B2231" s="1">
        <f>DATE(2014,5,27) + TIME(13,6,9)</f>
        <v>41786.545937499999</v>
      </c>
      <c r="C2231">
        <v>80</v>
      </c>
      <c r="D2231">
        <v>79.973495482999994</v>
      </c>
      <c r="E2231">
        <v>50</v>
      </c>
      <c r="F2231">
        <v>48.729686737000002</v>
      </c>
      <c r="G2231">
        <v>1344.5666504000001</v>
      </c>
      <c r="H2231">
        <v>1340.7722168</v>
      </c>
      <c r="I2231">
        <v>1322.7397461</v>
      </c>
      <c r="J2231">
        <v>1318.9779053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1488.1307220000001</v>
      </c>
      <c r="B2232" s="1">
        <f>DATE(2014,5,28) + TIME(3,8,14)</f>
        <v>41787.13071759259</v>
      </c>
      <c r="C2232">
        <v>80</v>
      </c>
      <c r="D2232">
        <v>79.973464965999995</v>
      </c>
      <c r="E2232">
        <v>50</v>
      </c>
      <c r="F2232">
        <v>48.708580017000003</v>
      </c>
      <c r="G2232">
        <v>1344.5544434000001</v>
      </c>
      <c r="H2232">
        <v>1340.7663574000001</v>
      </c>
      <c r="I2232">
        <v>1322.7349853999999</v>
      </c>
      <c r="J2232">
        <v>1318.9714355000001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1488.719069</v>
      </c>
      <c r="B2233" s="1">
        <f>DATE(2014,5,28) + TIME(17,15,27)</f>
        <v>41787.7190625</v>
      </c>
      <c r="C2233">
        <v>80</v>
      </c>
      <c r="D2233">
        <v>79.973426818999997</v>
      </c>
      <c r="E2233">
        <v>50</v>
      </c>
      <c r="F2233">
        <v>48.687519072999997</v>
      </c>
      <c r="G2233">
        <v>1344.5424805</v>
      </c>
      <c r="H2233">
        <v>1340.7606201000001</v>
      </c>
      <c r="I2233">
        <v>1322.7302245999999</v>
      </c>
      <c r="J2233">
        <v>1318.9648437999999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1489.3126580000001</v>
      </c>
      <c r="B2234" s="1">
        <f>DATE(2014,5,29) + TIME(7,30,13)</f>
        <v>41788.312650462962</v>
      </c>
      <c r="C2234">
        <v>80</v>
      </c>
      <c r="D2234">
        <v>79.973396300999994</v>
      </c>
      <c r="E2234">
        <v>50</v>
      </c>
      <c r="F2234">
        <v>48.666465758999998</v>
      </c>
      <c r="G2234">
        <v>1344.5305175999999</v>
      </c>
      <c r="H2234">
        <v>1340.7548827999999</v>
      </c>
      <c r="I2234">
        <v>1322.7253418</v>
      </c>
      <c r="J2234">
        <v>1318.9580077999999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1489.91527</v>
      </c>
      <c r="B2235" s="1">
        <f>DATE(2014,5,29) + TIME(21,57,59)</f>
        <v>41788.915266203701</v>
      </c>
      <c r="C2235">
        <v>80</v>
      </c>
      <c r="D2235">
        <v>79.973358153999996</v>
      </c>
      <c r="E2235">
        <v>50</v>
      </c>
      <c r="F2235">
        <v>48.645332336000003</v>
      </c>
      <c r="G2235">
        <v>1344.5187988</v>
      </c>
      <c r="H2235">
        <v>1340.7492675999999</v>
      </c>
      <c r="I2235">
        <v>1322.7204589999999</v>
      </c>
      <c r="J2235">
        <v>1318.9511719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1490.5287719999999</v>
      </c>
      <c r="B2236" s="1">
        <f>DATE(2014,5,30) + TIME(12,41,25)</f>
        <v>41789.528761574074</v>
      </c>
      <c r="C2236">
        <v>80</v>
      </c>
      <c r="D2236">
        <v>79.973327636999997</v>
      </c>
      <c r="E2236">
        <v>50</v>
      </c>
      <c r="F2236">
        <v>48.624065399000003</v>
      </c>
      <c r="G2236">
        <v>1344.5070800999999</v>
      </c>
      <c r="H2236">
        <v>1340.7435303</v>
      </c>
      <c r="I2236">
        <v>1322.715332</v>
      </c>
      <c r="J2236">
        <v>1318.9439697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1491.1549070000001</v>
      </c>
      <c r="B2237" s="1">
        <f>DATE(2014,5,31) + TIME(3,43,3)</f>
        <v>41790.154895833337</v>
      </c>
      <c r="C2237">
        <v>80</v>
      </c>
      <c r="D2237">
        <v>79.973297118999994</v>
      </c>
      <c r="E2237">
        <v>50</v>
      </c>
      <c r="F2237">
        <v>48.602603911999999</v>
      </c>
      <c r="G2237">
        <v>1344.4952393000001</v>
      </c>
      <c r="H2237">
        <v>1340.7379149999999</v>
      </c>
      <c r="I2237">
        <v>1322.7099608999999</v>
      </c>
      <c r="J2237">
        <v>1318.9366454999999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1491.795668</v>
      </c>
      <c r="B2238" s="1">
        <f>DATE(2014,5,31) + TIME(19,5,45)</f>
        <v>41790.795659722222</v>
      </c>
      <c r="C2238">
        <v>80</v>
      </c>
      <c r="D2238">
        <v>79.973258971999996</v>
      </c>
      <c r="E2238">
        <v>50</v>
      </c>
      <c r="F2238">
        <v>48.580890656000001</v>
      </c>
      <c r="G2238">
        <v>1344.4833983999999</v>
      </c>
      <c r="H2238">
        <v>1340.7321777</v>
      </c>
      <c r="I2238">
        <v>1322.7045897999999</v>
      </c>
      <c r="J2238">
        <v>1318.9289550999999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1492</v>
      </c>
      <c r="B2239" s="1">
        <f>DATE(2014,6,1) + TIME(0,0,0)</f>
        <v>41791</v>
      </c>
      <c r="C2239">
        <v>80</v>
      </c>
      <c r="D2239">
        <v>79.973236084000007</v>
      </c>
      <c r="E2239">
        <v>50</v>
      </c>
      <c r="F2239">
        <v>48.571041106999999</v>
      </c>
      <c r="G2239">
        <v>1344.4733887</v>
      </c>
      <c r="H2239">
        <v>1340.7279053</v>
      </c>
      <c r="I2239">
        <v>1322.6995850000001</v>
      </c>
      <c r="J2239">
        <v>1318.9224853999999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1492.657586</v>
      </c>
      <c r="B2240" s="1">
        <f>DATE(2014,6,1) + TIME(15,46,55)</f>
        <v>41791.657581018517</v>
      </c>
      <c r="C2240">
        <v>80</v>
      </c>
      <c r="D2240">
        <v>79.973213196000003</v>
      </c>
      <c r="E2240">
        <v>50</v>
      </c>
      <c r="F2240">
        <v>48.550331116000002</v>
      </c>
      <c r="G2240">
        <v>1344.4674072</v>
      </c>
      <c r="H2240">
        <v>1340.7243652</v>
      </c>
      <c r="I2240">
        <v>1322.6968993999999</v>
      </c>
      <c r="J2240">
        <v>1318.9180908000001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1493.3411020000001</v>
      </c>
      <c r="B2241" s="1">
        <f>DATE(2014,6,2) + TIME(8,11,11)</f>
        <v>41792.341099537036</v>
      </c>
      <c r="C2241">
        <v>80</v>
      </c>
      <c r="D2241">
        <v>79.973182678000001</v>
      </c>
      <c r="E2241">
        <v>50</v>
      </c>
      <c r="F2241">
        <v>48.528575897000003</v>
      </c>
      <c r="G2241">
        <v>1344.4558105000001</v>
      </c>
      <c r="H2241">
        <v>1340.7188721</v>
      </c>
      <c r="I2241">
        <v>1322.6910399999999</v>
      </c>
      <c r="J2241">
        <v>1318.9099120999999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1494.0474320000001</v>
      </c>
      <c r="B2242" s="1">
        <f>DATE(2014,6,3) + TIME(1,8,18)</f>
        <v>41793.047430555554</v>
      </c>
      <c r="C2242">
        <v>80</v>
      </c>
      <c r="D2242">
        <v>79.973152161000002</v>
      </c>
      <c r="E2242">
        <v>50</v>
      </c>
      <c r="F2242">
        <v>48.506000518999997</v>
      </c>
      <c r="G2242">
        <v>1344.4436035000001</v>
      </c>
      <c r="H2242">
        <v>1340.7130127</v>
      </c>
      <c r="I2242">
        <v>1322.6848144999999</v>
      </c>
      <c r="J2242">
        <v>1318.9012451000001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1494.770113</v>
      </c>
      <c r="B2243" s="1">
        <f>DATE(2014,6,3) + TIME(18,28,57)</f>
        <v>41793.770104166666</v>
      </c>
      <c r="C2243">
        <v>80</v>
      </c>
      <c r="D2243">
        <v>79.973114014000004</v>
      </c>
      <c r="E2243">
        <v>50</v>
      </c>
      <c r="F2243">
        <v>48.482841491999999</v>
      </c>
      <c r="G2243">
        <v>1344.4312743999999</v>
      </c>
      <c r="H2243">
        <v>1340.7070312000001</v>
      </c>
      <c r="I2243">
        <v>1322.6783447</v>
      </c>
      <c r="J2243">
        <v>1318.8920897999999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1495.510984</v>
      </c>
      <c r="B2244" s="1">
        <f>DATE(2014,6,4) + TIME(12,15,49)</f>
        <v>41794.510983796295</v>
      </c>
      <c r="C2244">
        <v>80</v>
      </c>
      <c r="D2244">
        <v>79.973075867000006</v>
      </c>
      <c r="E2244">
        <v>50</v>
      </c>
      <c r="F2244">
        <v>48.459194183000001</v>
      </c>
      <c r="G2244">
        <v>1344.4188231999999</v>
      </c>
      <c r="H2244">
        <v>1340.7010498</v>
      </c>
      <c r="I2244">
        <v>1322.6716309000001</v>
      </c>
      <c r="J2244">
        <v>1318.8825684000001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1496.272993</v>
      </c>
      <c r="B2245" s="1">
        <f>DATE(2014,6,5) + TIME(6,33,6)</f>
        <v>41795.272986111115</v>
      </c>
      <c r="C2245">
        <v>80</v>
      </c>
      <c r="D2245">
        <v>79.973045349000003</v>
      </c>
      <c r="E2245">
        <v>50</v>
      </c>
      <c r="F2245">
        <v>48.435070037999999</v>
      </c>
      <c r="G2245">
        <v>1344.40625</v>
      </c>
      <c r="H2245">
        <v>1340.6949463000001</v>
      </c>
      <c r="I2245">
        <v>1322.6645507999999</v>
      </c>
      <c r="J2245">
        <v>1318.8725586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1496.6608610000001</v>
      </c>
      <c r="B2246" s="1">
        <f>DATE(2014,6,5) + TIME(15,51,38)</f>
        <v>41795.660856481481</v>
      </c>
      <c r="C2246">
        <v>80</v>
      </c>
      <c r="D2246">
        <v>79.973014832000004</v>
      </c>
      <c r="E2246">
        <v>50</v>
      </c>
      <c r="F2246">
        <v>48.418945311999998</v>
      </c>
      <c r="G2246">
        <v>1344.3945312000001</v>
      </c>
      <c r="H2246">
        <v>1340.6895752</v>
      </c>
      <c r="I2246">
        <v>1322.6578368999999</v>
      </c>
      <c r="J2246">
        <v>1318.8632812000001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1497.0487290000001</v>
      </c>
      <c r="B2247" s="1">
        <f>DATE(2014,6,6) + TIME(1,10,10)</f>
        <v>41796.048726851855</v>
      </c>
      <c r="C2247">
        <v>80</v>
      </c>
      <c r="D2247">
        <v>79.972991942999997</v>
      </c>
      <c r="E2247">
        <v>50</v>
      </c>
      <c r="F2247">
        <v>48.404045105000002</v>
      </c>
      <c r="G2247">
        <v>1344.3874512</v>
      </c>
      <c r="H2247">
        <v>1340.6860352000001</v>
      </c>
      <c r="I2247">
        <v>1322.6536865</v>
      </c>
      <c r="J2247">
        <v>1318.8572998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1497.4365969999999</v>
      </c>
      <c r="B2248" s="1">
        <f>DATE(2014,6,6) + TIME(10,28,41)</f>
        <v>41796.436585648145</v>
      </c>
      <c r="C2248">
        <v>80</v>
      </c>
      <c r="D2248">
        <v>79.972969054999993</v>
      </c>
      <c r="E2248">
        <v>50</v>
      </c>
      <c r="F2248">
        <v>48.390003204000003</v>
      </c>
      <c r="G2248">
        <v>1344.3809814000001</v>
      </c>
      <c r="H2248">
        <v>1340.6827393000001</v>
      </c>
      <c r="I2248">
        <v>1322.6496582</v>
      </c>
      <c r="J2248">
        <v>1318.8514404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1497.8244649999999</v>
      </c>
      <c r="B2249" s="1">
        <f>DATE(2014,6,6) + TIME(19,47,13)</f>
        <v>41796.824456018519</v>
      </c>
      <c r="C2249">
        <v>80</v>
      </c>
      <c r="D2249">
        <v>79.972953795999999</v>
      </c>
      <c r="E2249">
        <v>50</v>
      </c>
      <c r="F2249">
        <v>48.376556395999998</v>
      </c>
      <c r="G2249">
        <v>1344.3746338000001</v>
      </c>
      <c r="H2249">
        <v>1340.6795654</v>
      </c>
      <c r="I2249">
        <v>1322.6456298999999</v>
      </c>
      <c r="J2249">
        <v>1318.8457031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1498.2123329999999</v>
      </c>
      <c r="B2250" s="1">
        <f>DATE(2014,6,7) + TIME(5,5,45)</f>
        <v>41797.212326388886</v>
      </c>
      <c r="C2250">
        <v>80</v>
      </c>
      <c r="D2250">
        <v>79.972930907999995</v>
      </c>
      <c r="E2250">
        <v>50</v>
      </c>
      <c r="F2250">
        <v>48.363540649000001</v>
      </c>
      <c r="G2250">
        <v>1344.3684082</v>
      </c>
      <c r="H2250">
        <v>1340.6765137</v>
      </c>
      <c r="I2250">
        <v>1322.6417236</v>
      </c>
      <c r="J2250">
        <v>1318.8399658000001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1498.600201</v>
      </c>
      <c r="B2251" s="1">
        <f>DATE(2014,6,7) + TIME(14,24,17)</f>
        <v>41797.60019675926</v>
      </c>
      <c r="C2251">
        <v>80</v>
      </c>
      <c r="D2251">
        <v>79.972915649000001</v>
      </c>
      <c r="E2251">
        <v>50</v>
      </c>
      <c r="F2251">
        <v>48.350837708</v>
      </c>
      <c r="G2251">
        <v>1344.3621826000001</v>
      </c>
      <c r="H2251">
        <v>1340.6734618999999</v>
      </c>
      <c r="I2251">
        <v>1322.6376952999999</v>
      </c>
      <c r="J2251">
        <v>1318.8342285000001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1499.375937</v>
      </c>
      <c r="B2252" s="1">
        <f>DATE(2014,6,8) + TIME(9,1,20)</f>
        <v>41798.375925925924</v>
      </c>
      <c r="C2252">
        <v>80</v>
      </c>
      <c r="D2252">
        <v>79.972900390999996</v>
      </c>
      <c r="E2252">
        <v>50</v>
      </c>
      <c r="F2252">
        <v>48.331920623999999</v>
      </c>
      <c r="G2252">
        <v>1344.3553466999999</v>
      </c>
      <c r="H2252">
        <v>1340.6699219</v>
      </c>
      <c r="I2252">
        <v>1322.6331786999999</v>
      </c>
      <c r="J2252">
        <v>1318.8275146000001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1500.1523649999999</v>
      </c>
      <c r="B2253" s="1">
        <f>DATE(2014,6,9) + TIME(3,39,24)</f>
        <v>41799.152361111112</v>
      </c>
      <c r="C2253">
        <v>80</v>
      </c>
      <c r="D2253">
        <v>79.972869872999993</v>
      </c>
      <c r="E2253">
        <v>50</v>
      </c>
      <c r="F2253">
        <v>48.310626984000002</v>
      </c>
      <c r="G2253">
        <v>1344.34375</v>
      </c>
      <c r="H2253">
        <v>1340.6644286999999</v>
      </c>
      <c r="I2253">
        <v>1322.6257324000001</v>
      </c>
      <c r="J2253">
        <v>1318.8168945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1500.9383660000001</v>
      </c>
      <c r="B2254" s="1">
        <f>DATE(2014,6,9) + TIME(22,31,14)</f>
        <v>41799.938356481478</v>
      </c>
      <c r="C2254">
        <v>80</v>
      </c>
      <c r="D2254">
        <v>79.972839355000005</v>
      </c>
      <c r="E2254">
        <v>50</v>
      </c>
      <c r="F2254">
        <v>48.288082123000002</v>
      </c>
      <c r="G2254">
        <v>1344.3319091999999</v>
      </c>
      <c r="H2254">
        <v>1340.6586914</v>
      </c>
      <c r="I2254">
        <v>1322.6179199000001</v>
      </c>
      <c r="J2254">
        <v>1318.8056641000001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1501.736979</v>
      </c>
      <c r="B2255" s="1">
        <f>DATE(2014,6,10) + TIME(17,41,14)</f>
        <v>41800.736967592595</v>
      </c>
      <c r="C2255">
        <v>80</v>
      </c>
      <c r="D2255">
        <v>79.972808838000006</v>
      </c>
      <c r="E2255">
        <v>50</v>
      </c>
      <c r="F2255">
        <v>48.264820098999998</v>
      </c>
      <c r="G2255">
        <v>1344.3200684000001</v>
      </c>
      <c r="H2255">
        <v>1340.652832</v>
      </c>
      <c r="I2255">
        <v>1322.6097411999999</v>
      </c>
      <c r="J2255">
        <v>1318.7939452999999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1502.55089</v>
      </c>
      <c r="B2256" s="1">
        <f>DATE(2014,6,11) + TIME(13,13,16)</f>
        <v>41801.550879629627</v>
      </c>
      <c r="C2256">
        <v>80</v>
      </c>
      <c r="D2256">
        <v>79.972778320000003</v>
      </c>
      <c r="E2256">
        <v>50</v>
      </c>
      <c r="F2256">
        <v>48.241085052000003</v>
      </c>
      <c r="G2256">
        <v>1344.3082274999999</v>
      </c>
      <c r="H2256">
        <v>1340.6469727000001</v>
      </c>
      <c r="I2256">
        <v>1322.6013184000001</v>
      </c>
      <c r="J2256">
        <v>1318.7818603999999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1503.3830250000001</v>
      </c>
      <c r="B2257" s="1">
        <f>DATE(2014,6,12) + TIME(9,11,33)</f>
        <v>41802.383020833331</v>
      </c>
      <c r="C2257">
        <v>80</v>
      </c>
      <c r="D2257">
        <v>79.972747803000004</v>
      </c>
      <c r="E2257">
        <v>50</v>
      </c>
      <c r="F2257">
        <v>48.216972351000003</v>
      </c>
      <c r="G2257">
        <v>1344.2962646000001</v>
      </c>
      <c r="H2257">
        <v>1340.6411132999999</v>
      </c>
      <c r="I2257">
        <v>1322.5926514</v>
      </c>
      <c r="J2257">
        <v>1318.7691649999999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1504.236216</v>
      </c>
      <c r="B2258" s="1">
        <f>DATE(2014,6,13) + TIME(5,40,9)</f>
        <v>41803.236215277779</v>
      </c>
      <c r="C2258">
        <v>80</v>
      </c>
      <c r="D2258">
        <v>79.972717285000002</v>
      </c>
      <c r="E2258">
        <v>50</v>
      </c>
      <c r="F2258">
        <v>48.192493439000003</v>
      </c>
      <c r="G2258">
        <v>1344.2843018000001</v>
      </c>
      <c r="H2258">
        <v>1340.6352539</v>
      </c>
      <c r="I2258">
        <v>1322.5836182</v>
      </c>
      <c r="J2258">
        <v>1318.7561035000001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1505.113895</v>
      </c>
      <c r="B2259" s="1">
        <f>DATE(2014,6,14) + TIME(2,44,0)</f>
        <v>41804.113888888889</v>
      </c>
      <c r="C2259">
        <v>80</v>
      </c>
      <c r="D2259">
        <v>79.972679138000004</v>
      </c>
      <c r="E2259">
        <v>50</v>
      </c>
      <c r="F2259">
        <v>48.167625426999997</v>
      </c>
      <c r="G2259">
        <v>1344.2720947</v>
      </c>
      <c r="H2259">
        <v>1340.6291504000001</v>
      </c>
      <c r="I2259">
        <v>1322.5742187999999</v>
      </c>
      <c r="J2259">
        <v>1318.7424315999999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1506.0149039999999</v>
      </c>
      <c r="B2260" s="1">
        <f>DATE(2014,6,15) + TIME(0,21,27)</f>
        <v>41805.01489583333</v>
      </c>
      <c r="C2260">
        <v>80</v>
      </c>
      <c r="D2260">
        <v>79.972648621000005</v>
      </c>
      <c r="E2260">
        <v>50</v>
      </c>
      <c r="F2260">
        <v>48.142372131000002</v>
      </c>
      <c r="G2260">
        <v>1344.2598877</v>
      </c>
      <c r="H2260">
        <v>1340.6231689000001</v>
      </c>
      <c r="I2260">
        <v>1322.5644531</v>
      </c>
      <c r="J2260">
        <v>1318.7281493999999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1506.9374580000001</v>
      </c>
      <c r="B2261" s="1">
        <f>DATE(2014,6,15) + TIME(22,29,56)</f>
        <v>41805.9374537037</v>
      </c>
      <c r="C2261">
        <v>80</v>
      </c>
      <c r="D2261">
        <v>79.972618103000002</v>
      </c>
      <c r="E2261">
        <v>50</v>
      </c>
      <c r="F2261">
        <v>48.116779327000003</v>
      </c>
      <c r="G2261">
        <v>1344.2474365</v>
      </c>
      <c r="H2261">
        <v>1340.6169434000001</v>
      </c>
      <c r="I2261">
        <v>1322.5543213000001</v>
      </c>
      <c r="J2261">
        <v>1318.7133789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1507.885053</v>
      </c>
      <c r="B2262" s="1">
        <f>DATE(2014,6,16) + TIME(21,14,28)</f>
        <v>41806.885046296295</v>
      </c>
      <c r="C2262">
        <v>80</v>
      </c>
      <c r="D2262">
        <v>79.972587584999999</v>
      </c>
      <c r="E2262">
        <v>50</v>
      </c>
      <c r="F2262">
        <v>48.090835571</v>
      </c>
      <c r="G2262">
        <v>1344.2349853999999</v>
      </c>
      <c r="H2262">
        <v>1340.6107178</v>
      </c>
      <c r="I2262">
        <v>1322.5437012</v>
      </c>
      <c r="J2262">
        <v>1318.6979980000001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1508.861472</v>
      </c>
      <c r="B2263" s="1">
        <f>DATE(2014,6,17) + TIME(20,40,31)</f>
        <v>41807.86146990741</v>
      </c>
      <c r="C2263">
        <v>80</v>
      </c>
      <c r="D2263">
        <v>79.972557068</v>
      </c>
      <c r="E2263">
        <v>50</v>
      </c>
      <c r="F2263">
        <v>48.064495086999997</v>
      </c>
      <c r="G2263">
        <v>1344.2222899999999</v>
      </c>
      <c r="H2263">
        <v>1340.6043701000001</v>
      </c>
      <c r="I2263">
        <v>1322.5328368999999</v>
      </c>
      <c r="J2263">
        <v>1318.6818848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1509.8711780000001</v>
      </c>
      <c r="B2264" s="1">
        <f>DATE(2014,6,18) + TIME(20,54,29)</f>
        <v>41808.871168981481</v>
      </c>
      <c r="C2264">
        <v>80</v>
      </c>
      <c r="D2264">
        <v>79.972526549999998</v>
      </c>
      <c r="E2264">
        <v>50</v>
      </c>
      <c r="F2264">
        <v>48.037693023999999</v>
      </c>
      <c r="G2264">
        <v>1344.2094727000001</v>
      </c>
      <c r="H2264">
        <v>1340.5979004000001</v>
      </c>
      <c r="I2264">
        <v>1322.5214844</v>
      </c>
      <c r="J2264">
        <v>1318.6651611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1510.3820410000001</v>
      </c>
      <c r="B2265" s="1">
        <f>DATE(2014,6,19) + TIME(9,10,8)</f>
        <v>41809.382037037038</v>
      </c>
      <c r="C2265">
        <v>80</v>
      </c>
      <c r="D2265">
        <v>79.972488403</v>
      </c>
      <c r="E2265">
        <v>50</v>
      </c>
      <c r="F2265">
        <v>48.018985747999999</v>
      </c>
      <c r="G2265">
        <v>1344.1976318</v>
      </c>
      <c r="H2265">
        <v>1340.5924072</v>
      </c>
      <c r="I2265">
        <v>1322.5104980000001</v>
      </c>
      <c r="J2265">
        <v>1318.6494141000001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1510.8929049999999</v>
      </c>
      <c r="B2266" s="1">
        <f>DATE(2014,6,19) + TIME(21,25,46)</f>
        <v>41809.892893518518</v>
      </c>
      <c r="C2266">
        <v>80</v>
      </c>
      <c r="D2266">
        <v>79.972473144999995</v>
      </c>
      <c r="E2266">
        <v>50</v>
      </c>
      <c r="F2266">
        <v>48.002288817999997</v>
      </c>
      <c r="G2266">
        <v>1344.1904297000001</v>
      </c>
      <c r="H2266">
        <v>1340.588501</v>
      </c>
      <c r="I2266">
        <v>1322.5036620999999</v>
      </c>
      <c r="J2266">
        <v>1318.6391602000001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1511.4037679999999</v>
      </c>
      <c r="B2267" s="1">
        <f>DATE(2014,6,20) + TIME(9,41,25)</f>
        <v>41810.403761574074</v>
      </c>
      <c r="C2267">
        <v>80</v>
      </c>
      <c r="D2267">
        <v>79.972450256000002</v>
      </c>
      <c r="E2267">
        <v>50</v>
      </c>
      <c r="F2267">
        <v>47.986869812000002</v>
      </c>
      <c r="G2267">
        <v>1344.1838379000001</v>
      </c>
      <c r="H2267">
        <v>1340.5850829999999</v>
      </c>
      <c r="I2267">
        <v>1322.4971923999999</v>
      </c>
      <c r="J2267">
        <v>1318.6292725000001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1511.9146310000001</v>
      </c>
      <c r="B2268" s="1">
        <f>DATE(2014,6,20) + TIME(21,57,4)</f>
        <v>41810.914629629631</v>
      </c>
      <c r="C2268">
        <v>80</v>
      </c>
      <c r="D2268">
        <v>79.972434997999997</v>
      </c>
      <c r="E2268">
        <v>50</v>
      </c>
      <c r="F2268">
        <v>47.972274779999999</v>
      </c>
      <c r="G2268">
        <v>1344.1773682</v>
      </c>
      <c r="H2268">
        <v>1340.5816649999999</v>
      </c>
      <c r="I2268">
        <v>1322.4907227000001</v>
      </c>
      <c r="J2268">
        <v>1318.6196289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1512.936357</v>
      </c>
      <c r="B2269" s="1">
        <f>DATE(2014,6,21) + TIME(22,28,21)</f>
        <v>41811.936354166668</v>
      </c>
      <c r="C2269">
        <v>80</v>
      </c>
      <c r="D2269">
        <v>79.972419739000003</v>
      </c>
      <c r="E2269">
        <v>50</v>
      </c>
      <c r="F2269">
        <v>47.951969147</v>
      </c>
      <c r="G2269">
        <v>1344.1702881000001</v>
      </c>
      <c r="H2269">
        <v>1340.5778809000001</v>
      </c>
      <c r="I2269">
        <v>1322.4835204999999</v>
      </c>
      <c r="J2269">
        <v>1318.6086425999999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1513.9596019999999</v>
      </c>
      <c r="B2270" s="1">
        <f>DATE(2014,6,22) + TIME(23,1,49)</f>
        <v>41812.959594907406</v>
      </c>
      <c r="C2270">
        <v>80</v>
      </c>
      <c r="D2270">
        <v>79.972396850999999</v>
      </c>
      <c r="E2270">
        <v>50</v>
      </c>
      <c r="F2270">
        <v>47.928436279000003</v>
      </c>
      <c r="G2270">
        <v>1344.1583252</v>
      </c>
      <c r="H2270">
        <v>1340.5718993999999</v>
      </c>
      <c r="I2270">
        <v>1322.4718018000001</v>
      </c>
      <c r="J2270">
        <v>1318.5914307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1514.996928</v>
      </c>
      <c r="B2271" s="1">
        <f>DATE(2014,6,23) + TIME(23,55,34)</f>
        <v>41813.996921296297</v>
      </c>
      <c r="C2271">
        <v>80</v>
      </c>
      <c r="D2271">
        <v>79.972366332999997</v>
      </c>
      <c r="E2271">
        <v>50</v>
      </c>
      <c r="F2271">
        <v>47.903541564999998</v>
      </c>
      <c r="G2271">
        <v>1344.1459961</v>
      </c>
      <c r="H2271">
        <v>1340.5656738</v>
      </c>
      <c r="I2271">
        <v>1322.4594727000001</v>
      </c>
      <c r="J2271">
        <v>1318.5732422000001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1516.051876</v>
      </c>
      <c r="B2272" s="1">
        <f>DATE(2014,6,25) + TIME(1,14,42)</f>
        <v>41815.051874999997</v>
      </c>
      <c r="C2272">
        <v>80</v>
      </c>
      <c r="D2272">
        <v>79.972335814999994</v>
      </c>
      <c r="E2272">
        <v>50</v>
      </c>
      <c r="F2272">
        <v>47.878044127999999</v>
      </c>
      <c r="G2272">
        <v>1344.1336670000001</v>
      </c>
      <c r="H2272">
        <v>1340.5594481999999</v>
      </c>
      <c r="I2272">
        <v>1322.4466553</v>
      </c>
      <c r="J2272">
        <v>1318.5541992000001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1517.1178440000001</v>
      </c>
      <c r="B2273" s="1">
        <f>DATE(2014,6,26) + TIME(2,49,41)</f>
        <v>41816.117835648147</v>
      </c>
      <c r="C2273">
        <v>80</v>
      </c>
      <c r="D2273">
        <v>79.972305297999995</v>
      </c>
      <c r="E2273">
        <v>50</v>
      </c>
      <c r="F2273">
        <v>47.852355957</v>
      </c>
      <c r="G2273">
        <v>1344.1213379000001</v>
      </c>
      <c r="H2273">
        <v>1340.5531006000001</v>
      </c>
      <c r="I2273">
        <v>1322.4334716999999</v>
      </c>
      <c r="J2273">
        <v>1318.5344238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1518.194857</v>
      </c>
      <c r="B2274" s="1">
        <f>DATE(2014,6,27) + TIME(4,40,35)</f>
        <v>41817.194849537038</v>
      </c>
      <c r="C2274">
        <v>80</v>
      </c>
      <c r="D2274">
        <v>79.972282410000005</v>
      </c>
      <c r="E2274">
        <v>50</v>
      </c>
      <c r="F2274">
        <v>47.826702118</v>
      </c>
      <c r="G2274">
        <v>1344.1091309000001</v>
      </c>
      <c r="H2274">
        <v>1340.5467529</v>
      </c>
      <c r="I2274">
        <v>1322.4199219</v>
      </c>
      <c r="J2274">
        <v>1318.5141602000001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1519.2916889999999</v>
      </c>
      <c r="B2275" s="1">
        <f>DATE(2014,6,28) + TIME(7,0,1)</f>
        <v>41818.291678240741</v>
      </c>
      <c r="C2275">
        <v>80</v>
      </c>
      <c r="D2275">
        <v>79.972251892000003</v>
      </c>
      <c r="E2275">
        <v>50</v>
      </c>
      <c r="F2275">
        <v>47.801105499000002</v>
      </c>
      <c r="G2275">
        <v>1344.0969238</v>
      </c>
      <c r="H2275">
        <v>1340.5404053</v>
      </c>
      <c r="I2275">
        <v>1322.40625</v>
      </c>
      <c r="J2275">
        <v>1318.4935303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1520.4123480000001</v>
      </c>
      <c r="B2276" s="1">
        <f>DATE(2014,6,29) + TIME(9,53,46)</f>
        <v>41819.41233796296</v>
      </c>
      <c r="C2276">
        <v>80</v>
      </c>
      <c r="D2276">
        <v>79.972221375000004</v>
      </c>
      <c r="E2276">
        <v>50</v>
      </c>
      <c r="F2276">
        <v>47.775535583</v>
      </c>
      <c r="G2276">
        <v>1344.0845947</v>
      </c>
      <c r="H2276">
        <v>1340.5340576000001</v>
      </c>
      <c r="I2276">
        <v>1322.3920897999999</v>
      </c>
      <c r="J2276">
        <v>1318.472168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1521.5615760000001</v>
      </c>
      <c r="B2277" s="1">
        <f>DATE(2014,6,30) + TIME(13,28,40)</f>
        <v>41820.561574074076</v>
      </c>
      <c r="C2277">
        <v>80</v>
      </c>
      <c r="D2277">
        <v>79.972198485999996</v>
      </c>
      <c r="E2277">
        <v>50</v>
      </c>
      <c r="F2277">
        <v>47.749942779999998</v>
      </c>
      <c r="G2277">
        <v>1344.0722656</v>
      </c>
      <c r="H2277">
        <v>1340.5277100000001</v>
      </c>
      <c r="I2277">
        <v>1322.3774414</v>
      </c>
      <c r="J2277">
        <v>1318.4501952999999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1522</v>
      </c>
      <c r="B2278" s="1">
        <f>DATE(2014,7,1) + TIME(0,0,0)</f>
        <v>41821</v>
      </c>
      <c r="C2278">
        <v>80</v>
      </c>
      <c r="D2278">
        <v>79.972167968999997</v>
      </c>
      <c r="E2278">
        <v>50</v>
      </c>
      <c r="F2278">
        <v>47.734760283999996</v>
      </c>
      <c r="G2278">
        <v>1344.0615233999999</v>
      </c>
      <c r="H2278">
        <v>1340.5225829999999</v>
      </c>
      <c r="I2278">
        <v>1322.3642577999999</v>
      </c>
      <c r="J2278">
        <v>1318.4305420000001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1523.1828660000001</v>
      </c>
      <c r="B2279" s="1">
        <f>DATE(2014,7,2) + TIME(4,23,19)</f>
        <v>41822.182858796295</v>
      </c>
      <c r="C2279">
        <v>80</v>
      </c>
      <c r="D2279">
        <v>79.972152710000003</v>
      </c>
      <c r="E2279">
        <v>50</v>
      </c>
      <c r="F2279">
        <v>47.712543488000001</v>
      </c>
      <c r="G2279">
        <v>1344.0546875</v>
      </c>
      <c r="H2279">
        <v>1340.5183105000001</v>
      </c>
      <c r="I2279">
        <v>1322.3557129000001</v>
      </c>
      <c r="J2279">
        <v>1318.4169922000001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1524.4079839999999</v>
      </c>
      <c r="B2280" s="1">
        <f>DATE(2014,7,3) + TIME(9,47,29)</f>
        <v>41823.40797453704</v>
      </c>
      <c r="C2280">
        <v>80</v>
      </c>
      <c r="D2280">
        <v>79.972129821999999</v>
      </c>
      <c r="E2280">
        <v>50</v>
      </c>
      <c r="F2280">
        <v>47.688320160000004</v>
      </c>
      <c r="G2280">
        <v>1344.0426024999999</v>
      </c>
      <c r="H2280">
        <v>1340.5119629000001</v>
      </c>
      <c r="I2280">
        <v>1322.3405762</v>
      </c>
      <c r="J2280">
        <v>1318.3941649999999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1525.6516509999999</v>
      </c>
      <c r="B2281" s="1">
        <f>DATE(2014,7,4) + TIME(15,38,22)</f>
        <v>41824.651643518519</v>
      </c>
      <c r="C2281">
        <v>80</v>
      </c>
      <c r="D2281">
        <v>79.972106933999996</v>
      </c>
      <c r="E2281">
        <v>50</v>
      </c>
      <c r="F2281">
        <v>47.66336441</v>
      </c>
      <c r="G2281">
        <v>1344.0299072</v>
      </c>
      <c r="H2281">
        <v>1340.5053711</v>
      </c>
      <c r="I2281">
        <v>1322.3245850000001</v>
      </c>
      <c r="J2281">
        <v>1318.3698730000001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1526.925943</v>
      </c>
      <c r="B2282" s="1">
        <f>DATE(2014,7,5) + TIME(22,13,21)</f>
        <v>41825.925937499997</v>
      </c>
      <c r="C2282">
        <v>80</v>
      </c>
      <c r="D2282">
        <v>79.972076415999993</v>
      </c>
      <c r="E2282">
        <v>50</v>
      </c>
      <c r="F2282">
        <v>47.638278960999997</v>
      </c>
      <c r="G2282">
        <v>1344.0170897999999</v>
      </c>
      <c r="H2282">
        <v>1340.4986572</v>
      </c>
      <c r="I2282">
        <v>1322.3081055</v>
      </c>
      <c r="J2282">
        <v>1318.3447266000001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1528.215778</v>
      </c>
      <c r="B2283" s="1">
        <f>DATE(2014,7,7) + TIME(5,10,43)</f>
        <v>41827.215775462966</v>
      </c>
      <c r="C2283">
        <v>80</v>
      </c>
      <c r="D2283">
        <v>79.972045898000005</v>
      </c>
      <c r="E2283">
        <v>50</v>
      </c>
      <c r="F2283">
        <v>47.613414763999998</v>
      </c>
      <c r="G2283">
        <v>1344.0042725000001</v>
      </c>
      <c r="H2283">
        <v>1340.4918213000001</v>
      </c>
      <c r="I2283">
        <v>1322.2910156</v>
      </c>
      <c r="J2283">
        <v>1318.3186035000001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1529.5294180000001</v>
      </c>
      <c r="B2284" s="1">
        <f>DATE(2014,7,8) + TIME(12,42,21)</f>
        <v>41828.529409722221</v>
      </c>
      <c r="C2284">
        <v>80</v>
      </c>
      <c r="D2284">
        <v>79.972023010000001</v>
      </c>
      <c r="E2284">
        <v>50</v>
      </c>
      <c r="F2284">
        <v>47.588973998999997</v>
      </c>
      <c r="G2284">
        <v>1343.9914550999999</v>
      </c>
      <c r="H2284">
        <v>1340.4848632999999</v>
      </c>
      <c r="I2284">
        <v>1322.2735596</v>
      </c>
      <c r="J2284">
        <v>1318.2918701000001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1530.8530040000001</v>
      </c>
      <c r="B2285" s="1">
        <f>DATE(2014,7,9) + TIME(20,28,19)</f>
        <v>41829.852997685186</v>
      </c>
      <c r="C2285">
        <v>80</v>
      </c>
      <c r="D2285">
        <v>79.972000121999997</v>
      </c>
      <c r="E2285">
        <v>50</v>
      </c>
      <c r="F2285">
        <v>47.565155029000003</v>
      </c>
      <c r="G2285">
        <v>1343.9786377</v>
      </c>
      <c r="H2285">
        <v>1340.4780272999999</v>
      </c>
      <c r="I2285">
        <v>1322.2558594</v>
      </c>
      <c r="J2285">
        <v>1318.2645264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1532.1841320000001</v>
      </c>
      <c r="B2286" s="1">
        <f>DATE(2014,7,11) + TIME(4,25,9)</f>
        <v>41831.184131944443</v>
      </c>
      <c r="C2286">
        <v>80</v>
      </c>
      <c r="D2286">
        <v>79.971969603999995</v>
      </c>
      <c r="E2286">
        <v>50</v>
      </c>
      <c r="F2286">
        <v>47.542156218999999</v>
      </c>
      <c r="G2286">
        <v>1343.9658202999999</v>
      </c>
      <c r="H2286">
        <v>1340.4711914</v>
      </c>
      <c r="I2286">
        <v>1322.237793</v>
      </c>
      <c r="J2286">
        <v>1318.2366943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1533.5218520000001</v>
      </c>
      <c r="B2287" s="1">
        <f>DATE(2014,7,12) + TIME(12,31,27)</f>
        <v>41832.521840277775</v>
      </c>
      <c r="C2287">
        <v>80</v>
      </c>
      <c r="D2287">
        <v>79.971946716000005</v>
      </c>
      <c r="E2287">
        <v>50</v>
      </c>
      <c r="F2287">
        <v>47.520111084</v>
      </c>
      <c r="G2287">
        <v>1343.9532471</v>
      </c>
      <c r="H2287">
        <v>1340.4643555</v>
      </c>
      <c r="I2287">
        <v>1322.2196045000001</v>
      </c>
      <c r="J2287">
        <v>1318.2084961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1534.8706609999999</v>
      </c>
      <c r="B2288" s="1">
        <f>DATE(2014,7,13) + TIME(20,53,45)</f>
        <v>41833.870659722219</v>
      </c>
      <c r="C2288">
        <v>80</v>
      </c>
      <c r="D2288">
        <v>79.971923828000001</v>
      </c>
      <c r="E2288">
        <v>50</v>
      </c>
      <c r="F2288">
        <v>47.499103546000001</v>
      </c>
      <c r="G2288">
        <v>1343.9407959</v>
      </c>
      <c r="H2288">
        <v>1340.4575195</v>
      </c>
      <c r="I2288">
        <v>1322.2012939000001</v>
      </c>
      <c r="J2288">
        <v>1318.1799315999999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1536.245052</v>
      </c>
      <c r="B2289" s="1">
        <f>DATE(2014,7,15) + TIME(5,52,52)</f>
        <v>41835.245046296295</v>
      </c>
      <c r="C2289">
        <v>80</v>
      </c>
      <c r="D2289">
        <v>79.971900939999998</v>
      </c>
      <c r="E2289">
        <v>50</v>
      </c>
      <c r="F2289">
        <v>47.479118346999996</v>
      </c>
      <c r="G2289">
        <v>1343.9283447</v>
      </c>
      <c r="H2289">
        <v>1340.4506836</v>
      </c>
      <c r="I2289">
        <v>1322.1827393000001</v>
      </c>
      <c r="J2289">
        <v>1318.1511230000001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1537.651529</v>
      </c>
      <c r="B2290" s="1">
        <f>DATE(2014,7,16) + TIME(15,38,12)</f>
        <v>41836.65152777778</v>
      </c>
      <c r="C2290">
        <v>80</v>
      </c>
      <c r="D2290">
        <v>79.971878051999994</v>
      </c>
      <c r="E2290">
        <v>50</v>
      </c>
      <c r="F2290">
        <v>47.460163115999997</v>
      </c>
      <c r="G2290">
        <v>1343.9158935999999</v>
      </c>
      <c r="H2290">
        <v>1340.4438477000001</v>
      </c>
      <c r="I2290">
        <v>1322.1638184000001</v>
      </c>
      <c r="J2290">
        <v>1318.121582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1539.0964369999999</v>
      </c>
      <c r="B2291" s="1">
        <f>DATE(2014,7,18) + TIME(2,18,52)</f>
        <v>41838.096435185187</v>
      </c>
      <c r="C2291">
        <v>80</v>
      </c>
      <c r="D2291">
        <v>79.971855164000004</v>
      </c>
      <c r="E2291">
        <v>50</v>
      </c>
      <c r="F2291">
        <v>47.442298889</v>
      </c>
      <c r="G2291">
        <v>1343.9034423999999</v>
      </c>
      <c r="H2291">
        <v>1340.4370117000001</v>
      </c>
      <c r="I2291">
        <v>1322.1445312000001</v>
      </c>
      <c r="J2291">
        <v>1318.0913086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1540.5876860000001</v>
      </c>
      <c r="B2292" s="1">
        <f>DATE(2014,7,19) + TIME(14,6,16)</f>
        <v>41839.587685185186</v>
      </c>
      <c r="C2292">
        <v>80</v>
      </c>
      <c r="D2292">
        <v>79.971832274999997</v>
      </c>
      <c r="E2292">
        <v>50</v>
      </c>
      <c r="F2292">
        <v>47.425640106000003</v>
      </c>
      <c r="G2292">
        <v>1343.8907471</v>
      </c>
      <c r="H2292">
        <v>1340.4299315999999</v>
      </c>
      <c r="I2292">
        <v>1322.1247559000001</v>
      </c>
      <c r="J2292">
        <v>1318.0601807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1542.13309</v>
      </c>
      <c r="B2293" s="1">
        <f>DATE(2014,7,21) + TIME(3,11,39)</f>
        <v>41841.133090277777</v>
      </c>
      <c r="C2293">
        <v>80</v>
      </c>
      <c r="D2293">
        <v>79.971809386999993</v>
      </c>
      <c r="E2293">
        <v>50</v>
      </c>
      <c r="F2293">
        <v>47.410366058000001</v>
      </c>
      <c r="G2293">
        <v>1343.8778076000001</v>
      </c>
      <c r="H2293">
        <v>1340.4227295000001</v>
      </c>
      <c r="I2293">
        <v>1322.1043701000001</v>
      </c>
      <c r="J2293">
        <v>1318.0280762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1543.7061040000001</v>
      </c>
      <c r="B2294" s="1">
        <f>DATE(2014,7,22) + TIME(16,56,47)</f>
        <v>41842.706099537034</v>
      </c>
      <c r="C2294">
        <v>80</v>
      </c>
      <c r="D2294">
        <v>79.971786499000004</v>
      </c>
      <c r="E2294">
        <v>50</v>
      </c>
      <c r="F2294">
        <v>47.396812439000001</v>
      </c>
      <c r="G2294">
        <v>1343.8647461</v>
      </c>
      <c r="H2294">
        <v>1340.4154053</v>
      </c>
      <c r="I2294">
        <v>1322.083374</v>
      </c>
      <c r="J2294">
        <v>1317.994751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1545.287562</v>
      </c>
      <c r="B2295" s="1">
        <f>DATE(2014,7,24) + TIME(6,54,5)</f>
        <v>41844.287557870368</v>
      </c>
      <c r="C2295">
        <v>80</v>
      </c>
      <c r="D2295">
        <v>79.971763611</v>
      </c>
      <c r="E2295">
        <v>50</v>
      </c>
      <c r="F2295">
        <v>47.385406494000001</v>
      </c>
      <c r="G2295">
        <v>1343.8515625</v>
      </c>
      <c r="H2295">
        <v>1340.4080810999999</v>
      </c>
      <c r="I2295">
        <v>1322.0620117000001</v>
      </c>
      <c r="J2295">
        <v>1317.9609375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1546.876935</v>
      </c>
      <c r="B2296" s="1">
        <f>DATE(2014,7,25) + TIME(21,2,47)</f>
        <v>41845.876932870371</v>
      </c>
      <c r="C2296">
        <v>80</v>
      </c>
      <c r="D2296">
        <v>79.971740722999996</v>
      </c>
      <c r="E2296">
        <v>50</v>
      </c>
      <c r="F2296">
        <v>47.376476287999999</v>
      </c>
      <c r="G2296">
        <v>1343.8386230000001</v>
      </c>
      <c r="H2296">
        <v>1340.4007568</v>
      </c>
      <c r="I2296">
        <v>1322.0406493999999</v>
      </c>
      <c r="J2296">
        <v>1317.9267577999999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1548.481133</v>
      </c>
      <c r="B2297" s="1">
        <f>DATE(2014,7,27) + TIME(11,32,49)</f>
        <v>41847.481122685182</v>
      </c>
      <c r="C2297">
        <v>80</v>
      </c>
      <c r="D2297">
        <v>79.971725464000002</v>
      </c>
      <c r="E2297">
        <v>50</v>
      </c>
      <c r="F2297">
        <v>47.370319365999997</v>
      </c>
      <c r="G2297">
        <v>1343.8256836</v>
      </c>
      <c r="H2297">
        <v>1340.3934326000001</v>
      </c>
      <c r="I2297">
        <v>1322.0191649999999</v>
      </c>
      <c r="J2297">
        <v>1317.8923339999999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1550.1231330000001</v>
      </c>
      <c r="B2298" s="1">
        <f>DATE(2014,7,29) + TIME(2,57,18)</f>
        <v>41849.123124999998</v>
      </c>
      <c r="C2298">
        <v>80</v>
      </c>
      <c r="D2298">
        <v>79.971702575999998</v>
      </c>
      <c r="E2298">
        <v>50</v>
      </c>
      <c r="F2298">
        <v>47.367172240999999</v>
      </c>
      <c r="G2298">
        <v>1343.8128661999999</v>
      </c>
      <c r="H2298">
        <v>1340.3861084</v>
      </c>
      <c r="I2298">
        <v>1321.9975586</v>
      </c>
      <c r="J2298">
        <v>1317.8576660000001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1551.8113129999999</v>
      </c>
      <c r="B2299" s="1">
        <f>DATE(2014,7,30) + TIME(19,28,17)</f>
        <v>41850.811307870368</v>
      </c>
      <c r="C2299">
        <v>80</v>
      </c>
      <c r="D2299">
        <v>79.971687317000004</v>
      </c>
      <c r="E2299">
        <v>50</v>
      </c>
      <c r="F2299">
        <v>47.367370604999998</v>
      </c>
      <c r="G2299">
        <v>1343.7999268000001</v>
      </c>
      <c r="H2299">
        <v>1340.3786620999999</v>
      </c>
      <c r="I2299">
        <v>1321.9758300999999</v>
      </c>
      <c r="J2299">
        <v>1317.8225098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1553</v>
      </c>
      <c r="B2300" s="1">
        <f>DATE(2014,8,1) + TIME(0,0,0)</f>
        <v>41852</v>
      </c>
      <c r="C2300">
        <v>80</v>
      </c>
      <c r="D2300">
        <v>79.971656799000002</v>
      </c>
      <c r="E2300">
        <v>50</v>
      </c>
      <c r="F2300">
        <v>47.370910645000002</v>
      </c>
      <c r="G2300">
        <v>1343.7874756000001</v>
      </c>
      <c r="H2300">
        <v>1340.3717041</v>
      </c>
      <c r="I2300">
        <v>1321.9548339999999</v>
      </c>
      <c r="J2300">
        <v>1317.7882079999999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1554.697277</v>
      </c>
      <c r="B2301" s="1">
        <f>DATE(2014,8,2) + TIME(16,44,4)</f>
        <v>41853.697268518517</v>
      </c>
      <c r="C2301">
        <v>80</v>
      </c>
      <c r="D2301">
        <v>79.971649170000006</v>
      </c>
      <c r="E2301">
        <v>50</v>
      </c>
      <c r="F2301">
        <v>47.377357482999997</v>
      </c>
      <c r="G2301">
        <v>1343.7775879000001</v>
      </c>
      <c r="H2301">
        <v>1340.3656006000001</v>
      </c>
      <c r="I2301">
        <v>1321.9368896000001</v>
      </c>
      <c r="J2301">
        <v>1317.7592772999999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1556.4386500000001</v>
      </c>
      <c r="B2302" s="1">
        <f>DATE(2014,8,4) + TIME(10,31,39)</f>
        <v>41855.438645833332</v>
      </c>
      <c r="C2302">
        <v>80</v>
      </c>
      <c r="D2302">
        <v>79.971633910999998</v>
      </c>
      <c r="E2302">
        <v>50</v>
      </c>
      <c r="F2302">
        <v>47.388668060000001</v>
      </c>
      <c r="G2302">
        <v>1343.7650146000001</v>
      </c>
      <c r="H2302">
        <v>1340.3583983999999</v>
      </c>
      <c r="I2302">
        <v>1321.9157714999999</v>
      </c>
      <c r="J2302">
        <v>1317.7247314000001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1558.224166</v>
      </c>
      <c r="B2303" s="1">
        <f>DATE(2014,8,6) + TIME(5,22,47)</f>
        <v>41857.22415509259</v>
      </c>
      <c r="C2303">
        <v>80</v>
      </c>
      <c r="D2303">
        <v>79.971618652000004</v>
      </c>
      <c r="E2303">
        <v>50</v>
      </c>
      <c r="F2303">
        <v>47.405269623000002</v>
      </c>
      <c r="G2303">
        <v>1343.7521973</v>
      </c>
      <c r="H2303">
        <v>1340.3508300999999</v>
      </c>
      <c r="I2303">
        <v>1321.8939209</v>
      </c>
      <c r="J2303">
        <v>1317.6888428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1560.063253</v>
      </c>
      <c r="B2304" s="1">
        <f>DATE(2014,8,8) + TIME(1,31,5)</f>
        <v>41859.063252314816</v>
      </c>
      <c r="C2304">
        <v>80</v>
      </c>
      <c r="D2304">
        <v>79.971603393999999</v>
      </c>
      <c r="E2304">
        <v>50</v>
      </c>
      <c r="F2304">
        <v>47.427848816000001</v>
      </c>
      <c r="G2304">
        <v>1343.7391356999999</v>
      </c>
      <c r="H2304">
        <v>1340.3432617000001</v>
      </c>
      <c r="I2304">
        <v>1321.8717041</v>
      </c>
      <c r="J2304">
        <v>1317.6519774999999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1561.937543</v>
      </c>
      <c r="B2305" s="1">
        <f>DATE(2014,8,9) + TIME(22,30,3)</f>
        <v>41860.937534722223</v>
      </c>
      <c r="C2305">
        <v>80</v>
      </c>
      <c r="D2305">
        <v>79.971588135000005</v>
      </c>
      <c r="E2305">
        <v>50</v>
      </c>
      <c r="F2305">
        <v>47.457237243999998</v>
      </c>
      <c r="G2305">
        <v>1343.7259521000001</v>
      </c>
      <c r="H2305">
        <v>1340.3354492000001</v>
      </c>
      <c r="I2305">
        <v>1321.8491211</v>
      </c>
      <c r="J2305">
        <v>1317.6145019999999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1563.830189</v>
      </c>
      <c r="B2306" s="1">
        <f>DATE(2014,8,11) + TIME(19,55,28)</f>
        <v>41862.830185185187</v>
      </c>
      <c r="C2306">
        <v>80</v>
      </c>
      <c r="D2306">
        <v>79.971572875999996</v>
      </c>
      <c r="E2306">
        <v>50</v>
      </c>
      <c r="F2306">
        <v>47.494113921999997</v>
      </c>
      <c r="G2306">
        <v>1343.7126464999999</v>
      </c>
      <c r="H2306">
        <v>1340.3275146000001</v>
      </c>
      <c r="I2306">
        <v>1321.8265381000001</v>
      </c>
      <c r="J2306">
        <v>1317.5767822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1565.750552</v>
      </c>
      <c r="B2307" s="1">
        <f>DATE(2014,8,13) + TIME(18,0,47)</f>
        <v>41864.750543981485</v>
      </c>
      <c r="C2307">
        <v>80</v>
      </c>
      <c r="D2307">
        <v>79.971557617000002</v>
      </c>
      <c r="E2307">
        <v>50</v>
      </c>
      <c r="F2307">
        <v>47.539184570000003</v>
      </c>
      <c r="G2307">
        <v>1343.6994629000001</v>
      </c>
      <c r="H2307">
        <v>1340.3197021000001</v>
      </c>
      <c r="I2307">
        <v>1321.8041992000001</v>
      </c>
      <c r="J2307">
        <v>1317.5391846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1567.699406</v>
      </c>
      <c r="B2308" s="1">
        <f>DATE(2014,8,15) + TIME(16,47,8)</f>
        <v>41866.69939814815</v>
      </c>
      <c r="C2308">
        <v>80</v>
      </c>
      <c r="D2308">
        <v>79.971542357999994</v>
      </c>
      <c r="E2308">
        <v>50</v>
      </c>
      <c r="F2308">
        <v>47.593410491999997</v>
      </c>
      <c r="G2308">
        <v>1343.6862793</v>
      </c>
      <c r="H2308">
        <v>1340.3117675999999</v>
      </c>
      <c r="I2308">
        <v>1321.7819824000001</v>
      </c>
      <c r="J2308">
        <v>1317.5017089999999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1569.7040870000001</v>
      </c>
      <c r="B2309" s="1">
        <f>DATE(2014,8,17) + TIME(16,53,53)</f>
        <v>41868.704085648147</v>
      </c>
      <c r="C2309">
        <v>80</v>
      </c>
      <c r="D2309">
        <v>79.971527100000003</v>
      </c>
      <c r="E2309">
        <v>50</v>
      </c>
      <c r="F2309">
        <v>47.658081054999997</v>
      </c>
      <c r="G2309">
        <v>1343.6730957</v>
      </c>
      <c r="H2309">
        <v>1340.3037108999999</v>
      </c>
      <c r="I2309">
        <v>1321.7600098</v>
      </c>
      <c r="J2309">
        <v>1317.4643555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1571.761401</v>
      </c>
      <c r="B2310" s="1">
        <f>DATE(2014,8,19) + TIME(18,16,25)</f>
        <v>41870.761400462965</v>
      </c>
      <c r="C2310">
        <v>80</v>
      </c>
      <c r="D2310">
        <v>79.971511840999995</v>
      </c>
      <c r="E2310">
        <v>50</v>
      </c>
      <c r="F2310">
        <v>47.734966278000002</v>
      </c>
      <c r="G2310">
        <v>1343.6597899999999</v>
      </c>
      <c r="H2310">
        <v>1340.2956543</v>
      </c>
      <c r="I2310">
        <v>1321.7380370999999</v>
      </c>
      <c r="J2310">
        <v>1317.4270019999999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1573.8366470000001</v>
      </c>
      <c r="B2311" s="1">
        <f>DATE(2014,8,21) + TIME(20,4,46)</f>
        <v>41872.836643518516</v>
      </c>
      <c r="C2311">
        <v>80</v>
      </c>
      <c r="D2311">
        <v>79.971504210999996</v>
      </c>
      <c r="E2311">
        <v>50</v>
      </c>
      <c r="F2311">
        <v>47.825370788999997</v>
      </c>
      <c r="G2311">
        <v>1343.6462402</v>
      </c>
      <c r="H2311">
        <v>1340.2874756000001</v>
      </c>
      <c r="I2311">
        <v>1321.7163086</v>
      </c>
      <c r="J2311">
        <v>1317.3896483999999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1575.9402459999999</v>
      </c>
      <c r="B2312" s="1">
        <f>DATE(2014,8,23) + TIME(22,33,57)</f>
        <v>41874.940243055556</v>
      </c>
      <c r="C2312">
        <v>80</v>
      </c>
      <c r="D2312">
        <v>79.971488953000005</v>
      </c>
      <c r="E2312">
        <v>50</v>
      </c>
      <c r="F2312">
        <v>47.930095672999997</v>
      </c>
      <c r="G2312">
        <v>1343.6329346</v>
      </c>
      <c r="H2312">
        <v>1340.2791748</v>
      </c>
      <c r="I2312">
        <v>1321.6950684000001</v>
      </c>
      <c r="J2312">
        <v>1317.3529053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1578.08519</v>
      </c>
      <c r="B2313" s="1">
        <f>DATE(2014,8,26) + TIME(2,2,40)</f>
        <v>41877.085185185184</v>
      </c>
      <c r="C2313">
        <v>80</v>
      </c>
      <c r="D2313">
        <v>79.971473693999997</v>
      </c>
      <c r="E2313">
        <v>50</v>
      </c>
      <c r="F2313">
        <v>48.05078125</v>
      </c>
      <c r="G2313">
        <v>1343.6195068</v>
      </c>
      <c r="H2313">
        <v>1340.2709961</v>
      </c>
      <c r="I2313">
        <v>1321.6743164</v>
      </c>
      <c r="J2313">
        <v>1317.3168945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1580.3106330000001</v>
      </c>
      <c r="B2314" s="1">
        <f>DATE(2014,8,28) + TIME(7,27,18)</f>
        <v>41879.310624999998</v>
      </c>
      <c r="C2314">
        <v>80</v>
      </c>
      <c r="D2314">
        <v>79.971466063999998</v>
      </c>
      <c r="E2314">
        <v>50</v>
      </c>
      <c r="F2314">
        <v>48.190052031999997</v>
      </c>
      <c r="G2314">
        <v>1343.6060791</v>
      </c>
      <c r="H2314">
        <v>1340.2625731999999</v>
      </c>
      <c r="I2314">
        <v>1321.6540527</v>
      </c>
      <c r="J2314">
        <v>1317.2814940999999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1582.6207730000001</v>
      </c>
      <c r="B2315" s="1">
        <f>DATE(2014,8,30) + TIME(14,53,54)</f>
        <v>41881.620763888888</v>
      </c>
      <c r="C2315">
        <v>80</v>
      </c>
      <c r="D2315">
        <v>79.971458435000002</v>
      </c>
      <c r="E2315">
        <v>50</v>
      </c>
      <c r="F2315">
        <v>48.351711272999999</v>
      </c>
      <c r="G2315">
        <v>1343.5924072</v>
      </c>
      <c r="H2315">
        <v>1340.2540283000001</v>
      </c>
      <c r="I2315">
        <v>1321.6340332</v>
      </c>
      <c r="J2315">
        <v>1317.2464600000001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1584</v>
      </c>
      <c r="B2316" s="1">
        <f>DATE(2014,9,1) + TIME(0,0,0)</f>
        <v>41883</v>
      </c>
      <c r="C2316">
        <v>80</v>
      </c>
      <c r="D2316">
        <v>79.971435546999999</v>
      </c>
      <c r="E2316">
        <v>50</v>
      </c>
      <c r="F2316">
        <v>48.511974334999998</v>
      </c>
      <c r="G2316">
        <v>1343.5792236</v>
      </c>
      <c r="H2316">
        <v>1340.2460937999999</v>
      </c>
      <c r="I2316">
        <v>1321.6169434000001</v>
      </c>
      <c r="J2316">
        <v>1317.2142334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1586.3197680000001</v>
      </c>
      <c r="B2317" s="1">
        <f>DATE(2014,9,3) + TIME(7,40,27)</f>
        <v>41885.319756944446</v>
      </c>
      <c r="C2317">
        <v>80</v>
      </c>
      <c r="D2317">
        <v>79.971443175999994</v>
      </c>
      <c r="E2317">
        <v>50</v>
      </c>
      <c r="F2317">
        <v>48.673465729</v>
      </c>
      <c r="G2317">
        <v>1343.5698242000001</v>
      </c>
      <c r="H2317">
        <v>1340.2397461</v>
      </c>
      <c r="I2317">
        <v>1321.6013184000001</v>
      </c>
      <c r="J2317">
        <v>1317.1899414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1588.6838519999999</v>
      </c>
      <c r="B2318" s="1">
        <f>DATE(2014,9,5) + TIME(16,24,44)</f>
        <v>41887.683842592596</v>
      </c>
      <c r="C2318">
        <v>80</v>
      </c>
      <c r="D2318">
        <v>79.971435546999999</v>
      </c>
      <c r="E2318">
        <v>50</v>
      </c>
      <c r="F2318">
        <v>48.887130737</v>
      </c>
      <c r="G2318">
        <v>1343.5563964999999</v>
      </c>
      <c r="H2318">
        <v>1340.2313231999999</v>
      </c>
      <c r="I2318">
        <v>1321.5845947</v>
      </c>
      <c r="J2318">
        <v>1317.1595459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1591.0916729999999</v>
      </c>
      <c r="B2319" s="1">
        <f>DATE(2014,9,8) + TIME(2,12,0)</f>
        <v>41890.091666666667</v>
      </c>
      <c r="C2319">
        <v>80</v>
      </c>
      <c r="D2319">
        <v>79.971427917</v>
      </c>
      <c r="E2319">
        <v>50</v>
      </c>
      <c r="F2319">
        <v>49.133815765000001</v>
      </c>
      <c r="G2319">
        <v>1343.5427245999999</v>
      </c>
      <c r="H2319">
        <v>1340.2226562000001</v>
      </c>
      <c r="I2319">
        <v>1321.5676269999999</v>
      </c>
      <c r="J2319">
        <v>1317.1293945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1593.529274</v>
      </c>
      <c r="B2320" s="1">
        <f>DATE(2014,9,10) + TIME(12,42,9)</f>
        <v>41892.529270833336</v>
      </c>
      <c r="C2320">
        <v>80</v>
      </c>
      <c r="D2320">
        <v>79.971420288000004</v>
      </c>
      <c r="E2320">
        <v>50</v>
      </c>
      <c r="F2320">
        <v>49.409236907999997</v>
      </c>
      <c r="G2320">
        <v>1343.5290527</v>
      </c>
      <c r="H2320">
        <v>1340.2138672000001</v>
      </c>
      <c r="I2320">
        <v>1321.5513916</v>
      </c>
      <c r="J2320">
        <v>1317.1007079999999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1595.994987</v>
      </c>
      <c r="B2321" s="1">
        <f>DATE(2014,9,12) + TIME(23,52,46)</f>
        <v>41894.994976851849</v>
      </c>
      <c r="C2321">
        <v>80</v>
      </c>
      <c r="D2321">
        <v>79.971412658999995</v>
      </c>
      <c r="E2321">
        <v>50</v>
      </c>
      <c r="F2321">
        <v>49.711608886999997</v>
      </c>
      <c r="G2321">
        <v>1343.5153809000001</v>
      </c>
      <c r="H2321">
        <v>1340.2049560999999</v>
      </c>
      <c r="I2321">
        <v>1321.5358887</v>
      </c>
      <c r="J2321">
        <v>1317.0736084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1598.5035170000001</v>
      </c>
      <c r="B2322" s="1">
        <f>DATE(2014,9,15) + TIME(12,5,3)</f>
        <v>41897.503506944442</v>
      </c>
      <c r="C2322">
        <v>80</v>
      </c>
      <c r="D2322">
        <v>79.971412658999995</v>
      </c>
      <c r="E2322">
        <v>50</v>
      </c>
      <c r="F2322">
        <v>50.040187836000001</v>
      </c>
      <c r="G2322">
        <v>1343.5017089999999</v>
      </c>
      <c r="H2322">
        <v>1340.1961670000001</v>
      </c>
      <c r="I2322">
        <v>1321.5214844</v>
      </c>
      <c r="J2322">
        <v>1317.0484618999999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1601.080706</v>
      </c>
      <c r="B2323" s="1">
        <f>DATE(2014,9,18) + TIME(1,56,12)</f>
        <v>41900.080694444441</v>
      </c>
      <c r="C2323">
        <v>80</v>
      </c>
      <c r="D2323">
        <v>79.971405028999996</v>
      </c>
      <c r="E2323">
        <v>50</v>
      </c>
      <c r="F2323">
        <v>50.395606995000001</v>
      </c>
      <c r="G2323">
        <v>1343.4880370999999</v>
      </c>
      <c r="H2323">
        <v>1340.1872559000001</v>
      </c>
      <c r="I2323">
        <v>1321.5079346</v>
      </c>
      <c r="J2323">
        <v>1317.0252685999999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1603.773351</v>
      </c>
      <c r="B2324" s="1">
        <f>DATE(2014,9,20) + TIME(18,33,37)</f>
        <v>41902.773344907408</v>
      </c>
      <c r="C2324">
        <v>80</v>
      </c>
      <c r="D2324">
        <v>79.971405028999996</v>
      </c>
      <c r="E2324">
        <v>50</v>
      </c>
      <c r="F2324">
        <v>50.780311584000003</v>
      </c>
      <c r="G2324">
        <v>1343.4743652</v>
      </c>
      <c r="H2324">
        <v>1340.1783447</v>
      </c>
      <c r="I2324">
        <v>1321.4952393000001</v>
      </c>
      <c r="J2324">
        <v>1317.0037841999999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1606.579037</v>
      </c>
      <c r="B2325" s="1">
        <f>DATE(2014,9,23) + TIME(13,53,48)</f>
        <v>41905.579027777778</v>
      </c>
      <c r="C2325">
        <v>80</v>
      </c>
      <c r="D2325">
        <v>79.971405028999996</v>
      </c>
      <c r="E2325">
        <v>50</v>
      </c>
      <c r="F2325">
        <v>51.197341919000003</v>
      </c>
      <c r="G2325">
        <v>1343.4602050999999</v>
      </c>
      <c r="H2325">
        <v>1340.1690673999999</v>
      </c>
      <c r="I2325">
        <v>1321.4832764</v>
      </c>
      <c r="J2325">
        <v>1316.9838867000001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1609.406806</v>
      </c>
      <c r="B2326" s="1">
        <f>DATE(2014,9,26) + TIME(9,45,48)</f>
        <v>41908.406805555554</v>
      </c>
      <c r="C2326">
        <v>80</v>
      </c>
      <c r="D2326">
        <v>79.971405028999996</v>
      </c>
      <c r="E2326">
        <v>50</v>
      </c>
      <c r="F2326">
        <v>51.642669677999997</v>
      </c>
      <c r="G2326">
        <v>1343.4458007999999</v>
      </c>
      <c r="H2326">
        <v>1340.1595459</v>
      </c>
      <c r="I2326">
        <v>1321.4722899999999</v>
      </c>
      <c r="J2326">
        <v>1316.9656981999999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1612.273216</v>
      </c>
      <c r="B2327" s="1">
        <f>DATE(2014,9,29) + TIME(6,33,25)</f>
        <v>41911.273206018515</v>
      </c>
      <c r="C2327">
        <v>80</v>
      </c>
      <c r="D2327">
        <v>79.971397400000001</v>
      </c>
      <c r="E2327">
        <v>50</v>
      </c>
      <c r="F2327">
        <v>52.104080199999999</v>
      </c>
      <c r="G2327">
        <v>1343.4316406</v>
      </c>
      <c r="H2327">
        <v>1340.1501464999999</v>
      </c>
      <c r="I2327">
        <v>1321.4624022999999</v>
      </c>
      <c r="J2327">
        <v>1316.9499512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1614</v>
      </c>
      <c r="B2328" s="1">
        <f>DATE(2014,10,1) + TIME(0,0,0)</f>
        <v>41913</v>
      </c>
      <c r="C2328">
        <v>80</v>
      </c>
      <c r="D2328">
        <v>79.971382141000007</v>
      </c>
      <c r="E2328">
        <v>50</v>
      </c>
      <c r="F2328">
        <v>52.524421691999997</v>
      </c>
      <c r="G2328">
        <v>1343.4183350000001</v>
      </c>
      <c r="H2328">
        <v>1340.1414795000001</v>
      </c>
      <c r="I2328">
        <v>1321.4567870999999</v>
      </c>
      <c r="J2328">
        <v>1316.9378661999999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1616.922804</v>
      </c>
      <c r="B2329" s="1">
        <f>DATE(2014,10,3) + TIME(22,8,50)</f>
        <v>41915.922800925924</v>
      </c>
      <c r="C2329">
        <v>80</v>
      </c>
      <c r="D2329">
        <v>79.971397400000001</v>
      </c>
      <c r="E2329">
        <v>50</v>
      </c>
      <c r="F2329">
        <v>52.886711120999998</v>
      </c>
      <c r="G2329">
        <v>1343.4086914</v>
      </c>
      <c r="H2329">
        <v>1340.1347656</v>
      </c>
      <c r="I2329">
        <v>1321.4481201000001</v>
      </c>
      <c r="J2329">
        <v>1316.9300536999999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1619.8952340000001</v>
      </c>
      <c r="B2330" s="1">
        <f>DATE(2014,10,6) + TIME(21,29,8)</f>
        <v>41918.895231481481</v>
      </c>
      <c r="C2330">
        <v>80</v>
      </c>
      <c r="D2330">
        <v>79.971405028999996</v>
      </c>
      <c r="E2330">
        <v>50</v>
      </c>
      <c r="F2330">
        <v>53.345848083</v>
      </c>
      <c r="G2330">
        <v>1343.3951416</v>
      </c>
      <c r="H2330">
        <v>1340.1257324000001</v>
      </c>
      <c r="I2330">
        <v>1321.4417725000001</v>
      </c>
      <c r="J2330">
        <v>1316.9189452999999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1622.91893</v>
      </c>
      <c r="B2331" s="1">
        <f>DATE(2014,10,9) + TIME(22,3,15)</f>
        <v>41921.918923611112</v>
      </c>
      <c r="C2331">
        <v>80</v>
      </c>
      <c r="D2331">
        <v>79.971405028999996</v>
      </c>
      <c r="E2331">
        <v>50</v>
      </c>
      <c r="F2331">
        <v>53.825038910000004</v>
      </c>
      <c r="G2331">
        <v>1343.3812256000001</v>
      </c>
      <c r="H2331">
        <v>1340.1164550999999</v>
      </c>
      <c r="I2331">
        <v>1321.4359131000001</v>
      </c>
      <c r="J2331">
        <v>1316.9102783000001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1626.0216989999999</v>
      </c>
      <c r="B2332" s="1">
        <f>DATE(2014,10,13) + TIME(0,31,14)</f>
        <v>41925.021689814814</v>
      </c>
      <c r="C2332">
        <v>80</v>
      </c>
      <c r="D2332">
        <v>79.971412658999995</v>
      </c>
      <c r="E2332">
        <v>50</v>
      </c>
      <c r="F2332">
        <v>54.308250426999997</v>
      </c>
      <c r="G2332">
        <v>1343.3674315999999</v>
      </c>
      <c r="H2332">
        <v>1340.1071777</v>
      </c>
      <c r="I2332">
        <v>1321.4309082</v>
      </c>
      <c r="J2332">
        <v>1316.9031981999999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1629.273938</v>
      </c>
      <c r="B2333" s="1">
        <f>DATE(2014,10,16) + TIME(6,34,28)</f>
        <v>41928.273935185185</v>
      </c>
      <c r="C2333">
        <v>80</v>
      </c>
      <c r="D2333">
        <v>79.971412658999995</v>
      </c>
      <c r="E2333">
        <v>50</v>
      </c>
      <c r="F2333">
        <v>54.794445037999999</v>
      </c>
      <c r="G2333">
        <v>1343.3535156</v>
      </c>
      <c r="H2333">
        <v>1340.0977783000001</v>
      </c>
      <c r="I2333">
        <v>1321.4265137</v>
      </c>
      <c r="J2333">
        <v>1316.8974608999999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1632.5446010000001</v>
      </c>
      <c r="B2334" s="1">
        <f>DATE(2014,10,19) + TIME(13,4,13)</f>
        <v>41931.544594907406</v>
      </c>
      <c r="C2334">
        <v>80</v>
      </c>
      <c r="D2334">
        <v>79.971420288000004</v>
      </c>
      <c r="E2334">
        <v>50</v>
      </c>
      <c r="F2334">
        <v>55.285427093999999</v>
      </c>
      <c r="G2334">
        <v>1343.3393555</v>
      </c>
      <c r="H2334">
        <v>1340.0882568</v>
      </c>
      <c r="I2334">
        <v>1321.4230957</v>
      </c>
      <c r="J2334">
        <v>1316.8930664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1635.8453139999999</v>
      </c>
      <c r="B2335" s="1">
        <f>DATE(2014,10,22) + TIME(20,17,15)</f>
        <v>41934.845312500001</v>
      </c>
      <c r="C2335">
        <v>80</v>
      </c>
      <c r="D2335">
        <v>79.971427917</v>
      </c>
      <c r="E2335">
        <v>50</v>
      </c>
      <c r="F2335">
        <v>55.765300750999998</v>
      </c>
      <c r="G2335">
        <v>1343.3254394999999</v>
      </c>
      <c r="H2335">
        <v>1340.0787353999999</v>
      </c>
      <c r="I2335">
        <v>1321.4205322</v>
      </c>
      <c r="J2335">
        <v>1316.8900146000001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1639.1988260000001</v>
      </c>
      <c r="B2336" s="1">
        <f>DATE(2014,10,26) + TIME(4,46,18)</f>
        <v>41938.198819444442</v>
      </c>
      <c r="C2336">
        <v>80</v>
      </c>
      <c r="D2336">
        <v>79.971435546999999</v>
      </c>
      <c r="E2336">
        <v>50</v>
      </c>
      <c r="F2336">
        <v>56.232940673999998</v>
      </c>
      <c r="G2336">
        <v>1343.3117675999999</v>
      </c>
      <c r="H2336">
        <v>1340.0693358999999</v>
      </c>
      <c r="I2336">
        <v>1321.4185791</v>
      </c>
      <c r="J2336">
        <v>1316.8881836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1642.6279890000001</v>
      </c>
      <c r="B2337" s="1">
        <f>DATE(2014,10,29) + TIME(15,4,18)</f>
        <v>41941.627986111111</v>
      </c>
      <c r="C2337">
        <v>80</v>
      </c>
      <c r="D2337">
        <v>79.971443175999994</v>
      </c>
      <c r="E2337">
        <v>50</v>
      </c>
      <c r="F2337">
        <v>56.688716888000002</v>
      </c>
      <c r="G2337">
        <v>1343.2980957</v>
      </c>
      <c r="H2337">
        <v>1340.0600586</v>
      </c>
      <c r="I2337">
        <v>1321.4174805</v>
      </c>
      <c r="J2337">
        <v>1316.8873291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1645</v>
      </c>
      <c r="B2338" s="1">
        <f>DATE(2014,11,1) + TIME(0,0,0)</f>
        <v>41944</v>
      </c>
      <c r="C2338">
        <v>80</v>
      </c>
      <c r="D2338">
        <v>79.971435546999999</v>
      </c>
      <c r="E2338">
        <v>50</v>
      </c>
      <c r="F2338">
        <v>57.106719970999997</v>
      </c>
      <c r="G2338">
        <v>1343.2850341999999</v>
      </c>
      <c r="H2338">
        <v>1340.0512695</v>
      </c>
      <c r="I2338">
        <v>1321.4187012</v>
      </c>
      <c r="J2338">
        <v>1316.8881836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1645.0000010000001</v>
      </c>
      <c r="B2339" s="1">
        <f>DATE(2014,11,1) + TIME(0,0,0)</f>
        <v>41944</v>
      </c>
      <c r="C2339">
        <v>80</v>
      </c>
      <c r="D2339">
        <v>79.971405028999996</v>
      </c>
      <c r="E2339">
        <v>50</v>
      </c>
      <c r="F2339">
        <v>57.106735229000002</v>
      </c>
      <c r="G2339">
        <v>1340.0412598</v>
      </c>
      <c r="H2339">
        <v>1338.2113036999999</v>
      </c>
      <c r="I2339">
        <v>1326.0560303</v>
      </c>
      <c r="J2339">
        <v>1321.4317627</v>
      </c>
      <c r="K2339">
        <v>0</v>
      </c>
      <c r="L2339">
        <v>2400</v>
      </c>
      <c r="M2339">
        <v>2400</v>
      </c>
      <c r="N2339">
        <v>0</v>
      </c>
    </row>
    <row r="2340" spans="1:14" x14ac:dyDescent="0.25">
      <c r="A2340">
        <v>1645.000004</v>
      </c>
      <c r="B2340" s="1">
        <f>DATE(2014,11,1) + TIME(0,0,0)</f>
        <v>41944</v>
      </c>
      <c r="C2340">
        <v>80</v>
      </c>
      <c r="D2340">
        <v>79.971305846999996</v>
      </c>
      <c r="E2340">
        <v>50</v>
      </c>
      <c r="F2340">
        <v>57.106777190999999</v>
      </c>
      <c r="G2340">
        <v>1340.0117187999999</v>
      </c>
      <c r="H2340">
        <v>1338.1816406</v>
      </c>
      <c r="I2340">
        <v>1326.0866699000001</v>
      </c>
      <c r="J2340">
        <v>1321.4709473</v>
      </c>
      <c r="K2340">
        <v>0</v>
      </c>
      <c r="L2340">
        <v>2400</v>
      </c>
      <c r="M2340">
        <v>2400</v>
      </c>
      <c r="N2340">
        <v>0</v>
      </c>
    </row>
    <row r="2341" spans="1:14" x14ac:dyDescent="0.25">
      <c r="A2341">
        <v>1645.0000130000001</v>
      </c>
      <c r="B2341" s="1">
        <f>DATE(2014,11,1) + TIME(0,0,1)</f>
        <v>41944.000011574077</v>
      </c>
      <c r="C2341">
        <v>80</v>
      </c>
      <c r="D2341">
        <v>79.971031189000001</v>
      </c>
      <c r="E2341">
        <v>50</v>
      </c>
      <c r="F2341">
        <v>57.106899261000002</v>
      </c>
      <c r="G2341">
        <v>1339.9255370999999</v>
      </c>
      <c r="H2341">
        <v>1338.0954589999999</v>
      </c>
      <c r="I2341">
        <v>1326.1767577999999</v>
      </c>
      <c r="J2341">
        <v>1321.5852050999999</v>
      </c>
      <c r="K2341">
        <v>0</v>
      </c>
      <c r="L2341">
        <v>2400</v>
      </c>
      <c r="M2341">
        <v>2400</v>
      </c>
      <c r="N2341">
        <v>0</v>
      </c>
    </row>
    <row r="2342" spans="1:14" x14ac:dyDescent="0.25">
      <c r="A2342">
        <v>1645.0000399999999</v>
      </c>
      <c r="B2342" s="1">
        <f>DATE(2014,11,1) + TIME(0,0,3)</f>
        <v>41944.000034722223</v>
      </c>
      <c r="C2342">
        <v>80</v>
      </c>
      <c r="D2342">
        <v>79.970268250000004</v>
      </c>
      <c r="E2342">
        <v>50</v>
      </c>
      <c r="F2342">
        <v>57.107223511000001</v>
      </c>
      <c r="G2342">
        <v>1339.6894531</v>
      </c>
      <c r="H2342">
        <v>1337.859375</v>
      </c>
      <c r="I2342">
        <v>1326.4326172000001</v>
      </c>
      <c r="J2342">
        <v>1321.9041748</v>
      </c>
      <c r="K2342">
        <v>0</v>
      </c>
      <c r="L2342">
        <v>2400</v>
      </c>
      <c r="M2342">
        <v>2400</v>
      </c>
      <c r="N2342">
        <v>0</v>
      </c>
    </row>
    <row r="2343" spans="1:14" x14ac:dyDescent="0.25">
      <c r="A2343">
        <v>1645.000121</v>
      </c>
      <c r="B2343" s="1">
        <f>DATE(2014,11,1) + TIME(0,0,10)</f>
        <v>41944.000115740739</v>
      </c>
      <c r="C2343">
        <v>80</v>
      </c>
      <c r="D2343">
        <v>79.968460082999997</v>
      </c>
      <c r="E2343">
        <v>50</v>
      </c>
      <c r="F2343">
        <v>57.107910156000003</v>
      </c>
      <c r="G2343">
        <v>1339.1274414</v>
      </c>
      <c r="H2343">
        <v>1337.2971190999999</v>
      </c>
      <c r="I2343">
        <v>1327.0932617000001</v>
      </c>
      <c r="J2343">
        <v>1322.6945800999999</v>
      </c>
      <c r="K2343">
        <v>0</v>
      </c>
      <c r="L2343">
        <v>2400</v>
      </c>
      <c r="M2343">
        <v>2400</v>
      </c>
      <c r="N2343">
        <v>0</v>
      </c>
    </row>
    <row r="2344" spans="1:14" x14ac:dyDescent="0.25">
      <c r="A2344">
        <v>1645.000364</v>
      </c>
      <c r="B2344" s="1">
        <f>DATE(2014,11,1) + TIME(0,0,31)</f>
        <v>41944.000358796293</v>
      </c>
      <c r="C2344">
        <v>80</v>
      </c>
      <c r="D2344">
        <v>79.965141295999999</v>
      </c>
      <c r="E2344">
        <v>50</v>
      </c>
      <c r="F2344">
        <v>57.108386993000003</v>
      </c>
      <c r="G2344">
        <v>1338.1000977000001</v>
      </c>
      <c r="H2344">
        <v>1336.2694091999999</v>
      </c>
      <c r="I2344">
        <v>1328.4909668</v>
      </c>
      <c r="J2344">
        <v>1324.2421875</v>
      </c>
      <c r="K2344">
        <v>0</v>
      </c>
      <c r="L2344">
        <v>2400</v>
      </c>
      <c r="M2344">
        <v>2400</v>
      </c>
      <c r="N2344">
        <v>0</v>
      </c>
    </row>
    <row r="2345" spans="1:14" x14ac:dyDescent="0.25">
      <c r="A2345">
        <v>1645.0010930000001</v>
      </c>
      <c r="B2345" s="1">
        <f>DATE(2014,11,1) + TIME(0,1,34)</f>
        <v>41944.001087962963</v>
      </c>
      <c r="C2345">
        <v>80</v>
      </c>
      <c r="D2345">
        <v>79.960716247999997</v>
      </c>
      <c r="E2345">
        <v>50</v>
      </c>
      <c r="F2345">
        <v>57.104667663999997</v>
      </c>
      <c r="G2345">
        <v>1336.7419434000001</v>
      </c>
      <c r="H2345">
        <v>1334.9094238</v>
      </c>
      <c r="I2345">
        <v>1330.6730957</v>
      </c>
      <c r="J2345">
        <v>1326.4614257999999</v>
      </c>
      <c r="K2345">
        <v>0</v>
      </c>
      <c r="L2345">
        <v>2400</v>
      </c>
      <c r="M2345">
        <v>2400</v>
      </c>
      <c r="N2345">
        <v>0</v>
      </c>
    </row>
    <row r="2346" spans="1:14" x14ac:dyDescent="0.25">
      <c r="A2346">
        <v>1645.0032799999999</v>
      </c>
      <c r="B2346" s="1">
        <f>DATE(2014,11,1) + TIME(0,4,43)</f>
        <v>41944.003275462965</v>
      </c>
      <c r="C2346">
        <v>80</v>
      </c>
      <c r="D2346">
        <v>79.955825806000007</v>
      </c>
      <c r="E2346">
        <v>50</v>
      </c>
      <c r="F2346">
        <v>57.085243224999999</v>
      </c>
      <c r="G2346">
        <v>1335.2901611</v>
      </c>
      <c r="H2346">
        <v>1333.4471435999999</v>
      </c>
      <c r="I2346">
        <v>1333.2429199000001</v>
      </c>
      <c r="J2346">
        <v>1328.9821777</v>
      </c>
      <c r="K2346">
        <v>0</v>
      </c>
      <c r="L2346">
        <v>2400</v>
      </c>
      <c r="M2346">
        <v>2400</v>
      </c>
      <c r="N2346">
        <v>0</v>
      </c>
    </row>
    <row r="2347" spans="1:14" x14ac:dyDescent="0.25">
      <c r="A2347">
        <v>1645.0098410000001</v>
      </c>
      <c r="B2347" s="1">
        <f>DATE(2014,11,1) + TIME(0,14,10)</f>
        <v>41944.009837962964</v>
      </c>
      <c r="C2347">
        <v>80</v>
      </c>
      <c r="D2347">
        <v>79.950309752999999</v>
      </c>
      <c r="E2347">
        <v>50</v>
      </c>
      <c r="F2347">
        <v>57.017192841000004</v>
      </c>
      <c r="G2347">
        <v>1333.8001709</v>
      </c>
      <c r="H2347">
        <v>1331.9208983999999</v>
      </c>
      <c r="I2347">
        <v>1335.8854980000001</v>
      </c>
      <c r="J2347">
        <v>1331.5711670000001</v>
      </c>
      <c r="K2347">
        <v>0</v>
      </c>
      <c r="L2347">
        <v>2400</v>
      </c>
      <c r="M2347">
        <v>2400</v>
      </c>
      <c r="N2347">
        <v>0</v>
      </c>
    </row>
    <row r="2348" spans="1:14" x14ac:dyDescent="0.25">
      <c r="A2348">
        <v>1645.029524</v>
      </c>
      <c r="B2348" s="1">
        <f>DATE(2014,11,1) + TIME(0,42,30)</f>
        <v>41944.029513888891</v>
      </c>
      <c r="C2348">
        <v>80</v>
      </c>
      <c r="D2348">
        <v>79.943008422999995</v>
      </c>
      <c r="E2348">
        <v>50</v>
      </c>
      <c r="F2348">
        <v>56.807315826</v>
      </c>
      <c r="G2348">
        <v>1332.2175293</v>
      </c>
      <c r="H2348">
        <v>1330.260376</v>
      </c>
      <c r="I2348">
        <v>1338.5368652</v>
      </c>
      <c r="J2348">
        <v>1334.161499</v>
      </c>
      <c r="K2348">
        <v>0</v>
      </c>
      <c r="L2348">
        <v>2400</v>
      </c>
      <c r="M2348">
        <v>2400</v>
      </c>
      <c r="N2348">
        <v>0</v>
      </c>
    </row>
    <row r="2349" spans="1:14" x14ac:dyDescent="0.25">
      <c r="A2349">
        <v>1645.074625</v>
      </c>
      <c r="B2349" s="1">
        <f>DATE(2014,11,1) + TIME(1,47,27)</f>
        <v>41944.074618055558</v>
      </c>
      <c r="C2349">
        <v>80</v>
      </c>
      <c r="D2349">
        <v>79.933212280000006</v>
      </c>
      <c r="E2349">
        <v>50</v>
      </c>
      <c r="F2349">
        <v>56.348533629999999</v>
      </c>
      <c r="G2349">
        <v>1330.7573242000001</v>
      </c>
      <c r="H2349">
        <v>1328.7087402</v>
      </c>
      <c r="I2349">
        <v>1340.7834473</v>
      </c>
      <c r="J2349">
        <v>1336.3383789</v>
      </c>
      <c r="K2349">
        <v>0</v>
      </c>
      <c r="L2349">
        <v>2400</v>
      </c>
      <c r="M2349">
        <v>2400</v>
      </c>
      <c r="N2349">
        <v>0</v>
      </c>
    </row>
    <row r="2350" spans="1:14" x14ac:dyDescent="0.25">
      <c r="A2350">
        <v>1645.122194</v>
      </c>
      <c r="B2350" s="1">
        <f>DATE(2014,11,1) + TIME(2,55,57)</f>
        <v>41944.122187499997</v>
      </c>
      <c r="C2350">
        <v>80</v>
      </c>
      <c r="D2350">
        <v>79.925010681000003</v>
      </c>
      <c r="E2350">
        <v>50</v>
      </c>
      <c r="F2350">
        <v>55.896152495999999</v>
      </c>
      <c r="G2350">
        <v>1329.9121094</v>
      </c>
      <c r="H2350">
        <v>1327.8114014</v>
      </c>
      <c r="I2350">
        <v>1342.0054932</v>
      </c>
      <c r="J2350">
        <v>1337.5150146000001</v>
      </c>
      <c r="K2350">
        <v>0</v>
      </c>
      <c r="L2350">
        <v>2400</v>
      </c>
      <c r="M2350">
        <v>2400</v>
      </c>
      <c r="N2350">
        <v>0</v>
      </c>
    </row>
    <row r="2351" spans="1:14" x14ac:dyDescent="0.25">
      <c r="A2351">
        <v>1645.172104</v>
      </c>
      <c r="B2351" s="1">
        <f>DATE(2014,11,1) + TIME(4,7,49)</f>
        <v>41944.172094907408</v>
      </c>
      <c r="C2351">
        <v>80</v>
      </c>
      <c r="D2351">
        <v>79.917442321999999</v>
      </c>
      <c r="E2351">
        <v>50</v>
      </c>
      <c r="F2351">
        <v>55.456394195999998</v>
      </c>
      <c r="G2351">
        <v>1329.3531493999999</v>
      </c>
      <c r="H2351">
        <v>1327.2214355000001</v>
      </c>
      <c r="I2351">
        <v>1342.7790527</v>
      </c>
      <c r="J2351">
        <v>1338.2584228999999</v>
      </c>
      <c r="K2351">
        <v>0</v>
      </c>
      <c r="L2351">
        <v>2400</v>
      </c>
      <c r="M2351">
        <v>2400</v>
      </c>
      <c r="N2351">
        <v>0</v>
      </c>
    </row>
    <row r="2352" spans="1:14" x14ac:dyDescent="0.25">
      <c r="A2352">
        <v>1645.2242719999999</v>
      </c>
      <c r="B2352" s="1">
        <f>DATE(2014,11,1) + TIME(5,22,57)</f>
        <v>41944.224270833336</v>
      </c>
      <c r="C2352">
        <v>80</v>
      </c>
      <c r="D2352">
        <v>79.91015625</v>
      </c>
      <c r="E2352">
        <v>50</v>
      </c>
      <c r="F2352">
        <v>55.033065796000002</v>
      </c>
      <c r="G2352">
        <v>1328.9564209</v>
      </c>
      <c r="H2352">
        <v>1326.8055420000001</v>
      </c>
      <c r="I2352">
        <v>1343.3101807</v>
      </c>
      <c r="J2352">
        <v>1338.7695312000001</v>
      </c>
      <c r="K2352">
        <v>0</v>
      </c>
      <c r="L2352">
        <v>2400</v>
      </c>
      <c r="M2352">
        <v>2400</v>
      </c>
      <c r="N2352">
        <v>0</v>
      </c>
    </row>
    <row r="2353" spans="1:14" x14ac:dyDescent="0.25">
      <c r="A2353">
        <v>1645.278722</v>
      </c>
      <c r="B2353" s="1">
        <f>DATE(2014,11,1) + TIME(6,41,21)</f>
        <v>41944.278715277775</v>
      </c>
      <c r="C2353">
        <v>80</v>
      </c>
      <c r="D2353">
        <v>79.902984618999994</v>
      </c>
      <c r="E2353">
        <v>50</v>
      </c>
      <c r="F2353">
        <v>54.628032683999997</v>
      </c>
      <c r="G2353">
        <v>1328.661499</v>
      </c>
      <c r="H2353">
        <v>1326.4984131000001</v>
      </c>
      <c r="I2353">
        <v>1343.6936035000001</v>
      </c>
      <c r="J2353">
        <v>1339.1397704999999</v>
      </c>
      <c r="K2353">
        <v>0</v>
      </c>
      <c r="L2353">
        <v>2400</v>
      </c>
      <c r="M2353">
        <v>2400</v>
      </c>
      <c r="N2353">
        <v>0</v>
      </c>
    </row>
    <row r="2354" spans="1:14" x14ac:dyDescent="0.25">
      <c r="A2354">
        <v>1645.3355509999999</v>
      </c>
      <c r="B2354" s="1">
        <f>DATE(2014,11,1) + TIME(8,3,11)</f>
        <v>41944.335543981484</v>
      </c>
      <c r="C2354">
        <v>80</v>
      </c>
      <c r="D2354">
        <v>79.895820618000002</v>
      </c>
      <c r="E2354">
        <v>50</v>
      </c>
      <c r="F2354">
        <v>54.242095947000003</v>
      </c>
      <c r="G2354">
        <v>1328.4355469</v>
      </c>
      <c r="H2354">
        <v>1326.2640381000001</v>
      </c>
      <c r="I2354">
        <v>1343.9797363</v>
      </c>
      <c r="J2354">
        <v>1339.4172363</v>
      </c>
      <c r="K2354">
        <v>0</v>
      </c>
      <c r="L2354">
        <v>2400</v>
      </c>
      <c r="M2354">
        <v>2400</v>
      </c>
      <c r="N2354">
        <v>0</v>
      </c>
    </row>
    <row r="2355" spans="1:14" x14ac:dyDescent="0.25">
      <c r="A2355">
        <v>1645.3948909999999</v>
      </c>
      <c r="B2355" s="1">
        <f>DATE(2014,11,1) + TIME(9,28,38)</f>
        <v>41944.394884259258</v>
      </c>
      <c r="C2355">
        <v>80</v>
      </c>
      <c r="D2355">
        <v>79.888610839999998</v>
      </c>
      <c r="E2355">
        <v>50</v>
      </c>
      <c r="F2355">
        <v>53.875560759999999</v>
      </c>
      <c r="G2355">
        <v>1328.2585449000001</v>
      </c>
      <c r="H2355">
        <v>1326.0812988</v>
      </c>
      <c r="I2355">
        <v>1344.1977539</v>
      </c>
      <c r="J2355">
        <v>1339.6297606999999</v>
      </c>
      <c r="K2355">
        <v>0</v>
      </c>
      <c r="L2355">
        <v>2400</v>
      </c>
      <c r="M2355">
        <v>2400</v>
      </c>
      <c r="N2355">
        <v>0</v>
      </c>
    </row>
    <row r="2356" spans="1:14" x14ac:dyDescent="0.25">
      <c r="A2356">
        <v>1645.456921</v>
      </c>
      <c r="B2356" s="1">
        <f>DATE(2014,11,1) + TIME(10,57,58)</f>
        <v>41944.456921296296</v>
      </c>
      <c r="C2356">
        <v>80</v>
      </c>
      <c r="D2356">
        <v>79.881294249999996</v>
      </c>
      <c r="E2356">
        <v>50</v>
      </c>
      <c r="F2356">
        <v>53.528369904000002</v>
      </c>
      <c r="G2356">
        <v>1328.1179199000001</v>
      </c>
      <c r="H2356">
        <v>1325.9365233999999</v>
      </c>
      <c r="I2356">
        <v>1344.3658447</v>
      </c>
      <c r="J2356">
        <v>1339.7949219</v>
      </c>
      <c r="K2356">
        <v>0</v>
      </c>
      <c r="L2356">
        <v>2400</v>
      </c>
      <c r="M2356">
        <v>2400</v>
      </c>
      <c r="N2356">
        <v>0</v>
      </c>
    </row>
    <row r="2357" spans="1:14" x14ac:dyDescent="0.25">
      <c r="A2357">
        <v>1645.5218620000001</v>
      </c>
      <c r="B2357" s="1">
        <f>DATE(2014,11,1) + TIME(12,31,28)</f>
        <v>41944.521851851852</v>
      </c>
      <c r="C2357">
        <v>80</v>
      </c>
      <c r="D2357">
        <v>79.873840332</v>
      </c>
      <c r="E2357">
        <v>50</v>
      </c>
      <c r="F2357">
        <v>53.200263976999999</v>
      </c>
      <c r="G2357">
        <v>1328.0053711</v>
      </c>
      <c r="H2357">
        <v>1325.8206786999999</v>
      </c>
      <c r="I2357">
        <v>1344.4962158000001</v>
      </c>
      <c r="J2357">
        <v>1339.9238281</v>
      </c>
      <c r="K2357">
        <v>0</v>
      </c>
      <c r="L2357">
        <v>2400</v>
      </c>
      <c r="M2357">
        <v>2400</v>
      </c>
      <c r="N2357">
        <v>0</v>
      </c>
    </row>
    <row r="2358" spans="1:14" x14ac:dyDescent="0.25">
      <c r="A2358">
        <v>1645.5899770000001</v>
      </c>
      <c r="B2358" s="1">
        <f>DATE(2014,11,1) + TIME(14,9,34)</f>
        <v>41944.58997685185</v>
      </c>
      <c r="C2358">
        <v>80</v>
      </c>
      <c r="D2358">
        <v>79.866210937999995</v>
      </c>
      <c r="E2358">
        <v>50</v>
      </c>
      <c r="F2358">
        <v>52.890861510999997</v>
      </c>
      <c r="G2358">
        <v>1327.9147949000001</v>
      </c>
      <c r="H2358">
        <v>1325.7275391000001</v>
      </c>
      <c r="I2358">
        <v>1344.5970459</v>
      </c>
      <c r="J2358">
        <v>1340.0246582</v>
      </c>
      <c r="K2358">
        <v>0</v>
      </c>
      <c r="L2358">
        <v>2400</v>
      </c>
      <c r="M2358">
        <v>2400</v>
      </c>
      <c r="N2358">
        <v>0</v>
      </c>
    </row>
    <row r="2359" spans="1:14" x14ac:dyDescent="0.25">
      <c r="A2359">
        <v>1645.661599</v>
      </c>
      <c r="B2359" s="1">
        <f>DATE(2014,11,1) + TIME(15,52,42)</f>
        <v>41944.661597222221</v>
      </c>
      <c r="C2359">
        <v>80</v>
      </c>
      <c r="D2359">
        <v>79.858360290999997</v>
      </c>
      <c r="E2359">
        <v>50</v>
      </c>
      <c r="F2359">
        <v>52.599651336999997</v>
      </c>
      <c r="G2359">
        <v>1327.8417969</v>
      </c>
      <c r="H2359">
        <v>1325.6525879000001</v>
      </c>
      <c r="I2359">
        <v>1344.6744385</v>
      </c>
      <c r="J2359">
        <v>1340.1029053</v>
      </c>
      <c r="K2359">
        <v>0</v>
      </c>
      <c r="L2359">
        <v>2400</v>
      </c>
      <c r="M2359">
        <v>2400</v>
      </c>
      <c r="N2359">
        <v>0</v>
      </c>
    </row>
    <row r="2360" spans="1:14" x14ac:dyDescent="0.25">
      <c r="A2360">
        <v>1645.7371089999999</v>
      </c>
      <c r="B2360" s="1">
        <f>DATE(2014,11,1) + TIME(17,41,26)</f>
        <v>41944.73710648148</v>
      </c>
      <c r="C2360">
        <v>80</v>
      </c>
      <c r="D2360">
        <v>79.850257873999993</v>
      </c>
      <c r="E2360">
        <v>50</v>
      </c>
      <c r="F2360">
        <v>52.326160430999998</v>
      </c>
      <c r="G2360">
        <v>1327.7833252</v>
      </c>
      <c r="H2360">
        <v>1325.5922852000001</v>
      </c>
      <c r="I2360">
        <v>1344.7327881000001</v>
      </c>
      <c r="J2360">
        <v>1340.1632079999999</v>
      </c>
      <c r="K2360">
        <v>0</v>
      </c>
      <c r="L2360">
        <v>2400</v>
      </c>
      <c r="M2360">
        <v>2400</v>
      </c>
      <c r="N2360">
        <v>0</v>
      </c>
    </row>
    <row r="2361" spans="1:14" x14ac:dyDescent="0.25">
      <c r="A2361">
        <v>1645.8169600000001</v>
      </c>
      <c r="B2361" s="1">
        <f>DATE(2014,11,1) + TIME(19,36,25)</f>
        <v>41944.81695601852</v>
      </c>
      <c r="C2361">
        <v>80</v>
      </c>
      <c r="D2361">
        <v>79.841857910000002</v>
      </c>
      <c r="E2361">
        <v>50</v>
      </c>
      <c r="F2361">
        <v>52.069900513</v>
      </c>
      <c r="G2361">
        <v>1327.7364502</v>
      </c>
      <c r="H2361">
        <v>1325.5439452999999</v>
      </c>
      <c r="I2361">
        <v>1344.7757568</v>
      </c>
      <c r="J2361">
        <v>1340.2086182</v>
      </c>
      <c r="K2361">
        <v>0</v>
      </c>
      <c r="L2361">
        <v>2400</v>
      </c>
      <c r="M2361">
        <v>2400</v>
      </c>
      <c r="N2361">
        <v>0</v>
      </c>
    </row>
    <row r="2362" spans="1:14" x14ac:dyDescent="0.25">
      <c r="A2362">
        <v>1645.9016859999999</v>
      </c>
      <c r="B2362" s="1">
        <f>DATE(2014,11,1) + TIME(21,38,25)</f>
        <v>41944.901678240742</v>
      </c>
      <c r="C2362">
        <v>80</v>
      </c>
      <c r="D2362">
        <v>79.833114624000004</v>
      </c>
      <c r="E2362">
        <v>50</v>
      </c>
      <c r="F2362">
        <v>51.830417633000003</v>
      </c>
      <c r="G2362">
        <v>1327.6993408000001</v>
      </c>
      <c r="H2362">
        <v>1325.5054932</v>
      </c>
      <c r="I2362">
        <v>1344.8060303</v>
      </c>
      <c r="J2362">
        <v>1340.2419434000001</v>
      </c>
      <c r="K2362">
        <v>0</v>
      </c>
      <c r="L2362">
        <v>2400</v>
      </c>
      <c r="M2362">
        <v>2400</v>
      </c>
      <c r="N2362">
        <v>0</v>
      </c>
    </row>
    <row r="2363" spans="1:14" x14ac:dyDescent="0.25">
      <c r="A2363">
        <v>1645.991931</v>
      </c>
      <c r="B2363" s="1">
        <f>DATE(2014,11,1) + TIME(23,48,22)</f>
        <v>41944.9919212963</v>
      </c>
      <c r="C2363">
        <v>80</v>
      </c>
      <c r="D2363">
        <v>79.823974609000004</v>
      </c>
      <c r="E2363">
        <v>50</v>
      </c>
      <c r="F2363">
        <v>51.607261657999999</v>
      </c>
      <c r="G2363">
        <v>1327.6700439000001</v>
      </c>
      <c r="H2363">
        <v>1325.4748535000001</v>
      </c>
      <c r="I2363">
        <v>1344.8260498</v>
      </c>
      <c r="J2363">
        <v>1340.2653809000001</v>
      </c>
      <c r="K2363">
        <v>0</v>
      </c>
      <c r="L2363">
        <v>2400</v>
      </c>
      <c r="M2363">
        <v>2400</v>
      </c>
      <c r="N2363">
        <v>0</v>
      </c>
    </row>
    <row r="2364" spans="1:14" x14ac:dyDescent="0.25">
      <c r="A2364">
        <v>1646.088469</v>
      </c>
      <c r="B2364" s="1">
        <f>DATE(2014,11,2) + TIME(2,7,23)</f>
        <v>41945.088460648149</v>
      </c>
      <c r="C2364">
        <v>80</v>
      </c>
      <c r="D2364">
        <v>79.814376831000004</v>
      </c>
      <c r="E2364">
        <v>50</v>
      </c>
      <c r="F2364">
        <v>51.400020599000001</v>
      </c>
      <c r="G2364">
        <v>1327.6469727000001</v>
      </c>
      <c r="H2364">
        <v>1325.4508057</v>
      </c>
      <c r="I2364">
        <v>1344.8375243999999</v>
      </c>
      <c r="J2364">
        <v>1340.2808838000001</v>
      </c>
      <c r="K2364">
        <v>0</v>
      </c>
      <c r="L2364">
        <v>2400</v>
      </c>
      <c r="M2364">
        <v>2400</v>
      </c>
      <c r="N2364">
        <v>0</v>
      </c>
    </row>
    <row r="2365" spans="1:14" x14ac:dyDescent="0.25">
      <c r="A2365">
        <v>1646.192243</v>
      </c>
      <c r="B2365" s="1">
        <f>DATE(2014,11,2) + TIME(4,36,49)</f>
        <v>41945.192233796297</v>
      </c>
      <c r="C2365">
        <v>80</v>
      </c>
      <c r="D2365">
        <v>79.804244995000005</v>
      </c>
      <c r="E2365">
        <v>50</v>
      </c>
      <c r="F2365">
        <v>51.208312988000003</v>
      </c>
      <c r="G2365">
        <v>1327.6290283000001</v>
      </c>
      <c r="H2365">
        <v>1325.4317627</v>
      </c>
      <c r="I2365">
        <v>1344.8422852000001</v>
      </c>
      <c r="J2365">
        <v>1340.2900391000001</v>
      </c>
      <c r="K2365">
        <v>0</v>
      </c>
      <c r="L2365">
        <v>2400</v>
      </c>
      <c r="M2365">
        <v>2400</v>
      </c>
      <c r="N2365">
        <v>0</v>
      </c>
    </row>
    <row r="2366" spans="1:14" x14ac:dyDescent="0.25">
      <c r="A2366">
        <v>1646.3044199999999</v>
      </c>
      <c r="B2366" s="1">
        <f>DATE(2014,11,2) + TIME(7,18,21)</f>
        <v>41945.304409722223</v>
      </c>
      <c r="C2366">
        <v>80</v>
      </c>
      <c r="D2366">
        <v>79.793487549000005</v>
      </c>
      <c r="E2366">
        <v>50</v>
      </c>
      <c r="F2366">
        <v>51.031780243</v>
      </c>
      <c r="G2366">
        <v>1327.6151123</v>
      </c>
      <c r="H2366">
        <v>1325.416626</v>
      </c>
      <c r="I2366">
        <v>1344.8414307</v>
      </c>
      <c r="J2366">
        <v>1340.2939452999999</v>
      </c>
      <c r="K2366">
        <v>0</v>
      </c>
      <c r="L2366">
        <v>2400</v>
      </c>
      <c r="M2366">
        <v>2400</v>
      </c>
      <c r="N2366">
        <v>0</v>
      </c>
    </row>
    <row r="2367" spans="1:14" x14ac:dyDescent="0.25">
      <c r="A2367">
        <v>1646.4264599999999</v>
      </c>
      <c r="B2367" s="1">
        <f>DATE(2014,11,2) + TIME(10,14,6)</f>
        <v>41945.426458333335</v>
      </c>
      <c r="C2367">
        <v>80</v>
      </c>
      <c r="D2367">
        <v>79.782012938999998</v>
      </c>
      <c r="E2367">
        <v>50</v>
      </c>
      <c r="F2367">
        <v>50.870105743000003</v>
      </c>
      <c r="G2367">
        <v>1327.6042480000001</v>
      </c>
      <c r="H2367">
        <v>1325.4045410000001</v>
      </c>
      <c r="I2367">
        <v>1344.8363036999999</v>
      </c>
      <c r="J2367">
        <v>1340.2938231999999</v>
      </c>
      <c r="K2367">
        <v>0</v>
      </c>
      <c r="L2367">
        <v>2400</v>
      </c>
      <c r="M2367">
        <v>2400</v>
      </c>
      <c r="N2367">
        <v>0</v>
      </c>
    </row>
    <row r="2368" spans="1:14" x14ac:dyDescent="0.25">
      <c r="A2368">
        <v>1646.5601979999999</v>
      </c>
      <c r="B2368" s="1">
        <f>DATE(2014,11,2) + TIME(13,26,41)</f>
        <v>41945.560196759259</v>
      </c>
      <c r="C2368">
        <v>80</v>
      </c>
      <c r="D2368">
        <v>79.769668578999998</v>
      </c>
      <c r="E2368">
        <v>50</v>
      </c>
      <c r="F2368">
        <v>50.723014831999997</v>
      </c>
      <c r="G2368">
        <v>1327.5955810999999</v>
      </c>
      <c r="H2368">
        <v>1325.3946533000001</v>
      </c>
      <c r="I2368">
        <v>1344.8276367000001</v>
      </c>
      <c r="J2368">
        <v>1340.2906493999999</v>
      </c>
      <c r="K2368">
        <v>0</v>
      </c>
      <c r="L2368">
        <v>2400</v>
      </c>
      <c r="M2368">
        <v>2400</v>
      </c>
      <c r="N2368">
        <v>0</v>
      </c>
    </row>
    <row r="2369" spans="1:14" x14ac:dyDescent="0.25">
      <c r="A2369">
        <v>1646.7080570000001</v>
      </c>
      <c r="B2369" s="1">
        <f>DATE(2014,11,2) + TIME(16,59,36)</f>
        <v>41945.708055555559</v>
      </c>
      <c r="C2369">
        <v>80</v>
      </c>
      <c r="D2369">
        <v>79.756294249999996</v>
      </c>
      <c r="E2369">
        <v>50</v>
      </c>
      <c r="F2369">
        <v>50.590221405000001</v>
      </c>
      <c r="G2369">
        <v>1327.5883789</v>
      </c>
      <c r="H2369">
        <v>1325.3861084</v>
      </c>
      <c r="I2369">
        <v>1344.8161620999999</v>
      </c>
      <c r="J2369">
        <v>1340.2851562000001</v>
      </c>
      <c r="K2369">
        <v>0</v>
      </c>
      <c r="L2369">
        <v>2400</v>
      </c>
      <c r="M2369">
        <v>2400</v>
      </c>
      <c r="N2369">
        <v>0</v>
      </c>
    </row>
    <row r="2370" spans="1:14" x14ac:dyDescent="0.25">
      <c r="A2370">
        <v>1646.8639169999999</v>
      </c>
      <c r="B2370" s="1">
        <f>DATE(2014,11,2) + TIME(20,44,2)</f>
        <v>41945.863912037035</v>
      </c>
      <c r="C2370">
        <v>80</v>
      </c>
      <c r="D2370">
        <v>79.742378235000004</v>
      </c>
      <c r="E2370">
        <v>50</v>
      </c>
      <c r="F2370">
        <v>50.476905823000003</v>
      </c>
      <c r="G2370">
        <v>1327.5822754000001</v>
      </c>
      <c r="H2370">
        <v>1325.378418</v>
      </c>
      <c r="I2370">
        <v>1344.8037108999999</v>
      </c>
      <c r="J2370">
        <v>1340.2785644999999</v>
      </c>
      <c r="K2370">
        <v>0</v>
      </c>
      <c r="L2370">
        <v>2400</v>
      </c>
      <c r="M2370">
        <v>2400</v>
      </c>
      <c r="N2370">
        <v>0</v>
      </c>
    </row>
    <row r="2371" spans="1:14" x14ac:dyDescent="0.25">
      <c r="A2371">
        <v>1647.0248019999999</v>
      </c>
      <c r="B2371" s="1">
        <f>DATE(2014,11,3) + TIME(0,35,42)</f>
        <v>41946.024791666663</v>
      </c>
      <c r="C2371">
        <v>80</v>
      </c>
      <c r="D2371">
        <v>79.728134155000006</v>
      </c>
      <c r="E2371">
        <v>50</v>
      </c>
      <c r="F2371">
        <v>50.382694244</v>
      </c>
      <c r="G2371">
        <v>1327.5766602000001</v>
      </c>
      <c r="H2371">
        <v>1325.3712158000001</v>
      </c>
      <c r="I2371">
        <v>1344.7907714999999</v>
      </c>
      <c r="J2371">
        <v>1340.2713623</v>
      </c>
      <c r="K2371">
        <v>0</v>
      </c>
      <c r="L2371">
        <v>2400</v>
      </c>
      <c r="M2371">
        <v>2400</v>
      </c>
      <c r="N2371">
        <v>0</v>
      </c>
    </row>
    <row r="2372" spans="1:14" x14ac:dyDescent="0.25">
      <c r="A2372">
        <v>1647.1911849999999</v>
      </c>
      <c r="B2372" s="1">
        <f>DATE(2014,11,3) + TIME(4,35,18)</f>
        <v>41946.191180555557</v>
      </c>
      <c r="C2372">
        <v>80</v>
      </c>
      <c r="D2372">
        <v>79.713539123999993</v>
      </c>
      <c r="E2372">
        <v>50</v>
      </c>
      <c r="F2372">
        <v>50.304656981999997</v>
      </c>
      <c r="G2372">
        <v>1327.5715332</v>
      </c>
      <c r="H2372">
        <v>1325.3642577999999</v>
      </c>
      <c r="I2372">
        <v>1344.7775879000001</v>
      </c>
      <c r="J2372">
        <v>1340.2640381000001</v>
      </c>
      <c r="K2372">
        <v>0</v>
      </c>
      <c r="L2372">
        <v>2400</v>
      </c>
      <c r="M2372">
        <v>2400</v>
      </c>
      <c r="N2372">
        <v>0</v>
      </c>
    </row>
    <row r="2373" spans="1:14" x14ac:dyDescent="0.25">
      <c r="A2373">
        <v>1647.363378</v>
      </c>
      <c r="B2373" s="1">
        <f>DATE(2014,11,3) + TIME(8,43,15)</f>
        <v>41946.363368055558</v>
      </c>
      <c r="C2373">
        <v>80</v>
      </c>
      <c r="D2373">
        <v>79.698562621999997</v>
      </c>
      <c r="E2373">
        <v>50</v>
      </c>
      <c r="F2373">
        <v>50.240352631</v>
      </c>
      <c r="G2373">
        <v>1327.5662841999999</v>
      </c>
      <c r="H2373">
        <v>1325.3572998</v>
      </c>
      <c r="I2373">
        <v>1344.7645264</v>
      </c>
      <c r="J2373">
        <v>1340.2567139</v>
      </c>
      <c r="K2373">
        <v>0</v>
      </c>
      <c r="L2373">
        <v>2400</v>
      </c>
      <c r="M2373">
        <v>2400</v>
      </c>
      <c r="N2373">
        <v>0</v>
      </c>
    </row>
    <row r="2374" spans="1:14" x14ac:dyDescent="0.25">
      <c r="A2374">
        <v>1647.5417219999999</v>
      </c>
      <c r="B2374" s="1">
        <f>DATE(2014,11,3) + TIME(13,0,4)</f>
        <v>41946.541712962964</v>
      </c>
      <c r="C2374">
        <v>80</v>
      </c>
      <c r="D2374">
        <v>79.683189392000003</v>
      </c>
      <c r="E2374">
        <v>50</v>
      </c>
      <c r="F2374">
        <v>50.187656402999998</v>
      </c>
      <c r="G2374">
        <v>1327.5610352000001</v>
      </c>
      <c r="H2374">
        <v>1325.3500977000001</v>
      </c>
      <c r="I2374">
        <v>1344.7517089999999</v>
      </c>
      <c r="J2374">
        <v>1340.2495117000001</v>
      </c>
      <c r="K2374">
        <v>0</v>
      </c>
      <c r="L2374">
        <v>2400</v>
      </c>
      <c r="M2374">
        <v>2400</v>
      </c>
      <c r="N2374">
        <v>0</v>
      </c>
    </row>
    <row r="2375" spans="1:14" x14ac:dyDescent="0.25">
      <c r="A2375">
        <v>1647.7265890000001</v>
      </c>
      <c r="B2375" s="1">
        <f>DATE(2014,11,3) + TIME(17,26,17)</f>
        <v>41946.726585648146</v>
      </c>
      <c r="C2375">
        <v>80</v>
      </c>
      <c r="D2375">
        <v>79.667388915999993</v>
      </c>
      <c r="E2375">
        <v>50</v>
      </c>
      <c r="F2375">
        <v>50.144721984999997</v>
      </c>
      <c r="G2375">
        <v>1327.5555420000001</v>
      </c>
      <c r="H2375">
        <v>1325.3425293</v>
      </c>
      <c r="I2375">
        <v>1344.7392577999999</v>
      </c>
      <c r="J2375">
        <v>1340.2425536999999</v>
      </c>
      <c r="K2375">
        <v>0</v>
      </c>
      <c r="L2375">
        <v>2400</v>
      </c>
      <c r="M2375">
        <v>2400</v>
      </c>
      <c r="N2375">
        <v>0</v>
      </c>
    </row>
    <row r="2376" spans="1:14" x14ac:dyDescent="0.25">
      <c r="A2376">
        <v>1647.9183800000001</v>
      </c>
      <c r="B2376" s="1">
        <f>DATE(2014,11,3) + TIME(22,2,28)</f>
        <v>41946.918379629627</v>
      </c>
      <c r="C2376">
        <v>80</v>
      </c>
      <c r="D2376">
        <v>79.651130675999994</v>
      </c>
      <c r="E2376">
        <v>50</v>
      </c>
      <c r="F2376">
        <v>50.109962463000002</v>
      </c>
      <c r="G2376">
        <v>1327.5496826000001</v>
      </c>
      <c r="H2376">
        <v>1325.3344727000001</v>
      </c>
      <c r="I2376">
        <v>1344.7270507999999</v>
      </c>
      <c r="J2376">
        <v>1340.2359618999999</v>
      </c>
      <c r="K2376">
        <v>0</v>
      </c>
      <c r="L2376">
        <v>2400</v>
      </c>
      <c r="M2376">
        <v>2400</v>
      </c>
      <c r="N2376">
        <v>0</v>
      </c>
    </row>
    <row r="2377" spans="1:14" x14ac:dyDescent="0.25">
      <c r="A2377">
        <v>1648.1175310000001</v>
      </c>
      <c r="B2377" s="1">
        <f>DATE(2014,11,4) + TIME(2,49,14)</f>
        <v>41947.117523148147</v>
      </c>
      <c r="C2377">
        <v>80</v>
      </c>
      <c r="D2377">
        <v>79.634407042999996</v>
      </c>
      <c r="E2377">
        <v>50</v>
      </c>
      <c r="F2377">
        <v>50.082000731999997</v>
      </c>
      <c r="G2377">
        <v>1327.5435791</v>
      </c>
      <c r="H2377">
        <v>1325.3260498</v>
      </c>
      <c r="I2377">
        <v>1344.7152100000001</v>
      </c>
      <c r="J2377">
        <v>1340.2294922000001</v>
      </c>
      <c r="K2377">
        <v>0</v>
      </c>
      <c r="L2377">
        <v>2400</v>
      </c>
      <c r="M2377">
        <v>2400</v>
      </c>
      <c r="N2377">
        <v>0</v>
      </c>
    </row>
    <row r="2378" spans="1:14" x14ac:dyDescent="0.25">
      <c r="A2378">
        <v>1648.324511</v>
      </c>
      <c r="B2378" s="1">
        <f>DATE(2014,11,4) + TIME(7,47,17)</f>
        <v>41947.324502314812</v>
      </c>
      <c r="C2378">
        <v>80</v>
      </c>
      <c r="D2378">
        <v>79.617164611999996</v>
      </c>
      <c r="E2378">
        <v>50</v>
      </c>
      <c r="F2378">
        <v>50.059661865000002</v>
      </c>
      <c r="G2378">
        <v>1327.5369873</v>
      </c>
      <c r="H2378">
        <v>1325.3170166</v>
      </c>
      <c r="I2378">
        <v>1344.7037353999999</v>
      </c>
      <c r="J2378">
        <v>1340.2233887</v>
      </c>
      <c r="K2378">
        <v>0</v>
      </c>
      <c r="L2378">
        <v>2400</v>
      </c>
      <c r="M2378">
        <v>2400</v>
      </c>
      <c r="N2378">
        <v>0</v>
      </c>
    </row>
    <row r="2379" spans="1:14" x14ac:dyDescent="0.25">
      <c r="A2379">
        <v>1648.5398339999999</v>
      </c>
      <c r="B2379" s="1">
        <f>DATE(2014,11,4) + TIME(12,57,21)</f>
        <v>41947.539826388886</v>
      </c>
      <c r="C2379">
        <v>80</v>
      </c>
      <c r="D2379">
        <v>79.599388122999997</v>
      </c>
      <c r="E2379">
        <v>50</v>
      </c>
      <c r="F2379">
        <v>50.041946410999998</v>
      </c>
      <c r="G2379">
        <v>1327.5301514</v>
      </c>
      <c r="H2379">
        <v>1325.3074951000001</v>
      </c>
      <c r="I2379">
        <v>1344.6925048999999</v>
      </c>
      <c r="J2379">
        <v>1340.2174072</v>
      </c>
      <c r="K2379">
        <v>0</v>
      </c>
      <c r="L2379">
        <v>2400</v>
      </c>
      <c r="M2379">
        <v>2400</v>
      </c>
      <c r="N2379">
        <v>0</v>
      </c>
    </row>
    <row r="2380" spans="1:14" x14ac:dyDescent="0.25">
      <c r="A2380">
        <v>1648.7618170000001</v>
      </c>
      <c r="B2380" s="1">
        <f>DATE(2014,11,4) + TIME(18,17,0)</f>
        <v>41947.761805555558</v>
      </c>
      <c r="C2380">
        <v>80</v>
      </c>
      <c r="D2380">
        <v>79.581192017000006</v>
      </c>
      <c r="E2380">
        <v>50</v>
      </c>
      <c r="F2380">
        <v>50.028102875000002</v>
      </c>
      <c r="G2380">
        <v>1327.5228271000001</v>
      </c>
      <c r="H2380">
        <v>1325.2973632999999</v>
      </c>
      <c r="I2380">
        <v>1344.6816406</v>
      </c>
      <c r="J2380">
        <v>1340.2116699000001</v>
      </c>
      <c r="K2380">
        <v>0</v>
      </c>
      <c r="L2380">
        <v>2400</v>
      </c>
      <c r="M2380">
        <v>2400</v>
      </c>
      <c r="N2380">
        <v>0</v>
      </c>
    </row>
    <row r="2381" spans="1:14" x14ac:dyDescent="0.25">
      <c r="A2381">
        <v>1648.9870980000001</v>
      </c>
      <c r="B2381" s="1">
        <f>DATE(2014,11,4) + TIME(23,41,25)</f>
        <v>41947.98709490741</v>
      </c>
      <c r="C2381">
        <v>80</v>
      </c>
      <c r="D2381">
        <v>79.562782287999994</v>
      </c>
      <c r="E2381">
        <v>50</v>
      </c>
      <c r="F2381">
        <v>50.017478943</v>
      </c>
      <c r="G2381">
        <v>1327.5152588000001</v>
      </c>
      <c r="H2381">
        <v>1325.2868652</v>
      </c>
      <c r="I2381">
        <v>1344.6711425999999</v>
      </c>
      <c r="J2381">
        <v>1340.2062988</v>
      </c>
      <c r="K2381">
        <v>0</v>
      </c>
      <c r="L2381">
        <v>2400</v>
      </c>
      <c r="M2381">
        <v>2400</v>
      </c>
      <c r="N2381">
        <v>0</v>
      </c>
    </row>
    <row r="2382" spans="1:14" x14ac:dyDescent="0.25">
      <c r="A2382">
        <v>1649.215326</v>
      </c>
      <c r="B2382" s="1">
        <f>DATE(2014,11,5) + TIME(5,10,4)</f>
        <v>41948.215324074074</v>
      </c>
      <c r="C2382">
        <v>80</v>
      </c>
      <c r="D2382">
        <v>79.544212341000005</v>
      </c>
      <c r="E2382">
        <v>50</v>
      </c>
      <c r="F2382">
        <v>50.009357452000003</v>
      </c>
      <c r="G2382">
        <v>1327.5073242000001</v>
      </c>
      <c r="H2382">
        <v>1325.2758789</v>
      </c>
      <c r="I2382">
        <v>1344.6610106999999</v>
      </c>
      <c r="J2382">
        <v>1340.2010498</v>
      </c>
      <c r="K2382">
        <v>0</v>
      </c>
      <c r="L2382">
        <v>2400</v>
      </c>
      <c r="M2382">
        <v>2400</v>
      </c>
      <c r="N2382">
        <v>0</v>
      </c>
    </row>
    <row r="2383" spans="1:14" x14ac:dyDescent="0.25">
      <c r="A2383">
        <v>1649.446999</v>
      </c>
      <c r="B2383" s="1">
        <f>DATE(2014,11,5) + TIME(10,43,40)</f>
        <v>41948.44699074074</v>
      </c>
      <c r="C2383">
        <v>80</v>
      </c>
      <c r="D2383">
        <v>79.525451660000002</v>
      </c>
      <c r="E2383">
        <v>50</v>
      </c>
      <c r="F2383">
        <v>50.003143311000002</v>
      </c>
      <c r="G2383">
        <v>1327.4992675999999</v>
      </c>
      <c r="H2383">
        <v>1325.2647704999999</v>
      </c>
      <c r="I2383">
        <v>1344.6513672000001</v>
      </c>
      <c r="J2383">
        <v>1340.1960449000001</v>
      </c>
      <c r="K2383">
        <v>0</v>
      </c>
      <c r="L2383">
        <v>2400</v>
      </c>
      <c r="M2383">
        <v>2400</v>
      </c>
      <c r="N2383">
        <v>0</v>
      </c>
    </row>
    <row r="2384" spans="1:14" x14ac:dyDescent="0.25">
      <c r="A2384">
        <v>1649.6826000000001</v>
      </c>
      <c r="B2384" s="1">
        <f>DATE(2014,11,5) + TIME(16,22,56)</f>
        <v>41948.682592592595</v>
      </c>
      <c r="C2384">
        <v>80</v>
      </c>
      <c r="D2384">
        <v>79.506484985</v>
      </c>
      <c r="E2384">
        <v>50</v>
      </c>
      <c r="F2384">
        <v>49.998394011999999</v>
      </c>
      <c r="G2384">
        <v>1327.4909668</v>
      </c>
      <c r="H2384">
        <v>1325.2531738</v>
      </c>
      <c r="I2384">
        <v>1344.6420897999999</v>
      </c>
      <c r="J2384">
        <v>1340.1912841999999</v>
      </c>
      <c r="K2384">
        <v>0</v>
      </c>
      <c r="L2384">
        <v>2400</v>
      </c>
      <c r="M2384">
        <v>2400</v>
      </c>
      <c r="N2384">
        <v>0</v>
      </c>
    </row>
    <row r="2385" spans="1:14" x14ac:dyDescent="0.25">
      <c r="A2385">
        <v>1649.9226060000001</v>
      </c>
      <c r="B2385" s="1">
        <f>DATE(2014,11,5) + TIME(22,8,33)</f>
        <v>41948.92260416667</v>
      </c>
      <c r="C2385">
        <v>80</v>
      </c>
      <c r="D2385">
        <v>79.487289429</v>
      </c>
      <c r="E2385">
        <v>50</v>
      </c>
      <c r="F2385">
        <v>49.994766235</v>
      </c>
      <c r="G2385">
        <v>1327.4824219</v>
      </c>
      <c r="H2385">
        <v>1325.2413329999999</v>
      </c>
      <c r="I2385">
        <v>1344.6330565999999</v>
      </c>
      <c r="J2385">
        <v>1340.1867675999999</v>
      </c>
      <c r="K2385">
        <v>0</v>
      </c>
      <c r="L2385">
        <v>2400</v>
      </c>
      <c r="M2385">
        <v>2400</v>
      </c>
      <c r="N2385">
        <v>0</v>
      </c>
    </row>
    <row r="2386" spans="1:14" x14ac:dyDescent="0.25">
      <c r="A2386">
        <v>1650.1673350000001</v>
      </c>
      <c r="B2386" s="1">
        <f>DATE(2014,11,6) + TIME(4,0,57)</f>
        <v>41949.167326388888</v>
      </c>
      <c r="C2386">
        <v>80</v>
      </c>
      <c r="D2386">
        <v>79.467842102000006</v>
      </c>
      <c r="E2386">
        <v>50</v>
      </c>
      <c r="F2386">
        <v>49.991992949999997</v>
      </c>
      <c r="G2386">
        <v>1327.4736327999999</v>
      </c>
      <c r="H2386">
        <v>1325.229126</v>
      </c>
      <c r="I2386">
        <v>1344.6242675999999</v>
      </c>
      <c r="J2386">
        <v>1340.182251</v>
      </c>
      <c r="K2386">
        <v>0</v>
      </c>
      <c r="L2386">
        <v>2400</v>
      </c>
      <c r="M2386">
        <v>2400</v>
      </c>
      <c r="N2386">
        <v>0</v>
      </c>
    </row>
    <row r="2387" spans="1:14" x14ac:dyDescent="0.25">
      <c r="A2387">
        <v>1650.4173929999999</v>
      </c>
      <c r="B2387" s="1">
        <f>DATE(2014,11,6) + TIME(10,1,2)</f>
        <v>41949.417384259257</v>
      </c>
      <c r="C2387">
        <v>80</v>
      </c>
      <c r="D2387">
        <v>79.448112488000007</v>
      </c>
      <c r="E2387">
        <v>50</v>
      </c>
      <c r="F2387">
        <v>49.989879608000003</v>
      </c>
      <c r="G2387">
        <v>1327.4645995999999</v>
      </c>
      <c r="H2387">
        <v>1325.2164307</v>
      </c>
      <c r="I2387">
        <v>1344.6158447</v>
      </c>
      <c r="J2387">
        <v>1340.1778564000001</v>
      </c>
      <c r="K2387">
        <v>0</v>
      </c>
      <c r="L2387">
        <v>2400</v>
      </c>
      <c r="M2387">
        <v>2400</v>
      </c>
      <c r="N2387">
        <v>0</v>
      </c>
    </row>
    <row r="2388" spans="1:14" x14ac:dyDescent="0.25">
      <c r="A2388">
        <v>1650.6732870000001</v>
      </c>
      <c r="B2388" s="1">
        <f>DATE(2014,11,6) + TIME(16,9,31)</f>
        <v>41949.673275462963</v>
      </c>
      <c r="C2388">
        <v>80</v>
      </c>
      <c r="D2388">
        <v>79.428070067999997</v>
      </c>
      <c r="E2388">
        <v>50</v>
      </c>
      <c r="F2388">
        <v>49.988269805999998</v>
      </c>
      <c r="G2388">
        <v>1327.4553223</v>
      </c>
      <c r="H2388">
        <v>1325.2034911999999</v>
      </c>
      <c r="I2388">
        <v>1344.6075439000001</v>
      </c>
      <c r="J2388">
        <v>1340.1735839999999</v>
      </c>
      <c r="K2388">
        <v>0</v>
      </c>
      <c r="L2388">
        <v>2400</v>
      </c>
      <c r="M2388">
        <v>2400</v>
      </c>
      <c r="N2388">
        <v>0</v>
      </c>
    </row>
    <row r="2389" spans="1:14" x14ac:dyDescent="0.25">
      <c r="A2389">
        <v>1650.935522</v>
      </c>
      <c r="B2389" s="1">
        <f>DATE(2014,11,6) + TIME(22,27,9)</f>
        <v>41949.935520833336</v>
      </c>
      <c r="C2389">
        <v>80</v>
      </c>
      <c r="D2389">
        <v>79.407699585000003</v>
      </c>
      <c r="E2389">
        <v>50</v>
      </c>
      <c r="F2389">
        <v>49.987041472999998</v>
      </c>
      <c r="G2389">
        <v>1327.4458007999999</v>
      </c>
      <c r="H2389">
        <v>1325.1900635</v>
      </c>
      <c r="I2389">
        <v>1344.5993652</v>
      </c>
      <c r="J2389">
        <v>1340.1694336</v>
      </c>
      <c r="K2389">
        <v>0</v>
      </c>
      <c r="L2389">
        <v>2400</v>
      </c>
      <c r="M2389">
        <v>2400</v>
      </c>
      <c r="N2389">
        <v>0</v>
      </c>
    </row>
    <row r="2390" spans="1:14" x14ac:dyDescent="0.25">
      <c r="A2390">
        <v>1651.2046270000001</v>
      </c>
      <c r="B2390" s="1">
        <f>DATE(2014,11,7) + TIME(4,54,39)</f>
        <v>41950.204618055555</v>
      </c>
      <c r="C2390">
        <v>80</v>
      </c>
      <c r="D2390">
        <v>79.386955260999997</v>
      </c>
      <c r="E2390">
        <v>50</v>
      </c>
      <c r="F2390">
        <v>49.986106872999997</v>
      </c>
      <c r="G2390">
        <v>1327.4359131000001</v>
      </c>
      <c r="H2390">
        <v>1325.1762695</v>
      </c>
      <c r="I2390">
        <v>1344.5914307</v>
      </c>
      <c r="J2390">
        <v>1340.1654053</v>
      </c>
      <c r="K2390">
        <v>0</v>
      </c>
      <c r="L2390">
        <v>2400</v>
      </c>
      <c r="M2390">
        <v>2400</v>
      </c>
      <c r="N2390">
        <v>0</v>
      </c>
    </row>
    <row r="2391" spans="1:14" x14ac:dyDescent="0.25">
      <c r="A2391">
        <v>1651.4811440000001</v>
      </c>
      <c r="B2391" s="1">
        <f>DATE(2014,11,7) + TIME(11,32,50)</f>
        <v>41950.481134259258</v>
      </c>
      <c r="C2391">
        <v>80</v>
      </c>
      <c r="D2391">
        <v>79.365806579999997</v>
      </c>
      <c r="E2391">
        <v>50</v>
      </c>
      <c r="F2391">
        <v>49.985393524000003</v>
      </c>
      <c r="G2391">
        <v>1327.4256591999999</v>
      </c>
      <c r="H2391">
        <v>1325.1619873</v>
      </c>
      <c r="I2391">
        <v>1344.5834961</v>
      </c>
      <c r="J2391">
        <v>1340.1613769999999</v>
      </c>
      <c r="K2391">
        <v>0</v>
      </c>
      <c r="L2391">
        <v>2400</v>
      </c>
      <c r="M2391">
        <v>2400</v>
      </c>
      <c r="N2391">
        <v>0</v>
      </c>
    </row>
    <row r="2392" spans="1:14" x14ac:dyDescent="0.25">
      <c r="A2392">
        <v>1651.7656440000001</v>
      </c>
      <c r="B2392" s="1">
        <f>DATE(2014,11,7) + TIME(18,22,31)</f>
        <v>41950.765636574077</v>
      </c>
      <c r="C2392">
        <v>80</v>
      </c>
      <c r="D2392">
        <v>79.344230651999993</v>
      </c>
      <c r="E2392">
        <v>50</v>
      </c>
      <c r="F2392">
        <v>49.984848022000001</v>
      </c>
      <c r="G2392">
        <v>1327.4151611</v>
      </c>
      <c r="H2392">
        <v>1325.1472168</v>
      </c>
      <c r="I2392">
        <v>1344.5758057</v>
      </c>
      <c r="J2392">
        <v>1340.1573486</v>
      </c>
      <c r="K2392">
        <v>0</v>
      </c>
      <c r="L2392">
        <v>2400</v>
      </c>
      <c r="M2392">
        <v>2400</v>
      </c>
      <c r="N2392">
        <v>0</v>
      </c>
    </row>
    <row r="2393" spans="1:14" x14ac:dyDescent="0.25">
      <c r="A2393">
        <v>1652.0587399999999</v>
      </c>
      <c r="B2393" s="1">
        <f>DATE(2014,11,8) + TIME(1,24,35)</f>
        <v>41951.058738425927</v>
      </c>
      <c r="C2393">
        <v>80</v>
      </c>
      <c r="D2393">
        <v>79.322189331000004</v>
      </c>
      <c r="E2393">
        <v>50</v>
      </c>
      <c r="F2393">
        <v>49.984428405999999</v>
      </c>
      <c r="G2393">
        <v>1327.4041748</v>
      </c>
      <c r="H2393">
        <v>1325.1319579999999</v>
      </c>
      <c r="I2393">
        <v>1344.5681152</v>
      </c>
      <c r="J2393">
        <v>1340.1534423999999</v>
      </c>
      <c r="K2393">
        <v>0</v>
      </c>
      <c r="L2393">
        <v>2400</v>
      </c>
      <c r="M2393">
        <v>2400</v>
      </c>
      <c r="N2393">
        <v>0</v>
      </c>
    </row>
    <row r="2394" spans="1:14" x14ac:dyDescent="0.25">
      <c r="A2394">
        <v>1652.361089</v>
      </c>
      <c r="B2394" s="1">
        <f>DATE(2014,11,8) + TIME(8,39,58)</f>
        <v>41951.361087962963</v>
      </c>
      <c r="C2394">
        <v>80</v>
      </c>
      <c r="D2394">
        <v>79.299636840999995</v>
      </c>
      <c r="E2394">
        <v>50</v>
      </c>
      <c r="F2394">
        <v>49.984107971</v>
      </c>
      <c r="G2394">
        <v>1327.3929443</v>
      </c>
      <c r="H2394">
        <v>1325.1160889</v>
      </c>
      <c r="I2394">
        <v>1344.5605469</v>
      </c>
      <c r="J2394">
        <v>1340.1495361</v>
      </c>
      <c r="K2394">
        <v>0</v>
      </c>
      <c r="L2394">
        <v>2400</v>
      </c>
      <c r="M2394">
        <v>2400</v>
      </c>
      <c r="N2394">
        <v>0</v>
      </c>
    </row>
    <row r="2395" spans="1:14" x14ac:dyDescent="0.25">
      <c r="A2395">
        <v>1652.6734120000001</v>
      </c>
      <c r="B2395" s="1">
        <f>DATE(2014,11,8) + TIME(16,9,42)</f>
        <v>41951.673402777778</v>
      </c>
      <c r="C2395">
        <v>80</v>
      </c>
      <c r="D2395">
        <v>79.276550293</v>
      </c>
      <c r="E2395">
        <v>50</v>
      </c>
      <c r="F2395">
        <v>49.983860016000001</v>
      </c>
      <c r="G2395">
        <v>1327.3812256000001</v>
      </c>
      <c r="H2395">
        <v>1325.0997314000001</v>
      </c>
      <c r="I2395">
        <v>1344.5531006000001</v>
      </c>
      <c r="J2395">
        <v>1340.1456298999999</v>
      </c>
      <c r="K2395">
        <v>0</v>
      </c>
      <c r="L2395">
        <v>2400</v>
      </c>
      <c r="M2395">
        <v>2400</v>
      </c>
      <c r="N2395">
        <v>0</v>
      </c>
    </row>
    <row r="2396" spans="1:14" x14ac:dyDescent="0.25">
      <c r="A2396">
        <v>1652.9963929999999</v>
      </c>
      <c r="B2396" s="1">
        <f>DATE(2014,11,8) + TIME(23,54,48)</f>
        <v>41951.996388888889</v>
      </c>
      <c r="C2396">
        <v>80</v>
      </c>
      <c r="D2396">
        <v>79.252876282000003</v>
      </c>
      <c r="E2396">
        <v>50</v>
      </c>
      <c r="F2396">
        <v>49.983669280999997</v>
      </c>
      <c r="G2396">
        <v>1327.3690185999999</v>
      </c>
      <c r="H2396">
        <v>1325.0826416</v>
      </c>
      <c r="I2396">
        <v>1344.5456543</v>
      </c>
      <c r="J2396">
        <v>1340.1417236</v>
      </c>
      <c r="K2396">
        <v>0</v>
      </c>
      <c r="L2396">
        <v>2400</v>
      </c>
      <c r="M2396">
        <v>2400</v>
      </c>
      <c r="N2396">
        <v>0</v>
      </c>
    </row>
    <row r="2397" spans="1:14" x14ac:dyDescent="0.25">
      <c r="A2397">
        <v>1653.3309019999999</v>
      </c>
      <c r="B2397" s="1">
        <f>DATE(2014,11,9) + TIME(7,56,29)</f>
        <v>41952.330891203703</v>
      </c>
      <c r="C2397">
        <v>80</v>
      </c>
      <c r="D2397">
        <v>79.228569031000006</v>
      </c>
      <c r="E2397">
        <v>50</v>
      </c>
      <c r="F2397">
        <v>49.983516692999999</v>
      </c>
      <c r="G2397">
        <v>1327.3564452999999</v>
      </c>
      <c r="H2397">
        <v>1325.0650635</v>
      </c>
      <c r="I2397">
        <v>1344.5382079999999</v>
      </c>
      <c r="J2397">
        <v>1340.1379394999999</v>
      </c>
      <c r="K2397">
        <v>0</v>
      </c>
      <c r="L2397">
        <v>2400</v>
      </c>
      <c r="M2397">
        <v>2400</v>
      </c>
      <c r="N2397">
        <v>0</v>
      </c>
    </row>
    <row r="2398" spans="1:14" x14ac:dyDescent="0.25">
      <c r="A2398">
        <v>1653.6779180000001</v>
      </c>
      <c r="B2398" s="1">
        <f>DATE(2014,11,9) + TIME(16,16,12)</f>
        <v>41952.677916666667</v>
      </c>
      <c r="C2398">
        <v>80</v>
      </c>
      <c r="D2398">
        <v>79.203590392999999</v>
      </c>
      <c r="E2398">
        <v>50</v>
      </c>
      <c r="F2398">
        <v>49.983398438000002</v>
      </c>
      <c r="G2398">
        <v>1327.3433838000001</v>
      </c>
      <c r="H2398">
        <v>1325.0466309000001</v>
      </c>
      <c r="I2398">
        <v>1344.5307617000001</v>
      </c>
      <c r="J2398">
        <v>1340.1340332</v>
      </c>
      <c r="K2398">
        <v>0</v>
      </c>
      <c r="L2398">
        <v>2400</v>
      </c>
      <c r="M2398">
        <v>2400</v>
      </c>
      <c r="N2398">
        <v>0</v>
      </c>
    </row>
    <row r="2399" spans="1:14" x14ac:dyDescent="0.25">
      <c r="A2399">
        <v>1654.0384550000001</v>
      </c>
      <c r="B2399" s="1">
        <f>DATE(2014,11,10) + TIME(0,55,22)</f>
        <v>41953.038449074076</v>
      </c>
      <c r="C2399">
        <v>80</v>
      </c>
      <c r="D2399">
        <v>79.177871703999998</v>
      </c>
      <c r="E2399">
        <v>50</v>
      </c>
      <c r="F2399">
        <v>49.983303069999998</v>
      </c>
      <c r="G2399">
        <v>1327.3297118999999</v>
      </c>
      <c r="H2399">
        <v>1325.0274658000001</v>
      </c>
      <c r="I2399">
        <v>1344.5234375</v>
      </c>
      <c r="J2399">
        <v>1340.130249</v>
      </c>
      <c r="K2399">
        <v>0</v>
      </c>
      <c r="L2399">
        <v>2400</v>
      </c>
      <c r="M2399">
        <v>2400</v>
      </c>
      <c r="N2399">
        <v>0</v>
      </c>
    </row>
    <row r="2400" spans="1:14" x14ac:dyDescent="0.25">
      <c r="A2400">
        <v>1654.4136329999999</v>
      </c>
      <c r="B2400" s="1">
        <f>DATE(2014,11,10) + TIME(9,55,37)</f>
        <v>41953.413622685184</v>
      </c>
      <c r="C2400">
        <v>80</v>
      </c>
      <c r="D2400">
        <v>79.151367187999995</v>
      </c>
      <c r="E2400">
        <v>50</v>
      </c>
      <c r="F2400">
        <v>49.983226776000002</v>
      </c>
      <c r="G2400">
        <v>1327.3155518000001</v>
      </c>
      <c r="H2400">
        <v>1325.0074463000001</v>
      </c>
      <c r="I2400">
        <v>1344.5161132999999</v>
      </c>
      <c r="J2400">
        <v>1340.1264647999999</v>
      </c>
      <c r="K2400">
        <v>0</v>
      </c>
      <c r="L2400">
        <v>2400</v>
      </c>
      <c r="M2400">
        <v>2400</v>
      </c>
      <c r="N2400">
        <v>0</v>
      </c>
    </row>
    <row r="2401" spans="1:14" x14ac:dyDescent="0.25">
      <c r="A2401">
        <v>1654.8046859999999</v>
      </c>
      <c r="B2401" s="1">
        <f>DATE(2014,11,10) + TIME(19,18,44)</f>
        <v>41953.804675925923</v>
      </c>
      <c r="C2401">
        <v>80</v>
      </c>
      <c r="D2401">
        <v>79.124000549000002</v>
      </c>
      <c r="E2401">
        <v>50</v>
      </c>
      <c r="F2401">
        <v>49.983161926000001</v>
      </c>
      <c r="G2401">
        <v>1327.3006591999999</v>
      </c>
      <c r="H2401">
        <v>1324.9865723</v>
      </c>
      <c r="I2401">
        <v>1344.5086670000001</v>
      </c>
      <c r="J2401">
        <v>1340.1225586</v>
      </c>
      <c r="K2401">
        <v>0</v>
      </c>
      <c r="L2401">
        <v>2400</v>
      </c>
      <c r="M2401">
        <v>2400</v>
      </c>
      <c r="N2401">
        <v>0</v>
      </c>
    </row>
    <row r="2402" spans="1:14" x14ac:dyDescent="0.25">
      <c r="A2402">
        <v>1655.2129870000001</v>
      </c>
      <c r="B2402" s="1">
        <f>DATE(2014,11,11) + TIME(5,6,42)</f>
        <v>41954.21298611111</v>
      </c>
      <c r="C2402">
        <v>80</v>
      </c>
      <c r="D2402">
        <v>79.095718383999994</v>
      </c>
      <c r="E2402">
        <v>50</v>
      </c>
      <c r="F2402">
        <v>49.983112335000001</v>
      </c>
      <c r="G2402">
        <v>1327.2851562000001</v>
      </c>
      <c r="H2402">
        <v>1324.9647216999999</v>
      </c>
      <c r="I2402">
        <v>1344.5012207</v>
      </c>
      <c r="J2402">
        <v>1340.1186522999999</v>
      </c>
      <c r="K2402">
        <v>0</v>
      </c>
      <c r="L2402">
        <v>2400</v>
      </c>
      <c r="M2402">
        <v>2400</v>
      </c>
      <c r="N2402">
        <v>0</v>
      </c>
    </row>
    <row r="2403" spans="1:14" x14ac:dyDescent="0.25">
      <c r="A2403">
        <v>1655.640065</v>
      </c>
      <c r="B2403" s="1">
        <f>DATE(2014,11,11) + TIME(15,21,41)</f>
        <v>41954.640057870369</v>
      </c>
      <c r="C2403">
        <v>80</v>
      </c>
      <c r="D2403">
        <v>79.066429138000004</v>
      </c>
      <c r="E2403">
        <v>50</v>
      </c>
      <c r="F2403">
        <v>49.983066559000001</v>
      </c>
      <c r="G2403">
        <v>1327.2689209</v>
      </c>
      <c r="H2403">
        <v>1324.9418945</v>
      </c>
      <c r="I2403">
        <v>1344.4937743999999</v>
      </c>
      <c r="J2403">
        <v>1340.1147461</v>
      </c>
      <c r="K2403">
        <v>0</v>
      </c>
      <c r="L2403">
        <v>2400</v>
      </c>
      <c r="M2403">
        <v>2400</v>
      </c>
      <c r="N2403">
        <v>0</v>
      </c>
    </row>
    <row r="2404" spans="1:14" x14ac:dyDescent="0.25">
      <c r="A2404">
        <v>1656.0876370000001</v>
      </c>
      <c r="B2404" s="1">
        <f>DATE(2014,11,12) + TIME(2,6,11)</f>
        <v>41955.087627314817</v>
      </c>
      <c r="C2404">
        <v>80</v>
      </c>
      <c r="D2404">
        <v>79.036064147999994</v>
      </c>
      <c r="E2404">
        <v>50</v>
      </c>
      <c r="F2404">
        <v>49.983028412000003</v>
      </c>
      <c r="G2404">
        <v>1327.2518310999999</v>
      </c>
      <c r="H2404">
        <v>1324.9179687999999</v>
      </c>
      <c r="I2404">
        <v>1344.4863281</v>
      </c>
      <c r="J2404">
        <v>1340.1108397999999</v>
      </c>
      <c r="K2404">
        <v>0</v>
      </c>
      <c r="L2404">
        <v>2400</v>
      </c>
      <c r="M2404">
        <v>2400</v>
      </c>
      <c r="N2404">
        <v>0</v>
      </c>
    </row>
    <row r="2405" spans="1:14" x14ac:dyDescent="0.25">
      <c r="A2405">
        <v>1656.5576289999999</v>
      </c>
      <c r="B2405" s="1">
        <f>DATE(2014,11,12) + TIME(13,22,59)</f>
        <v>41955.557627314818</v>
      </c>
      <c r="C2405">
        <v>80</v>
      </c>
      <c r="D2405">
        <v>79.004516601999995</v>
      </c>
      <c r="E2405">
        <v>50</v>
      </c>
      <c r="F2405">
        <v>49.982997894</v>
      </c>
      <c r="G2405">
        <v>1327.2340088000001</v>
      </c>
      <c r="H2405">
        <v>1324.8928223</v>
      </c>
      <c r="I2405">
        <v>1344.4787598</v>
      </c>
      <c r="J2405">
        <v>1340.1069336</v>
      </c>
      <c r="K2405">
        <v>0</v>
      </c>
      <c r="L2405">
        <v>2400</v>
      </c>
      <c r="M2405">
        <v>2400</v>
      </c>
      <c r="N2405">
        <v>0</v>
      </c>
    </row>
    <row r="2406" spans="1:14" x14ac:dyDescent="0.25">
      <c r="A2406">
        <v>1657.0480279999999</v>
      </c>
      <c r="B2406" s="1">
        <f>DATE(2014,11,13) + TIME(1,9,9)</f>
        <v>41956.048020833332</v>
      </c>
      <c r="C2406">
        <v>80</v>
      </c>
      <c r="D2406">
        <v>78.971870421999995</v>
      </c>
      <c r="E2406">
        <v>50</v>
      </c>
      <c r="F2406">
        <v>49.982971190999997</v>
      </c>
      <c r="G2406">
        <v>1327.2152100000001</v>
      </c>
      <c r="H2406">
        <v>1324.8663329999999</v>
      </c>
      <c r="I2406">
        <v>1344.4710693</v>
      </c>
      <c r="J2406">
        <v>1340.1029053</v>
      </c>
      <c r="K2406">
        <v>0</v>
      </c>
      <c r="L2406">
        <v>2400</v>
      </c>
      <c r="M2406">
        <v>2400</v>
      </c>
      <c r="N2406">
        <v>0</v>
      </c>
    </row>
    <row r="2407" spans="1:14" x14ac:dyDescent="0.25">
      <c r="A2407">
        <v>1657.559647</v>
      </c>
      <c r="B2407" s="1">
        <f>DATE(2014,11,13) + TIME(13,25,53)</f>
        <v>41956.559641203705</v>
      </c>
      <c r="C2407">
        <v>80</v>
      </c>
      <c r="D2407">
        <v>78.938102721999996</v>
      </c>
      <c r="E2407">
        <v>50</v>
      </c>
      <c r="F2407">
        <v>49.982944488999998</v>
      </c>
      <c r="G2407">
        <v>1327.1955565999999</v>
      </c>
      <c r="H2407">
        <v>1324.8387451000001</v>
      </c>
      <c r="I2407">
        <v>1344.4633789</v>
      </c>
      <c r="J2407">
        <v>1340.0988769999999</v>
      </c>
      <c r="K2407">
        <v>0</v>
      </c>
      <c r="L2407">
        <v>2400</v>
      </c>
      <c r="M2407">
        <v>2400</v>
      </c>
      <c r="N2407">
        <v>0</v>
      </c>
    </row>
    <row r="2408" spans="1:14" x14ac:dyDescent="0.25">
      <c r="A2408">
        <v>1658.082502</v>
      </c>
      <c r="B2408" s="1">
        <f>DATE(2014,11,14) + TIME(1,58,48)</f>
        <v>41957.082499999997</v>
      </c>
      <c r="C2408">
        <v>80</v>
      </c>
      <c r="D2408">
        <v>78.903633118000002</v>
      </c>
      <c r="E2408">
        <v>50</v>
      </c>
      <c r="F2408">
        <v>49.982925414999997</v>
      </c>
      <c r="G2408">
        <v>1327.1750488</v>
      </c>
      <c r="H2408">
        <v>1324.8098144999999</v>
      </c>
      <c r="I2408">
        <v>1344.4558105000001</v>
      </c>
      <c r="J2408">
        <v>1340.0948486</v>
      </c>
      <c r="K2408">
        <v>0</v>
      </c>
      <c r="L2408">
        <v>2400</v>
      </c>
      <c r="M2408">
        <v>2400</v>
      </c>
      <c r="N2408">
        <v>0</v>
      </c>
    </row>
    <row r="2409" spans="1:14" x14ac:dyDescent="0.25">
      <c r="A2409">
        <v>1658.6131700000001</v>
      </c>
      <c r="B2409" s="1">
        <f>DATE(2014,11,14) + TIME(14,42,57)</f>
        <v>41957.613159722219</v>
      </c>
      <c r="C2409">
        <v>80</v>
      </c>
      <c r="D2409">
        <v>78.868713378999999</v>
      </c>
      <c r="E2409">
        <v>50</v>
      </c>
      <c r="F2409">
        <v>49.982906342</v>
      </c>
      <c r="G2409">
        <v>1327.1540527</v>
      </c>
      <c r="H2409">
        <v>1324.7802733999999</v>
      </c>
      <c r="I2409">
        <v>1344.4482422000001</v>
      </c>
      <c r="J2409">
        <v>1340.0909423999999</v>
      </c>
      <c r="K2409">
        <v>0</v>
      </c>
      <c r="L2409">
        <v>2400</v>
      </c>
      <c r="M2409">
        <v>2400</v>
      </c>
      <c r="N2409">
        <v>0</v>
      </c>
    </row>
    <row r="2410" spans="1:14" x14ac:dyDescent="0.25">
      <c r="A2410">
        <v>1659.1528249999999</v>
      </c>
      <c r="B2410" s="1">
        <f>DATE(2014,11,15) + TIME(3,40,4)</f>
        <v>41958.152824074074</v>
      </c>
      <c r="C2410">
        <v>80</v>
      </c>
      <c r="D2410">
        <v>78.833404540999993</v>
      </c>
      <c r="E2410">
        <v>50</v>
      </c>
      <c r="F2410">
        <v>49.982887267999999</v>
      </c>
      <c r="G2410">
        <v>1327.1326904</v>
      </c>
      <c r="H2410">
        <v>1324.7501221</v>
      </c>
      <c r="I2410">
        <v>1344.440918</v>
      </c>
      <c r="J2410">
        <v>1340.0870361</v>
      </c>
      <c r="K2410">
        <v>0</v>
      </c>
      <c r="L2410">
        <v>2400</v>
      </c>
      <c r="M2410">
        <v>2400</v>
      </c>
      <c r="N2410">
        <v>0</v>
      </c>
    </row>
    <row r="2411" spans="1:14" x14ac:dyDescent="0.25">
      <c r="A2411">
        <v>1659.702597</v>
      </c>
      <c r="B2411" s="1">
        <f>DATE(2014,11,15) + TIME(16,51,44)</f>
        <v>41958.702592592592</v>
      </c>
      <c r="C2411">
        <v>80</v>
      </c>
      <c r="D2411">
        <v>78.797714232999994</v>
      </c>
      <c r="E2411">
        <v>50</v>
      </c>
      <c r="F2411">
        <v>49.982872008999998</v>
      </c>
      <c r="G2411">
        <v>1327.1108397999999</v>
      </c>
      <c r="H2411">
        <v>1324.7193603999999</v>
      </c>
      <c r="I2411">
        <v>1344.4337158000001</v>
      </c>
      <c r="J2411">
        <v>1340.0832519999999</v>
      </c>
      <c r="K2411">
        <v>0</v>
      </c>
      <c r="L2411">
        <v>2400</v>
      </c>
      <c r="M2411">
        <v>2400</v>
      </c>
      <c r="N2411">
        <v>0</v>
      </c>
    </row>
    <row r="2412" spans="1:14" x14ac:dyDescent="0.25">
      <c r="A2412">
        <v>1660.2636669999999</v>
      </c>
      <c r="B2412" s="1">
        <f>DATE(2014,11,16) + TIME(6,19,40)</f>
        <v>41959.263657407406</v>
      </c>
      <c r="C2412">
        <v>80</v>
      </c>
      <c r="D2412">
        <v>78.761634826999995</v>
      </c>
      <c r="E2412">
        <v>50</v>
      </c>
      <c r="F2412">
        <v>49.982860565000003</v>
      </c>
      <c r="G2412">
        <v>1327.088501</v>
      </c>
      <c r="H2412">
        <v>1324.6878661999999</v>
      </c>
      <c r="I2412">
        <v>1344.4266356999999</v>
      </c>
      <c r="J2412">
        <v>1340.0795897999999</v>
      </c>
      <c r="K2412">
        <v>0</v>
      </c>
      <c r="L2412">
        <v>2400</v>
      </c>
      <c r="M2412">
        <v>2400</v>
      </c>
      <c r="N2412">
        <v>0</v>
      </c>
    </row>
    <row r="2413" spans="1:14" x14ac:dyDescent="0.25">
      <c r="A2413">
        <v>1660.8372509999999</v>
      </c>
      <c r="B2413" s="1">
        <f>DATE(2014,11,16) + TIME(20,5,38)</f>
        <v>41959.837245370371</v>
      </c>
      <c r="C2413">
        <v>80</v>
      </c>
      <c r="D2413">
        <v>78.725120544000006</v>
      </c>
      <c r="E2413">
        <v>50</v>
      </c>
      <c r="F2413">
        <v>49.982845306000002</v>
      </c>
      <c r="G2413">
        <v>1327.0657959</v>
      </c>
      <c r="H2413">
        <v>1324.6558838000001</v>
      </c>
      <c r="I2413">
        <v>1344.4196777</v>
      </c>
      <c r="J2413">
        <v>1340.0760498</v>
      </c>
      <c r="K2413">
        <v>0</v>
      </c>
      <c r="L2413">
        <v>2400</v>
      </c>
      <c r="M2413">
        <v>2400</v>
      </c>
      <c r="N2413">
        <v>0</v>
      </c>
    </row>
    <row r="2414" spans="1:14" x14ac:dyDescent="0.25">
      <c r="A2414">
        <v>1661.424604</v>
      </c>
      <c r="B2414" s="1">
        <f>DATE(2014,11,17) + TIME(10,11,25)</f>
        <v>41960.42459490741</v>
      </c>
      <c r="C2414">
        <v>80</v>
      </c>
      <c r="D2414">
        <v>78.688148498999993</v>
      </c>
      <c r="E2414">
        <v>50</v>
      </c>
      <c r="F2414">
        <v>49.982833862</v>
      </c>
      <c r="G2414">
        <v>1327.0426024999999</v>
      </c>
      <c r="H2414">
        <v>1324.6230469</v>
      </c>
      <c r="I2414">
        <v>1344.4128418</v>
      </c>
      <c r="J2414">
        <v>1340.0723877</v>
      </c>
      <c r="K2414">
        <v>0</v>
      </c>
      <c r="L2414">
        <v>2400</v>
      </c>
      <c r="M2414">
        <v>2400</v>
      </c>
      <c r="N2414">
        <v>0</v>
      </c>
    </row>
    <row r="2415" spans="1:14" x14ac:dyDescent="0.25">
      <c r="A2415">
        <v>1662.027067</v>
      </c>
      <c r="B2415" s="1">
        <f>DATE(2014,11,18) + TIME(0,38,58)</f>
        <v>41961.027060185188</v>
      </c>
      <c r="C2415">
        <v>80</v>
      </c>
      <c r="D2415">
        <v>78.650650024000001</v>
      </c>
      <c r="E2415">
        <v>50</v>
      </c>
      <c r="F2415">
        <v>49.982826232999997</v>
      </c>
      <c r="G2415">
        <v>1327.0187988</v>
      </c>
      <c r="H2415">
        <v>1324.5894774999999</v>
      </c>
      <c r="I2415">
        <v>1344.4061279</v>
      </c>
      <c r="J2415">
        <v>1340.0689697</v>
      </c>
      <c r="K2415">
        <v>0</v>
      </c>
      <c r="L2415">
        <v>2400</v>
      </c>
      <c r="M2415">
        <v>2400</v>
      </c>
      <c r="N2415">
        <v>0</v>
      </c>
    </row>
    <row r="2416" spans="1:14" x14ac:dyDescent="0.25">
      <c r="A2416">
        <v>1662.6460500000001</v>
      </c>
      <c r="B2416" s="1">
        <f>DATE(2014,11,18) + TIME(15,30,18)</f>
        <v>41961.646041666667</v>
      </c>
      <c r="C2416">
        <v>80</v>
      </c>
      <c r="D2416">
        <v>78.612564086999996</v>
      </c>
      <c r="E2416">
        <v>50</v>
      </c>
      <c r="F2416">
        <v>49.982814789000003</v>
      </c>
      <c r="G2416">
        <v>1326.9943848</v>
      </c>
      <c r="H2416">
        <v>1324.5551757999999</v>
      </c>
      <c r="I2416">
        <v>1344.3994141000001</v>
      </c>
      <c r="J2416">
        <v>1340.0654297000001</v>
      </c>
      <c r="K2416">
        <v>0</v>
      </c>
      <c r="L2416">
        <v>2400</v>
      </c>
      <c r="M2416">
        <v>2400</v>
      </c>
      <c r="N2416">
        <v>0</v>
      </c>
    </row>
    <row r="2417" spans="1:14" x14ac:dyDescent="0.25">
      <c r="A2417">
        <v>1663.2830220000001</v>
      </c>
      <c r="B2417" s="1">
        <f>DATE(2014,11,19) + TIME(6,47,33)</f>
        <v>41962.283020833333</v>
      </c>
      <c r="C2417">
        <v>80</v>
      </c>
      <c r="D2417">
        <v>78.573837280000006</v>
      </c>
      <c r="E2417">
        <v>50</v>
      </c>
      <c r="F2417">
        <v>49.982803345000001</v>
      </c>
      <c r="G2417">
        <v>1326.9693603999999</v>
      </c>
      <c r="H2417">
        <v>1324.5198975000001</v>
      </c>
      <c r="I2417">
        <v>1344.3928223</v>
      </c>
      <c r="J2417">
        <v>1340.0620117000001</v>
      </c>
      <c r="K2417">
        <v>0</v>
      </c>
      <c r="L2417">
        <v>2400</v>
      </c>
      <c r="M2417">
        <v>2400</v>
      </c>
      <c r="N2417">
        <v>0</v>
      </c>
    </row>
    <row r="2418" spans="1:14" x14ac:dyDescent="0.25">
      <c r="A2418">
        <v>1663.9393379999999</v>
      </c>
      <c r="B2418" s="1">
        <f>DATE(2014,11,19) + TIME(22,32,38)</f>
        <v>41962.939328703702</v>
      </c>
      <c r="C2418">
        <v>80</v>
      </c>
      <c r="D2418">
        <v>78.534408568999993</v>
      </c>
      <c r="E2418">
        <v>50</v>
      </c>
      <c r="F2418">
        <v>49.982795715000002</v>
      </c>
      <c r="G2418">
        <v>1326.9436035000001</v>
      </c>
      <c r="H2418">
        <v>1324.4836425999999</v>
      </c>
      <c r="I2418">
        <v>1344.3862305</v>
      </c>
      <c r="J2418">
        <v>1340.0585937999999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1664.6169609999999</v>
      </c>
      <c r="B2419" s="1">
        <f>DATE(2014,11,20) + TIME(14,48,25)</f>
        <v>41963.616956018515</v>
      </c>
      <c r="C2419">
        <v>80</v>
      </c>
      <c r="D2419">
        <v>78.494201660000002</v>
      </c>
      <c r="E2419">
        <v>50</v>
      </c>
      <c r="F2419">
        <v>49.982784271</v>
      </c>
      <c r="G2419">
        <v>1326.9171143000001</v>
      </c>
      <c r="H2419">
        <v>1324.4462891000001</v>
      </c>
      <c r="I2419">
        <v>1344.3797606999999</v>
      </c>
      <c r="J2419">
        <v>1340.0552978999999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1665.3177840000001</v>
      </c>
      <c r="B2420" s="1">
        <f>DATE(2014,11,21) + TIME(7,37,36)</f>
        <v>41964.317777777775</v>
      </c>
      <c r="C2420">
        <v>80</v>
      </c>
      <c r="D2420">
        <v>78.453132628999995</v>
      </c>
      <c r="E2420">
        <v>50</v>
      </c>
      <c r="F2420">
        <v>49.982776641999997</v>
      </c>
      <c r="G2420">
        <v>1326.8898925999999</v>
      </c>
      <c r="H2420">
        <v>1324.4078368999999</v>
      </c>
      <c r="I2420">
        <v>1344.3731689000001</v>
      </c>
      <c r="J2420">
        <v>1340.0518798999999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1666.0438810000001</v>
      </c>
      <c r="B2421" s="1">
        <f>DATE(2014,11,22) + TIME(1,3,11)</f>
        <v>41965.043877314813</v>
      </c>
      <c r="C2421">
        <v>80</v>
      </c>
      <c r="D2421">
        <v>78.411125182999996</v>
      </c>
      <c r="E2421">
        <v>50</v>
      </c>
      <c r="F2421">
        <v>49.982765198000003</v>
      </c>
      <c r="G2421">
        <v>1326.8616943</v>
      </c>
      <c r="H2421">
        <v>1324.3681641000001</v>
      </c>
      <c r="I2421">
        <v>1344.3666992000001</v>
      </c>
      <c r="J2421">
        <v>1340.0485839999999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1666.7975280000001</v>
      </c>
      <c r="B2422" s="1">
        <f>DATE(2014,11,22) + TIME(19,8,26)</f>
        <v>41965.797523148147</v>
      </c>
      <c r="C2422">
        <v>80</v>
      </c>
      <c r="D2422">
        <v>78.368087768999999</v>
      </c>
      <c r="E2422">
        <v>50</v>
      </c>
      <c r="F2422">
        <v>49.982757567999997</v>
      </c>
      <c r="G2422">
        <v>1326.8325195</v>
      </c>
      <c r="H2422">
        <v>1324.3272704999999</v>
      </c>
      <c r="I2422">
        <v>1344.3602295000001</v>
      </c>
      <c r="J2422">
        <v>1340.0452881000001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1667.5812350000001</v>
      </c>
      <c r="B2423" s="1">
        <f>DATE(2014,11,23) + TIME(13,56,58)</f>
        <v>41966.581226851849</v>
      </c>
      <c r="C2423">
        <v>80</v>
      </c>
      <c r="D2423">
        <v>78.323928832999997</v>
      </c>
      <c r="E2423">
        <v>50</v>
      </c>
      <c r="F2423">
        <v>49.982749939000001</v>
      </c>
      <c r="G2423">
        <v>1326.8023682</v>
      </c>
      <c r="H2423">
        <v>1324.2847899999999</v>
      </c>
      <c r="I2423">
        <v>1344.3537598</v>
      </c>
      <c r="J2423">
        <v>1340.0418701000001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1668.3977600000001</v>
      </c>
      <c r="B2424" s="1">
        <f>DATE(2014,11,24) + TIME(9,32,46)</f>
        <v>41967.39775462963</v>
      </c>
      <c r="C2424">
        <v>80</v>
      </c>
      <c r="D2424">
        <v>78.278541564999998</v>
      </c>
      <c r="E2424">
        <v>50</v>
      </c>
      <c r="F2424">
        <v>49.982742309999999</v>
      </c>
      <c r="G2424">
        <v>1326.7711182</v>
      </c>
      <c r="H2424">
        <v>1324.2408447</v>
      </c>
      <c r="I2424">
        <v>1344.347168</v>
      </c>
      <c r="J2424">
        <v>1340.0385742000001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1669.2502019999999</v>
      </c>
      <c r="B2425" s="1">
        <f>DATE(2014,11,25) + TIME(6,0,17)</f>
        <v>41968.250196759262</v>
      </c>
      <c r="C2425">
        <v>80</v>
      </c>
      <c r="D2425">
        <v>78.231811523000005</v>
      </c>
      <c r="E2425">
        <v>50</v>
      </c>
      <c r="F2425">
        <v>49.98273468</v>
      </c>
      <c r="G2425">
        <v>1326.7387695</v>
      </c>
      <c r="H2425">
        <v>1324.1951904</v>
      </c>
      <c r="I2425">
        <v>1344.3405762</v>
      </c>
      <c r="J2425">
        <v>1340.0352783000001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1670.140562</v>
      </c>
      <c r="B2426" s="1">
        <f>DATE(2014,11,26) + TIME(3,22,24)</f>
        <v>41969.140555555554</v>
      </c>
      <c r="C2426">
        <v>80</v>
      </c>
      <c r="D2426">
        <v>78.183654785000002</v>
      </c>
      <c r="E2426">
        <v>50</v>
      </c>
      <c r="F2426">
        <v>49.982723235999998</v>
      </c>
      <c r="G2426">
        <v>1326.7049560999999</v>
      </c>
      <c r="H2426">
        <v>1324.1477050999999</v>
      </c>
      <c r="I2426">
        <v>1344.3339844</v>
      </c>
      <c r="J2426">
        <v>1340.0318603999999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1671.056591</v>
      </c>
      <c r="B2427" s="1">
        <f>DATE(2014,11,27) + TIME(1,21,29)</f>
        <v>41970.056585648148</v>
      </c>
      <c r="C2427">
        <v>80</v>
      </c>
      <c r="D2427">
        <v>78.134346007999994</v>
      </c>
      <c r="E2427">
        <v>50</v>
      </c>
      <c r="F2427">
        <v>49.982715607000003</v>
      </c>
      <c r="G2427">
        <v>1326.6699219</v>
      </c>
      <c r="H2427">
        <v>1324.0985106999999</v>
      </c>
      <c r="I2427">
        <v>1344.3272704999999</v>
      </c>
      <c r="J2427">
        <v>1340.0285644999999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1671.9876159999999</v>
      </c>
      <c r="B2428" s="1">
        <f>DATE(2014,11,27) + TIME(23,42,10)</f>
        <v>41970.987615740742</v>
      </c>
      <c r="C2428">
        <v>80</v>
      </c>
      <c r="D2428">
        <v>78.084358214999995</v>
      </c>
      <c r="E2428">
        <v>50</v>
      </c>
      <c r="F2428">
        <v>49.982707976999997</v>
      </c>
      <c r="G2428">
        <v>1326.6339111</v>
      </c>
      <c r="H2428">
        <v>1324.0478516000001</v>
      </c>
      <c r="I2428">
        <v>1344.3206786999999</v>
      </c>
      <c r="J2428">
        <v>1340.0252685999999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1672.9359360000001</v>
      </c>
      <c r="B2429" s="1">
        <f>DATE(2014,11,28) + TIME(22,27,44)</f>
        <v>41971.935925925929</v>
      </c>
      <c r="C2429">
        <v>80</v>
      </c>
      <c r="D2429">
        <v>78.033897400000001</v>
      </c>
      <c r="E2429">
        <v>50</v>
      </c>
      <c r="F2429">
        <v>49.982700348000002</v>
      </c>
      <c r="G2429">
        <v>1326.597168</v>
      </c>
      <c r="H2429">
        <v>1323.9964600000001</v>
      </c>
      <c r="I2429">
        <v>1344.3142089999999</v>
      </c>
      <c r="J2429">
        <v>1340.0219727000001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1673.9037410000001</v>
      </c>
      <c r="B2430" s="1">
        <f>DATE(2014,11,29) + TIME(21,41,23)</f>
        <v>41972.903738425928</v>
      </c>
      <c r="C2430">
        <v>80</v>
      </c>
      <c r="D2430">
        <v>77.983009338000002</v>
      </c>
      <c r="E2430">
        <v>50</v>
      </c>
      <c r="F2430">
        <v>49.982692718999999</v>
      </c>
      <c r="G2430">
        <v>1326.5599365</v>
      </c>
      <c r="H2430">
        <v>1323.9440918</v>
      </c>
      <c r="I2430">
        <v>1344.3078613</v>
      </c>
      <c r="J2430">
        <v>1340.0187988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1674.8933380000001</v>
      </c>
      <c r="B2431" s="1">
        <f>DATE(2014,11,30) + TIME(21,26,24)</f>
        <v>41973.893333333333</v>
      </c>
      <c r="C2431">
        <v>80</v>
      </c>
      <c r="D2431">
        <v>77.931671143000003</v>
      </c>
      <c r="E2431">
        <v>50</v>
      </c>
      <c r="F2431">
        <v>49.982685089</v>
      </c>
      <c r="G2431">
        <v>1326.5220947</v>
      </c>
      <c r="H2431">
        <v>1323.8909911999999</v>
      </c>
      <c r="I2431">
        <v>1344.3015137</v>
      </c>
      <c r="J2431">
        <v>1340.0157471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1675</v>
      </c>
      <c r="B2432" s="1">
        <f>DATE(2014,12,1) + TIME(0,0,0)</f>
        <v>41974</v>
      </c>
      <c r="C2432">
        <v>80</v>
      </c>
      <c r="D2432">
        <v>77.920463561999995</v>
      </c>
      <c r="E2432">
        <v>50</v>
      </c>
      <c r="F2432">
        <v>49.982681274000001</v>
      </c>
      <c r="G2432">
        <v>1326.4908447</v>
      </c>
      <c r="H2432">
        <v>1323.8475341999999</v>
      </c>
      <c r="I2432">
        <v>1344.2955322</v>
      </c>
      <c r="J2432">
        <v>1340.0126952999999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1676.0138770000001</v>
      </c>
      <c r="B2433" s="1">
        <f>DATE(2014,12,2) + TIME(0,19,58)</f>
        <v>41975.013865740744</v>
      </c>
      <c r="C2433">
        <v>80</v>
      </c>
      <c r="D2433">
        <v>77.871849060000002</v>
      </c>
      <c r="E2433">
        <v>50</v>
      </c>
      <c r="F2433">
        <v>49.982677459999998</v>
      </c>
      <c r="G2433">
        <v>1326.4777832</v>
      </c>
      <c r="H2433">
        <v>1323.8284911999999</v>
      </c>
      <c r="I2433">
        <v>1344.2946777</v>
      </c>
      <c r="J2433">
        <v>1340.0123291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1677.0574650000001</v>
      </c>
      <c r="B2434" s="1">
        <f>DATE(2014,12,3) + TIME(1,22,45)</f>
        <v>41976.05746527778</v>
      </c>
      <c r="C2434">
        <v>80</v>
      </c>
      <c r="D2434">
        <v>77.820755004999995</v>
      </c>
      <c r="E2434">
        <v>50</v>
      </c>
      <c r="F2434">
        <v>49.982669829999999</v>
      </c>
      <c r="G2434">
        <v>1326.4394531</v>
      </c>
      <c r="H2434">
        <v>1323.7747803</v>
      </c>
      <c r="I2434">
        <v>1344.2885742000001</v>
      </c>
      <c r="J2434">
        <v>1340.0093993999999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1678.1310619999999</v>
      </c>
      <c r="B2435" s="1">
        <f>DATE(2014,12,4) + TIME(3,8,43)</f>
        <v>41977.131053240744</v>
      </c>
      <c r="C2435">
        <v>80</v>
      </c>
      <c r="D2435">
        <v>77.768066406000003</v>
      </c>
      <c r="E2435">
        <v>50</v>
      </c>
      <c r="F2435">
        <v>49.982666016000003</v>
      </c>
      <c r="G2435">
        <v>1326.3996582</v>
      </c>
      <c r="H2435">
        <v>1323.7189940999999</v>
      </c>
      <c r="I2435">
        <v>1344.2824707</v>
      </c>
      <c r="J2435">
        <v>1340.0063477000001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1679.2370940000001</v>
      </c>
      <c r="B2436" s="1">
        <f>DATE(2014,12,5) + TIME(5,41,24)</f>
        <v>41978.237083333333</v>
      </c>
      <c r="C2436">
        <v>80</v>
      </c>
      <c r="D2436">
        <v>77.714157103999995</v>
      </c>
      <c r="E2436">
        <v>50</v>
      </c>
      <c r="F2436">
        <v>49.982658385999997</v>
      </c>
      <c r="G2436">
        <v>1326.3586425999999</v>
      </c>
      <c r="H2436">
        <v>1323.661499</v>
      </c>
      <c r="I2436">
        <v>1344.2764893000001</v>
      </c>
      <c r="J2436">
        <v>1340.003418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1680.3790220000001</v>
      </c>
      <c r="B2437" s="1">
        <f>DATE(2014,12,6) + TIME(9,5,47)</f>
        <v>41979.379016203704</v>
      </c>
      <c r="C2437">
        <v>80</v>
      </c>
      <c r="D2437">
        <v>77.659126282000003</v>
      </c>
      <c r="E2437">
        <v>50</v>
      </c>
      <c r="F2437">
        <v>49.982650757000002</v>
      </c>
      <c r="G2437">
        <v>1326.3165283000001</v>
      </c>
      <c r="H2437">
        <v>1323.6025391000001</v>
      </c>
      <c r="I2437">
        <v>1344.2703856999999</v>
      </c>
      <c r="J2437">
        <v>1340.0004882999999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1681.5603619999999</v>
      </c>
      <c r="B2438" s="1">
        <f>DATE(2014,12,7) + TIME(13,26,55)</f>
        <v>41980.560358796298</v>
      </c>
      <c r="C2438">
        <v>80</v>
      </c>
      <c r="D2438">
        <v>77.602928161999998</v>
      </c>
      <c r="E2438">
        <v>50</v>
      </c>
      <c r="F2438">
        <v>49.982646942000002</v>
      </c>
      <c r="G2438">
        <v>1326.2733154</v>
      </c>
      <c r="H2438">
        <v>1323.5419922000001</v>
      </c>
      <c r="I2438">
        <v>1344.2644043</v>
      </c>
      <c r="J2438">
        <v>1339.9976807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1682.784969</v>
      </c>
      <c r="B2439" s="1">
        <f>DATE(2014,12,8) + TIME(18,50,21)</f>
        <v>41981.78496527778</v>
      </c>
      <c r="C2439">
        <v>80</v>
      </c>
      <c r="D2439">
        <v>77.545455933</v>
      </c>
      <c r="E2439">
        <v>50</v>
      </c>
      <c r="F2439">
        <v>49.982639313</v>
      </c>
      <c r="G2439">
        <v>1326.2287598</v>
      </c>
      <c r="H2439">
        <v>1323.4797363</v>
      </c>
      <c r="I2439">
        <v>1344.2583007999999</v>
      </c>
      <c r="J2439">
        <v>1339.994751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1684.0570929999999</v>
      </c>
      <c r="B2440" s="1">
        <f>DATE(2014,12,10) + TIME(1,22,12)</f>
        <v>41983.057083333333</v>
      </c>
      <c r="C2440">
        <v>80</v>
      </c>
      <c r="D2440">
        <v>77.486564635999997</v>
      </c>
      <c r="E2440">
        <v>50</v>
      </c>
      <c r="F2440">
        <v>49.982631683000001</v>
      </c>
      <c r="G2440">
        <v>1326.1829834</v>
      </c>
      <c r="H2440">
        <v>1323.4156493999999</v>
      </c>
      <c r="I2440">
        <v>1344.2523193</v>
      </c>
      <c r="J2440">
        <v>1339.9919434000001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1685.3814440000001</v>
      </c>
      <c r="B2441" s="1">
        <f>DATE(2014,12,11) + TIME(9,9,16)</f>
        <v>41984.381435185183</v>
      </c>
      <c r="C2441">
        <v>80</v>
      </c>
      <c r="D2441">
        <v>77.426094054999993</v>
      </c>
      <c r="E2441">
        <v>50</v>
      </c>
      <c r="F2441">
        <v>49.982627868999998</v>
      </c>
      <c r="G2441">
        <v>1326.1356201000001</v>
      </c>
      <c r="H2441">
        <v>1323.3496094</v>
      </c>
      <c r="I2441">
        <v>1344.2462158000001</v>
      </c>
      <c r="J2441">
        <v>1339.9890137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1686.763269</v>
      </c>
      <c r="B2442" s="1">
        <f>DATE(2014,12,12) + TIME(18,19,6)</f>
        <v>41985.76326388889</v>
      </c>
      <c r="C2442">
        <v>80</v>
      </c>
      <c r="D2442">
        <v>77.363853454999997</v>
      </c>
      <c r="E2442">
        <v>50</v>
      </c>
      <c r="F2442">
        <v>49.982620238999999</v>
      </c>
      <c r="G2442">
        <v>1326.0867920000001</v>
      </c>
      <c r="H2442">
        <v>1323.2813721</v>
      </c>
      <c r="I2442">
        <v>1344.2401123</v>
      </c>
      <c r="J2442">
        <v>1339.9862060999999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1688.2084620000001</v>
      </c>
      <c r="B2443" s="1">
        <f>DATE(2014,12,14) + TIME(5,0,11)</f>
        <v>41987.208460648151</v>
      </c>
      <c r="C2443">
        <v>80</v>
      </c>
      <c r="D2443">
        <v>77.299629210999996</v>
      </c>
      <c r="E2443">
        <v>50</v>
      </c>
      <c r="F2443">
        <v>49.982616425000003</v>
      </c>
      <c r="G2443">
        <v>1326.0361327999999</v>
      </c>
      <c r="H2443">
        <v>1323.2106934000001</v>
      </c>
      <c r="I2443">
        <v>1344.2338867000001</v>
      </c>
      <c r="J2443">
        <v>1339.9832764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1689.682857</v>
      </c>
      <c r="B2444" s="1">
        <f>DATE(2014,12,15) + TIME(16,23,18)</f>
        <v>41988.682847222219</v>
      </c>
      <c r="C2444">
        <v>80</v>
      </c>
      <c r="D2444">
        <v>77.233779906999999</v>
      </c>
      <c r="E2444">
        <v>50</v>
      </c>
      <c r="F2444">
        <v>49.982608794999997</v>
      </c>
      <c r="G2444">
        <v>1325.9837646000001</v>
      </c>
      <c r="H2444">
        <v>1323.1375731999999</v>
      </c>
      <c r="I2444">
        <v>1344.2276611</v>
      </c>
      <c r="J2444">
        <v>1339.9803466999999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1691.187555</v>
      </c>
      <c r="B2445" s="1">
        <f>DATE(2014,12,17) + TIME(4,30,4)</f>
        <v>41990.1875462963</v>
      </c>
      <c r="C2445">
        <v>80</v>
      </c>
      <c r="D2445">
        <v>77.166923522999994</v>
      </c>
      <c r="E2445">
        <v>50</v>
      </c>
      <c r="F2445">
        <v>49.982604979999998</v>
      </c>
      <c r="G2445">
        <v>1325.9302978999999</v>
      </c>
      <c r="H2445">
        <v>1323.0631103999999</v>
      </c>
      <c r="I2445">
        <v>1344.2214355000001</v>
      </c>
      <c r="J2445">
        <v>1339.9775391000001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1692.7264479999999</v>
      </c>
      <c r="B2446" s="1">
        <f>DATE(2014,12,18) + TIME(17,26,5)</f>
        <v>41991.726446759261</v>
      </c>
      <c r="C2446">
        <v>80</v>
      </c>
      <c r="D2446">
        <v>77.099182128999999</v>
      </c>
      <c r="E2446">
        <v>50</v>
      </c>
      <c r="F2446">
        <v>49.982601166000002</v>
      </c>
      <c r="G2446">
        <v>1325.8760986</v>
      </c>
      <c r="H2446">
        <v>1322.9875488</v>
      </c>
      <c r="I2446">
        <v>1344.215332</v>
      </c>
      <c r="J2446">
        <v>1339.9747314000001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1694.3037340000001</v>
      </c>
      <c r="B2447" s="1">
        <f>DATE(2014,12,20) + TIME(7,17,22)</f>
        <v>41993.303726851853</v>
      </c>
      <c r="C2447">
        <v>80</v>
      </c>
      <c r="D2447">
        <v>77.030464171999995</v>
      </c>
      <c r="E2447">
        <v>50</v>
      </c>
      <c r="F2447">
        <v>49.982593536000003</v>
      </c>
      <c r="G2447">
        <v>1325.8211670000001</v>
      </c>
      <c r="H2447">
        <v>1322.9107666</v>
      </c>
      <c r="I2447">
        <v>1344.2092285000001</v>
      </c>
      <c r="J2447">
        <v>1339.9719238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1695.9239640000001</v>
      </c>
      <c r="B2448" s="1">
        <f>DATE(2014,12,21) + TIME(22,10,30)</f>
        <v>41994.923958333333</v>
      </c>
      <c r="C2448">
        <v>80</v>
      </c>
      <c r="D2448">
        <v>76.960586547999995</v>
      </c>
      <c r="E2448">
        <v>50</v>
      </c>
      <c r="F2448">
        <v>49.982589722</v>
      </c>
      <c r="G2448">
        <v>1325.7652588000001</v>
      </c>
      <c r="H2448">
        <v>1322.8330077999999</v>
      </c>
      <c r="I2448">
        <v>1344.2032471</v>
      </c>
      <c r="J2448">
        <v>1339.9692382999999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1697.5920920000001</v>
      </c>
      <c r="B2449" s="1">
        <f>DATE(2014,12,23) + TIME(14,12,36)</f>
        <v>41996.592083333337</v>
      </c>
      <c r="C2449">
        <v>80</v>
      </c>
      <c r="D2449">
        <v>76.889305114999999</v>
      </c>
      <c r="E2449">
        <v>50</v>
      </c>
      <c r="F2449">
        <v>49.982585907000001</v>
      </c>
      <c r="G2449">
        <v>1325.708374</v>
      </c>
      <c r="H2449">
        <v>1322.7537841999999</v>
      </c>
      <c r="I2449">
        <v>1344.1972656</v>
      </c>
      <c r="J2449">
        <v>1339.9665527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1699.3132519999999</v>
      </c>
      <c r="B2450" s="1">
        <f>DATE(2014,12,25) + TIME(7,31,4)</f>
        <v>41998.313240740739</v>
      </c>
      <c r="C2450">
        <v>80</v>
      </c>
      <c r="D2450">
        <v>76.816390991000006</v>
      </c>
      <c r="E2450">
        <v>50</v>
      </c>
      <c r="F2450">
        <v>49.982582092000001</v>
      </c>
      <c r="G2450">
        <v>1325.6503906</v>
      </c>
      <c r="H2450">
        <v>1322.6730957</v>
      </c>
      <c r="I2450">
        <v>1344.1912841999999</v>
      </c>
      <c r="J2450">
        <v>1339.9638672000001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1701.092549</v>
      </c>
      <c r="B2451" s="1">
        <f>DATE(2014,12,27) + TIME(2,13,16)</f>
        <v>42000.092546296299</v>
      </c>
      <c r="C2451">
        <v>80</v>
      </c>
      <c r="D2451">
        <v>76.74156189</v>
      </c>
      <c r="E2451">
        <v>50</v>
      </c>
      <c r="F2451">
        <v>49.982578277999998</v>
      </c>
      <c r="G2451">
        <v>1325.5910644999999</v>
      </c>
      <c r="H2451">
        <v>1322.5906981999999</v>
      </c>
      <c r="I2451">
        <v>1344.1853027</v>
      </c>
      <c r="J2451">
        <v>1339.9611815999999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1702.9362759999999</v>
      </c>
      <c r="B2452" s="1">
        <f>DATE(2014,12,28) + TIME(22,28,14)</f>
        <v>42001.936273148145</v>
      </c>
      <c r="C2452">
        <v>80</v>
      </c>
      <c r="D2452">
        <v>76.664527892999999</v>
      </c>
      <c r="E2452">
        <v>50</v>
      </c>
      <c r="F2452">
        <v>49.982574462999999</v>
      </c>
      <c r="G2452">
        <v>1325.5303954999999</v>
      </c>
      <c r="H2452">
        <v>1322.5063477000001</v>
      </c>
      <c r="I2452">
        <v>1344.1793213000001</v>
      </c>
      <c r="J2452">
        <v>1339.9584961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1704.8514479999999</v>
      </c>
      <c r="B2453" s="1">
        <f>DATE(2014,12,30) + TIME(20,26,5)</f>
        <v>42003.851446759261</v>
      </c>
      <c r="C2453">
        <v>80</v>
      </c>
      <c r="D2453">
        <v>76.584968567000004</v>
      </c>
      <c r="E2453">
        <v>50</v>
      </c>
      <c r="F2453">
        <v>49.982570647999999</v>
      </c>
      <c r="G2453">
        <v>1325.4682617000001</v>
      </c>
      <c r="H2453">
        <v>1322.4200439000001</v>
      </c>
      <c r="I2453">
        <v>1344.1732178</v>
      </c>
      <c r="J2453">
        <v>1339.9558105000001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1706</v>
      </c>
      <c r="B2454" s="1">
        <f>DATE(2015,1,1) + TIME(0,0,0)</f>
        <v>42005</v>
      </c>
      <c r="C2454">
        <v>80</v>
      </c>
      <c r="D2454">
        <v>76.515403747999997</v>
      </c>
      <c r="E2454">
        <v>50</v>
      </c>
      <c r="F2454">
        <v>49.982563018999997</v>
      </c>
      <c r="G2454">
        <v>1325.4064940999999</v>
      </c>
      <c r="H2454">
        <v>1322.3353271000001</v>
      </c>
      <c r="I2454">
        <v>1344.1669922000001</v>
      </c>
      <c r="J2454">
        <v>1339.9530029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1707.9937749999999</v>
      </c>
      <c r="B2455" s="1">
        <f>DATE(2015,1,2) + TIME(23,51,2)</f>
        <v>42006.993773148148</v>
      </c>
      <c r="C2455">
        <v>80</v>
      </c>
      <c r="D2455">
        <v>76.447967528999996</v>
      </c>
      <c r="E2455">
        <v>50</v>
      </c>
      <c r="F2455">
        <v>49.982566833</v>
      </c>
      <c r="G2455">
        <v>1325.3607178</v>
      </c>
      <c r="H2455">
        <v>1322.2691649999999</v>
      </c>
      <c r="I2455">
        <v>1344.1635742000001</v>
      </c>
      <c r="J2455">
        <v>1339.9515381000001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1710.106841</v>
      </c>
      <c r="B2456" s="1">
        <f>DATE(2015,1,5) + TIME(2,33,51)</f>
        <v>42009.106840277775</v>
      </c>
      <c r="C2456">
        <v>80</v>
      </c>
      <c r="D2456">
        <v>76.365722656000003</v>
      </c>
      <c r="E2456">
        <v>50</v>
      </c>
      <c r="F2456">
        <v>49.982563018999997</v>
      </c>
      <c r="G2456">
        <v>1325.2991943</v>
      </c>
      <c r="H2456">
        <v>1322.1850586</v>
      </c>
      <c r="I2456">
        <v>1344.1574707</v>
      </c>
      <c r="J2456">
        <v>1339.9489745999999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1712.3176410000001</v>
      </c>
      <c r="B2457" s="1">
        <f>DATE(2015,1,7) + TIME(7,37,24)</f>
        <v>42011.31763888889</v>
      </c>
      <c r="C2457">
        <v>80</v>
      </c>
      <c r="D2457">
        <v>76.275848389000004</v>
      </c>
      <c r="E2457">
        <v>50</v>
      </c>
      <c r="F2457">
        <v>49.982559203999998</v>
      </c>
      <c r="G2457">
        <v>1325.2321777</v>
      </c>
      <c r="H2457">
        <v>1322.0925293</v>
      </c>
      <c r="I2457">
        <v>1344.1512451000001</v>
      </c>
      <c r="J2457">
        <v>1339.9461670000001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1714.5898729999999</v>
      </c>
      <c r="B2458" s="1">
        <f>DATE(2015,1,9) + TIME(14,9,25)</f>
        <v>42013.589872685188</v>
      </c>
      <c r="C2458">
        <v>80</v>
      </c>
      <c r="D2458">
        <v>76.181022643999995</v>
      </c>
      <c r="E2458">
        <v>50</v>
      </c>
      <c r="F2458">
        <v>49.982559203999998</v>
      </c>
      <c r="G2458">
        <v>1325.1618652</v>
      </c>
      <c r="H2458">
        <v>1321.9954834</v>
      </c>
      <c r="I2458">
        <v>1344.1447754000001</v>
      </c>
      <c r="J2458">
        <v>1339.9433594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1716.918418</v>
      </c>
      <c r="B2459" s="1">
        <f>DATE(2015,1,11) + TIME(22,2,31)</f>
        <v>42015.918414351851</v>
      </c>
      <c r="C2459">
        <v>80</v>
      </c>
      <c r="D2459">
        <v>76.082687378000003</v>
      </c>
      <c r="E2459">
        <v>50</v>
      </c>
      <c r="F2459">
        <v>49.982555388999998</v>
      </c>
      <c r="G2459">
        <v>1325.0900879000001</v>
      </c>
      <c r="H2459">
        <v>1321.8961182</v>
      </c>
      <c r="I2459">
        <v>1344.1384277</v>
      </c>
      <c r="J2459">
        <v>1339.9406738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1719.3173240000001</v>
      </c>
      <c r="B2460" s="1">
        <f>DATE(2015,1,14) + TIME(7,36,56)</f>
        <v>42018.317314814813</v>
      </c>
      <c r="C2460">
        <v>80</v>
      </c>
      <c r="D2460">
        <v>75.981063843000001</v>
      </c>
      <c r="E2460">
        <v>50</v>
      </c>
      <c r="F2460">
        <v>49.982555388999998</v>
      </c>
      <c r="G2460">
        <v>1325.0170897999999</v>
      </c>
      <c r="H2460">
        <v>1321.7952881000001</v>
      </c>
      <c r="I2460">
        <v>1344.1320800999999</v>
      </c>
      <c r="J2460">
        <v>1339.9378661999999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1721.728777</v>
      </c>
      <c r="B2461" s="1">
        <f>DATE(2015,1,16) + TIME(17,29,26)</f>
        <v>42020.728773148148</v>
      </c>
      <c r="C2461">
        <v>80</v>
      </c>
      <c r="D2461">
        <v>75.876213074000006</v>
      </c>
      <c r="E2461">
        <v>50</v>
      </c>
      <c r="F2461">
        <v>49.982551575000002</v>
      </c>
      <c r="G2461">
        <v>1324.9431152</v>
      </c>
      <c r="H2461">
        <v>1321.6929932</v>
      </c>
      <c r="I2461">
        <v>1344.1257324000001</v>
      </c>
      <c r="J2461">
        <v>1339.9350586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1724.1697280000001</v>
      </c>
      <c r="B2462" s="1">
        <f>DATE(2015,1,19) + TIME(4,4,24)</f>
        <v>42023.169722222221</v>
      </c>
      <c r="C2462">
        <v>80</v>
      </c>
      <c r="D2462">
        <v>75.769340514999996</v>
      </c>
      <c r="E2462">
        <v>50</v>
      </c>
      <c r="F2462">
        <v>49.982551575000002</v>
      </c>
      <c r="G2462">
        <v>1324.8692627</v>
      </c>
      <c r="H2462">
        <v>1321.5908202999999</v>
      </c>
      <c r="I2462">
        <v>1344.1193848</v>
      </c>
      <c r="J2462">
        <v>1339.9323730000001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1726.66678</v>
      </c>
      <c r="B2463" s="1">
        <f>DATE(2015,1,21) + TIME(16,0,9)</f>
        <v>42025.666770833333</v>
      </c>
      <c r="C2463">
        <v>80</v>
      </c>
      <c r="D2463">
        <v>75.659912109000004</v>
      </c>
      <c r="E2463">
        <v>50</v>
      </c>
      <c r="F2463">
        <v>49.982547760000003</v>
      </c>
      <c r="G2463">
        <v>1324.7955322</v>
      </c>
      <c r="H2463">
        <v>1321.4888916</v>
      </c>
      <c r="I2463">
        <v>1344.1132812000001</v>
      </c>
      <c r="J2463">
        <v>1339.9296875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1729.2393</v>
      </c>
      <c r="B2464" s="1">
        <f>DATE(2015,1,24) + TIME(5,44,35)</f>
        <v>42028.239293981482</v>
      </c>
      <c r="C2464">
        <v>80</v>
      </c>
      <c r="D2464">
        <v>75.546821593999994</v>
      </c>
      <c r="E2464">
        <v>50</v>
      </c>
      <c r="F2464">
        <v>49.982547760000003</v>
      </c>
      <c r="G2464">
        <v>1324.7214355000001</v>
      </c>
      <c r="H2464">
        <v>1321.3864745999999</v>
      </c>
      <c r="I2464">
        <v>1344.1070557</v>
      </c>
      <c r="J2464">
        <v>1339.9270019999999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1731.908729</v>
      </c>
      <c r="B2465" s="1">
        <f>DATE(2015,1,26) + TIME(21,48,34)</f>
        <v>42030.908726851849</v>
      </c>
      <c r="C2465">
        <v>80</v>
      </c>
      <c r="D2465">
        <v>75.428947449000006</v>
      </c>
      <c r="E2465">
        <v>50</v>
      </c>
      <c r="F2465">
        <v>49.982547760000003</v>
      </c>
      <c r="G2465">
        <v>1324.6462402</v>
      </c>
      <c r="H2465">
        <v>1321.2827147999999</v>
      </c>
      <c r="I2465">
        <v>1344.1008300999999</v>
      </c>
      <c r="J2465">
        <v>1339.9243164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1734.651525</v>
      </c>
      <c r="B2466" s="1">
        <f>DATE(2015,1,29) + TIME(15,38,11)</f>
        <v>42033.651516203703</v>
      </c>
      <c r="C2466">
        <v>80</v>
      </c>
      <c r="D2466">
        <v>75.305442810000002</v>
      </c>
      <c r="E2466">
        <v>50</v>
      </c>
      <c r="F2466">
        <v>49.982547760000003</v>
      </c>
      <c r="G2466">
        <v>1324.5697021000001</v>
      </c>
      <c r="H2466">
        <v>1321.1772461</v>
      </c>
      <c r="I2466">
        <v>1344.0944824000001</v>
      </c>
      <c r="J2466">
        <v>1339.9215088000001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1737</v>
      </c>
      <c r="B2467" s="1">
        <f>DATE(2015,2,1) + TIME(0,0,0)</f>
        <v>42036</v>
      </c>
      <c r="C2467">
        <v>80</v>
      </c>
      <c r="D2467">
        <v>75.181098938000005</v>
      </c>
      <c r="E2467">
        <v>50</v>
      </c>
      <c r="F2467">
        <v>49.982547760000003</v>
      </c>
      <c r="G2467">
        <v>1324.4925536999999</v>
      </c>
      <c r="H2467">
        <v>1321.0714111</v>
      </c>
      <c r="I2467">
        <v>1344.0880127</v>
      </c>
      <c r="J2467">
        <v>1339.9187012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1739.813584</v>
      </c>
      <c r="B2468" s="1">
        <f>DATE(2015,2,3) + TIME(19,31,33)</f>
        <v>42038.813576388886</v>
      </c>
      <c r="C2468">
        <v>80</v>
      </c>
      <c r="D2468">
        <v>75.062194824000002</v>
      </c>
      <c r="E2468">
        <v>50</v>
      </c>
      <c r="F2468">
        <v>49.982547760000003</v>
      </c>
      <c r="G2468">
        <v>1324.4232178</v>
      </c>
      <c r="H2468">
        <v>1320.9743652</v>
      </c>
      <c r="I2468">
        <v>1344.0827637</v>
      </c>
      <c r="J2468">
        <v>1339.9162598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1742.8236589999999</v>
      </c>
      <c r="B2469" s="1">
        <f>DATE(2015,2,6) + TIME(19,46,4)</f>
        <v>42041.823657407411</v>
      </c>
      <c r="C2469">
        <v>80</v>
      </c>
      <c r="D2469">
        <v>74.927467346</v>
      </c>
      <c r="E2469">
        <v>50</v>
      </c>
      <c r="F2469">
        <v>49.982551575000002</v>
      </c>
      <c r="G2469">
        <v>1324.3479004000001</v>
      </c>
      <c r="H2469">
        <v>1320.8713379000001</v>
      </c>
      <c r="I2469">
        <v>1344.0764160000001</v>
      </c>
      <c r="J2469">
        <v>1339.9134521000001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1745.8503760000001</v>
      </c>
      <c r="B2470" s="1">
        <f>DATE(2015,2,9) + TIME(20,24,32)</f>
        <v>42044.850370370368</v>
      </c>
      <c r="C2470">
        <v>80</v>
      </c>
      <c r="D2470">
        <v>74.781272888000004</v>
      </c>
      <c r="E2470">
        <v>50</v>
      </c>
      <c r="F2470">
        <v>49.982551575000002</v>
      </c>
      <c r="G2470">
        <v>1324.2677002</v>
      </c>
      <c r="H2470">
        <v>1320.7615966999999</v>
      </c>
      <c r="I2470">
        <v>1344.0697021000001</v>
      </c>
      <c r="J2470">
        <v>1339.9105225000001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1748.91479</v>
      </c>
      <c r="B2471" s="1">
        <f>DATE(2015,2,12) + TIME(21,57,17)</f>
        <v>42047.914780092593</v>
      </c>
      <c r="C2471">
        <v>80</v>
      </c>
      <c r="D2471">
        <v>74.630149841000005</v>
      </c>
      <c r="E2471">
        <v>50</v>
      </c>
      <c r="F2471">
        <v>49.982551575000002</v>
      </c>
      <c r="G2471">
        <v>1324.1870117000001</v>
      </c>
      <c r="H2471">
        <v>1320.6505127</v>
      </c>
      <c r="I2471">
        <v>1344.0632324000001</v>
      </c>
      <c r="J2471">
        <v>1339.9075928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1752.042469</v>
      </c>
      <c r="B2472" s="1">
        <f>DATE(2015,2,16) + TIME(1,1,9)</f>
        <v>42051.04246527778</v>
      </c>
      <c r="C2472">
        <v>80</v>
      </c>
      <c r="D2472">
        <v>74.474220275999997</v>
      </c>
      <c r="E2472">
        <v>50</v>
      </c>
      <c r="F2472">
        <v>49.982555388999998</v>
      </c>
      <c r="G2472">
        <v>1324.1065673999999</v>
      </c>
      <c r="H2472">
        <v>1320.5399170000001</v>
      </c>
      <c r="I2472">
        <v>1344.0566406</v>
      </c>
      <c r="J2472">
        <v>1339.9045410000001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1755.273293</v>
      </c>
      <c r="B2473" s="1">
        <f>DATE(2015,2,19) + TIME(6,33,32)</f>
        <v>42054.273287037038</v>
      </c>
      <c r="C2473">
        <v>80</v>
      </c>
      <c r="D2473">
        <v>74.312080382999994</v>
      </c>
      <c r="E2473">
        <v>50</v>
      </c>
      <c r="F2473">
        <v>49.982559203999998</v>
      </c>
      <c r="G2473">
        <v>1324.026001</v>
      </c>
      <c r="H2473">
        <v>1320.4290771000001</v>
      </c>
      <c r="I2473">
        <v>1344.0500488</v>
      </c>
      <c r="J2473">
        <v>1339.9014893000001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1758.5708890000001</v>
      </c>
      <c r="B2474" s="1">
        <f>DATE(2015,2,22) + TIME(13,42,4)</f>
        <v>42057.570879629631</v>
      </c>
      <c r="C2474">
        <v>80</v>
      </c>
      <c r="D2474">
        <v>74.142166137999993</v>
      </c>
      <c r="E2474">
        <v>50</v>
      </c>
      <c r="F2474">
        <v>49.982559203999998</v>
      </c>
      <c r="G2474">
        <v>1323.9445800999999</v>
      </c>
      <c r="H2474">
        <v>1320.3173827999999</v>
      </c>
      <c r="I2474">
        <v>1344.043457</v>
      </c>
      <c r="J2474">
        <v>1339.8984375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1761.95661</v>
      </c>
      <c r="B2475" s="1">
        <f>DATE(2015,2,25) + TIME(22,57,31)</f>
        <v>42060.956608796296</v>
      </c>
      <c r="C2475">
        <v>80</v>
      </c>
      <c r="D2475">
        <v>73.965126037999994</v>
      </c>
      <c r="E2475">
        <v>50</v>
      </c>
      <c r="F2475">
        <v>49.982563018999997</v>
      </c>
      <c r="G2475">
        <v>1323.862793</v>
      </c>
      <c r="H2475">
        <v>1320.2049560999999</v>
      </c>
      <c r="I2475">
        <v>1344.0366211</v>
      </c>
      <c r="J2475">
        <v>1339.8952637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1765</v>
      </c>
      <c r="B2476" s="1">
        <f>DATE(2015,3,1) + TIME(0,0,0)</f>
        <v>42064</v>
      </c>
      <c r="C2476">
        <v>80</v>
      </c>
      <c r="D2476">
        <v>73.783767699999999</v>
      </c>
      <c r="E2476">
        <v>50</v>
      </c>
      <c r="F2476">
        <v>49.982563018999997</v>
      </c>
      <c r="G2476">
        <v>1323.7807617000001</v>
      </c>
      <c r="H2476">
        <v>1320.0927733999999</v>
      </c>
      <c r="I2476">
        <v>1344.0299072</v>
      </c>
      <c r="J2476">
        <v>1339.8919678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1768.503905</v>
      </c>
      <c r="B2477" s="1">
        <f>DATE(2015,3,4) + TIME(12,5,37)</f>
        <v>42067.503900462965</v>
      </c>
      <c r="C2477">
        <v>80</v>
      </c>
      <c r="D2477">
        <v>73.608139038000004</v>
      </c>
      <c r="E2477">
        <v>50</v>
      </c>
      <c r="F2477">
        <v>49.982570647999999</v>
      </c>
      <c r="G2477">
        <v>1323.7052002</v>
      </c>
      <c r="H2477">
        <v>1319.987793</v>
      </c>
      <c r="I2477">
        <v>1344.0238036999999</v>
      </c>
      <c r="J2477">
        <v>1339.8890381000001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1772.3039859999999</v>
      </c>
      <c r="B2478" s="1">
        <f>DATE(2015,3,8) + TIME(7,17,44)</f>
        <v>42071.303981481484</v>
      </c>
      <c r="C2478">
        <v>80</v>
      </c>
      <c r="D2478">
        <v>73.410369872999993</v>
      </c>
      <c r="E2478">
        <v>50</v>
      </c>
      <c r="F2478">
        <v>49.982574462999999</v>
      </c>
      <c r="G2478">
        <v>1323.6248779</v>
      </c>
      <c r="H2478">
        <v>1319.8781738</v>
      </c>
      <c r="I2478">
        <v>1344.0169678</v>
      </c>
      <c r="J2478">
        <v>1339.8856201000001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1776.1266889999999</v>
      </c>
      <c r="B2479" s="1">
        <f>DATE(2015,3,12) + TIME(3,2,25)</f>
        <v>42075.12667824074</v>
      </c>
      <c r="C2479">
        <v>80</v>
      </c>
      <c r="D2479">
        <v>73.193107604999994</v>
      </c>
      <c r="E2479">
        <v>50</v>
      </c>
      <c r="F2479">
        <v>49.982578277999998</v>
      </c>
      <c r="G2479">
        <v>1323.5390625</v>
      </c>
      <c r="H2479">
        <v>1319.7613524999999</v>
      </c>
      <c r="I2479">
        <v>1344.0095214999999</v>
      </c>
      <c r="J2479">
        <v>1339.8820800999999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1779.951867</v>
      </c>
      <c r="B2480" s="1">
        <f>DATE(2015,3,15) + TIME(22,50,41)</f>
        <v>42078.951863425929</v>
      </c>
      <c r="C2480">
        <v>80</v>
      </c>
      <c r="D2480">
        <v>72.968582153</v>
      </c>
      <c r="E2480">
        <v>50</v>
      </c>
      <c r="F2480">
        <v>49.982585907000001</v>
      </c>
      <c r="G2480">
        <v>1323.4528809000001</v>
      </c>
      <c r="H2480">
        <v>1319.6433105000001</v>
      </c>
      <c r="I2480">
        <v>1344.0021973</v>
      </c>
      <c r="J2480">
        <v>1339.8782959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1783.816266</v>
      </c>
      <c r="B2481" s="1">
        <f>DATE(2015,3,19) + TIME(19,35,25)</f>
        <v>42082.816261574073</v>
      </c>
      <c r="C2481">
        <v>80</v>
      </c>
      <c r="D2481">
        <v>72.738624572999996</v>
      </c>
      <c r="E2481">
        <v>50</v>
      </c>
      <c r="F2481">
        <v>49.982589722</v>
      </c>
      <c r="G2481">
        <v>1323.3681641000001</v>
      </c>
      <c r="H2481">
        <v>1319.5268555</v>
      </c>
      <c r="I2481">
        <v>1343.9948730000001</v>
      </c>
      <c r="J2481">
        <v>1339.8746338000001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1787.7784690000001</v>
      </c>
      <c r="B2482" s="1">
        <f>DATE(2015,3,23) + TIME(18,40,59)</f>
        <v>42086.778460648151</v>
      </c>
      <c r="C2482">
        <v>80</v>
      </c>
      <c r="D2482">
        <v>72.501762389999996</v>
      </c>
      <c r="E2482">
        <v>50</v>
      </c>
      <c r="F2482">
        <v>49.982597351000003</v>
      </c>
      <c r="G2482">
        <v>1323.2845459</v>
      </c>
      <c r="H2482">
        <v>1319.4121094</v>
      </c>
      <c r="I2482">
        <v>1343.9876709</v>
      </c>
      <c r="J2482">
        <v>1339.8708495999999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1791.8735979999999</v>
      </c>
      <c r="B2483" s="1">
        <f>DATE(2015,3,27) + TIME(20,57,58)</f>
        <v>42090.87358796296</v>
      </c>
      <c r="C2483">
        <v>80</v>
      </c>
      <c r="D2483">
        <v>72.254089355000005</v>
      </c>
      <c r="E2483">
        <v>50</v>
      </c>
      <c r="F2483">
        <v>49.982604979999998</v>
      </c>
      <c r="G2483">
        <v>1323.2009277</v>
      </c>
      <c r="H2483">
        <v>1319.2974853999999</v>
      </c>
      <c r="I2483">
        <v>1343.9802245999999</v>
      </c>
      <c r="J2483">
        <v>1339.8669434000001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1796</v>
      </c>
      <c r="B2484" s="1">
        <f>DATE(2015,4,1) + TIME(0,0,0)</f>
        <v>42095</v>
      </c>
      <c r="C2484">
        <v>80</v>
      </c>
      <c r="D2484">
        <v>71.994667053000001</v>
      </c>
      <c r="E2484">
        <v>50</v>
      </c>
      <c r="F2484">
        <v>49.982608794999997</v>
      </c>
      <c r="G2484">
        <v>1323.1165771000001</v>
      </c>
      <c r="H2484">
        <v>1319.182251</v>
      </c>
      <c r="I2484">
        <v>1343.9726562000001</v>
      </c>
      <c r="J2484">
        <v>1339.862793</v>
      </c>
      <c r="K2484">
        <v>0</v>
      </c>
      <c r="L2484">
        <v>2400</v>
      </c>
      <c r="M2484">
        <v>2400</v>
      </c>
      <c r="N248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2022-07-19T06:29:53Z</dcterms:created>
  <dcterms:modified xsi:type="dcterms:W3CDTF">2022-07-19T06:30:48Z</dcterms:modified>
</cp:coreProperties>
</file>