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9510" windowHeight="4305" tabRatio="745" firstSheet="21" activeTab="28"/>
  </bookViews>
  <sheets>
    <sheet name="01.08.21" sheetId="8" r:id="rId1"/>
    <sheet name="11.08.21" sheetId="9" r:id="rId2"/>
    <sheet name="13.08.21" sheetId="10" r:id="rId3"/>
    <sheet name="15.08.21" sheetId="11" r:id="rId4"/>
    <sheet name="16.08.21" sheetId="13" r:id="rId5"/>
    <sheet name="17.08.21" sheetId="14" r:id="rId6"/>
    <sheet name="22.08.21" sheetId="15" r:id="rId7"/>
    <sheet name="25.08.21" sheetId="16" r:id="rId8"/>
    <sheet name="28.08.21" sheetId="19" r:id="rId9"/>
    <sheet name="29.08.21" sheetId="20" r:id="rId10"/>
    <sheet name="11-12.09.21" sheetId="22" r:id="rId11"/>
    <sheet name="14.09.21" sheetId="24" r:id="rId12"/>
    <sheet name="15.09.21" sheetId="25" r:id="rId13"/>
    <sheet name="19-22.09.21" sheetId="26" r:id="rId14"/>
    <sheet name="25-26.09.21" sheetId="27" r:id="rId15"/>
    <sheet name="28.09.21" sheetId="31" r:id="rId16"/>
    <sheet name="29.09.21" sheetId="32" r:id="rId17"/>
    <sheet name="02-03.10.21" sheetId="36" r:id="rId18"/>
    <sheet name="02-03.10.21 (2)" sheetId="38" r:id="rId19"/>
    <sheet name="16-17.10.21" sheetId="39" r:id="rId20"/>
    <sheet name="19.10.21" sheetId="46" r:id="rId21"/>
    <sheet name="20-21.10.21" sheetId="47" r:id="rId22"/>
    <sheet name="24.10.21" sheetId="53" r:id="rId23"/>
    <sheet name="27-31.10.21" sheetId="59" r:id="rId24"/>
    <sheet name="02.11.21" sheetId="64" r:id="rId25"/>
    <sheet name="03-04.11.21" sheetId="65" r:id="rId26"/>
    <sheet name="06-07.11.21" sheetId="72" r:id="rId27"/>
    <sheet name="20-21.11.21" sheetId="76" r:id="rId28"/>
    <sheet name="23-24.11.21" sheetId="77" r:id="rId29"/>
  </sheets>
  <calcPr calcId="125725"/>
</workbook>
</file>

<file path=xl/calcChain.xml><?xml version="1.0" encoding="utf-8"?>
<calcChain xmlns="http://schemas.openxmlformats.org/spreadsheetml/2006/main">
  <c r="N39" i="77"/>
  <c r="K39" s="1"/>
  <c r="M39"/>
  <c r="L39"/>
  <c r="J39"/>
  <c r="N38"/>
  <c r="M38"/>
  <c r="L38"/>
  <c r="K38"/>
  <c r="J38"/>
  <c r="N37"/>
  <c r="K37" s="1"/>
  <c r="M37"/>
  <c r="L37"/>
  <c r="J37"/>
  <c r="N36"/>
  <c r="M36"/>
  <c r="L36"/>
  <c r="K36"/>
  <c r="J36"/>
  <c r="N35"/>
  <c r="K35" s="1"/>
  <c r="M35"/>
  <c r="L35"/>
  <c r="J35"/>
  <c r="N34"/>
  <c r="M34"/>
  <c r="L34"/>
  <c r="K34"/>
  <c r="J34"/>
  <c r="N33"/>
  <c r="K33" s="1"/>
  <c r="M33"/>
  <c r="L33"/>
  <c r="J33"/>
  <c r="N32"/>
  <c r="M32"/>
  <c r="L32"/>
  <c r="K32"/>
  <c r="J32"/>
  <c r="N31"/>
  <c r="K31" s="1"/>
  <c r="M31"/>
  <c r="L31"/>
  <c r="J31"/>
  <c r="N30"/>
  <c r="M30"/>
  <c r="L30"/>
  <c r="K30"/>
  <c r="J30"/>
  <c r="N29"/>
  <c r="K29" s="1"/>
  <c r="M29"/>
  <c r="L29"/>
  <c r="J29"/>
  <c r="N28"/>
  <c r="M28"/>
  <c r="L28"/>
  <c r="K28"/>
  <c r="J28"/>
  <c r="N27"/>
  <c r="K27" s="1"/>
  <c r="M27"/>
  <c r="L27"/>
  <c r="J27"/>
  <c r="N26"/>
  <c r="M26"/>
  <c r="L26"/>
  <c r="K26"/>
  <c r="J26"/>
  <c r="N25"/>
  <c r="K25" s="1"/>
  <c r="M25"/>
  <c r="L25"/>
  <c r="J25"/>
  <c r="F25"/>
  <c r="E25"/>
  <c r="D25"/>
  <c r="C25"/>
  <c r="B25"/>
  <c r="N24"/>
  <c r="K24" s="1"/>
  <c r="M24"/>
  <c r="L24"/>
  <c r="J24"/>
  <c r="N23"/>
  <c r="M23"/>
  <c r="L23"/>
  <c r="K23"/>
  <c r="J23"/>
  <c r="N22"/>
  <c r="K22" s="1"/>
  <c r="M22"/>
  <c r="L22"/>
  <c r="J22"/>
  <c r="N21"/>
  <c r="M21"/>
  <c r="L21"/>
  <c r="K21"/>
  <c r="J21"/>
  <c r="N20"/>
  <c r="M20"/>
  <c r="L20"/>
  <c r="K20"/>
  <c r="J20"/>
  <c r="N19"/>
  <c r="M19"/>
  <c r="L19"/>
  <c r="K19"/>
  <c r="J19"/>
  <c r="N18"/>
  <c r="M18"/>
  <c r="L18"/>
  <c r="K18"/>
  <c r="J18"/>
  <c r="N17"/>
  <c r="M17"/>
  <c r="L17"/>
  <c r="K17"/>
  <c r="J17"/>
  <c r="N16"/>
  <c r="M16"/>
  <c r="L16"/>
  <c r="K16"/>
  <c r="J16"/>
  <c r="N15"/>
  <c r="M15"/>
  <c r="L15"/>
  <c r="K15"/>
  <c r="J15"/>
  <c r="N14"/>
  <c r="M14"/>
  <c r="L14"/>
  <c r="K14"/>
  <c r="J14"/>
  <c r="N13"/>
  <c r="M13"/>
  <c r="L13"/>
  <c r="K13"/>
  <c r="J13"/>
  <c r="N12"/>
  <c r="M12"/>
  <c r="L12"/>
  <c r="K12"/>
  <c r="J12"/>
  <c r="N11"/>
  <c r="M11"/>
  <c r="L11"/>
  <c r="K11"/>
  <c r="J11"/>
  <c r="N10"/>
  <c r="M10"/>
  <c r="L10"/>
  <c r="K10"/>
  <c r="J10"/>
  <c r="N9"/>
  <c r="M9"/>
  <c r="L9"/>
  <c r="K9"/>
  <c r="J9"/>
  <c r="N8"/>
  <c r="M8"/>
  <c r="L8"/>
  <c r="K8"/>
  <c r="J8"/>
  <c r="F8"/>
  <c r="E8"/>
  <c r="N7"/>
  <c r="K7" s="1"/>
  <c r="M7"/>
  <c r="L7"/>
  <c r="J7"/>
  <c r="F7"/>
  <c r="E7"/>
  <c r="N6"/>
  <c r="M6"/>
  <c r="L6"/>
  <c r="K6"/>
  <c r="J6"/>
  <c r="F6"/>
  <c r="E6"/>
  <c r="N5"/>
  <c r="M5"/>
  <c r="L5"/>
  <c r="K5"/>
  <c r="J5"/>
  <c r="F5"/>
  <c r="E5"/>
  <c r="N4"/>
  <c r="M4"/>
  <c r="L4"/>
  <c r="K4"/>
  <c r="J4"/>
  <c r="F4"/>
  <c r="E4"/>
  <c r="N3"/>
  <c r="M3"/>
  <c r="L3"/>
  <c r="K3"/>
  <c r="J3"/>
  <c r="F3"/>
  <c r="E3"/>
  <c r="N2"/>
  <c r="M2"/>
  <c r="L2"/>
  <c r="K2"/>
  <c r="J2"/>
  <c r="F2"/>
  <c r="E2"/>
  <c r="N1"/>
  <c r="M1"/>
  <c r="L1"/>
  <c r="K1"/>
  <c r="J1"/>
  <c r="F1"/>
  <c r="E1"/>
  <c r="N39" i="76"/>
  <c r="K39" s="1"/>
  <c r="M39"/>
  <c r="L39"/>
  <c r="J39"/>
  <c r="N38"/>
  <c r="M38"/>
  <c r="L38"/>
  <c r="K38"/>
  <c r="J38"/>
  <c r="N37"/>
  <c r="K37" s="1"/>
  <c r="M37"/>
  <c r="L37"/>
  <c r="J37"/>
  <c r="N36"/>
  <c r="M36"/>
  <c r="L36"/>
  <c r="K36"/>
  <c r="J36"/>
  <c r="N35"/>
  <c r="K35" s="1"/>
  <c r="M35"/>
  <c r="L35"/>
  <c r="J35"/>
  <c r="N34"/>
  <c r="M34"/>
  <c r="L34"/>
  <c r="K34"/>
  <c r="J34"/>
  <c r="N33"/>
  <c r="K33" s="1"/>
  <c r="M33"/>
  <c r="L33"/>
  <c r="J33"/>
  <c r="N32"/>
  <c r="M32"/>
  <c r="L32"/>
  <c r="K32"/>
  <c r="J32"/>
  <c r="N31"/>
  <c r="K31" s="1"/>
  <c r="M31"/>
  <c r="L31"/>
  <c r="J31"/>
  <c r="N30"/>
  <c r="M30"/>
  <c r="L30"/>
  <c r="K30"/>
  <c r="J30"/>
  <c r="N29"/>
  <c r="K29" s="1"/>
  <c r="M29"/>
  <c r="L29"/>
  <c r="J29"/>
  <c r="N28"/>
  <c r="M28"/>
  <c r="L28"/>
  <c r="K28"/>
  <c r="J28"/>
  <c r="N27"/>
  <c r="K27" s="1"/>
  <c r="M27"/>
  <c r="L27"/>
  <c r="J27"/>
  <c r="N26"/>
  <c r="M26"/>
  <c r="L26"/>
  <c r="K26"/>
  <c r="J26"/>
  <c r="N25"/>
  <c r="K25" s="1"/>
  <c r="M25"/>
  <c r="L25"/>
  <c r="J25"/>
  <c r="F25"/>
  <c r="E25"/>
  <c r="D25"/>
  <c r="C25"/>
  <c r="B25"/>
  <c r="N24"/>
  <c r="K24" s="1"/>
  <c r="M24"/>
  <c r="L24"/>
  <c r="J24"/>
  <c r="N23"/>
  <c r="M23"/>
  <c r="L23"/>
  <c r="K23"/>
  <c r="J23"/>
  <c r="N22"/>
  <c r="M22"/>
  <c r="L22"/>
  <c r="K22"/>
  <c r="J22"/>
  <c r="N21"/>
  <c r="M21"/>
  <c r="L21"/>
  <c r="K21"/>
  <c r="J21"/>
  <c r="N20"/>
  <c r="M20"/>
  <c r="L20"/>
  <c r="K20"/>
  <c r="J20"/>
  <c r="N19"/>
  <c r="M19"/>
  <c r="L19"/>
  <c r="K19"/>
  <c r="J19"/>
  <c r="N18"/>
  <c r="M18"/>
  <c r="L18"/>
  <c r="K18"/>
  <c r="J18"/>
  <c r="N17"/>
  <c r="M17"/>
  <c r="L17"/>
  <c r="K17"/>
  <c r="J17"/>
  <c r="N16"/>
  <c r="M16"/>
  <c r="L16"/>
  <c r="K16"/>
  <c r="J16"/>
  <c r="N15"/>
  <c r="M15"/>
  <c r="L15"/>
  <c r="K15"/>
  <c r="J15"/>
  <c r="N14"/>
  <c r="M14"/>
  <c r="L14"/>
  <c r="K14"/>
  <c r="J14"/>
  <c r="N13"/>
  <c r="M13"/>
  <c r="L13"/>
  <c r="K13"/>
  <c r="J13"/>
  <c r="N12"/>
  <c r="M12"/>
  <c r="L12"/>
  <c r="K12"/>
  <c r="J12"/>
  <c r="N11"/>
  <c r="M11"/>
  <c r="L11"/>
  <c r="K11"/>
  <c r="J11"/>
  <c r="N10"/>
  <c r="M10"/>
  <c r="L10"/>
  <c r="K10"/>
  <c r="J10"/>
  <c r="N9"/>
  <c r="M9"/>
  <c r="L9"/>
  <c r="K9"/>
  <c r="J9"/>
  <c r="N8"/>
  <c r="M8"/>
  <c r="L8"/>
  <c r="K8"/>
  <c r="J8"/>
  <c r="F8"/>
  <c r="E8"/>
  <c r="N7"/>
  <c r="K7" s="1"/>
  <c r="M7"/>
  <c r="L7"/>
  <c r="J7"/>
  <c r="F7"/>
  <c r="E7"/>
  <c r="N6"/>
  <c r="M6"/>
  <c r="L6"/>
  <c r="K6"/>
  <c r="J6"/>
  <c r="F6"/>
  <c r="E6"/>
  <c r="N5"/>
  <c r="M5"/>
  <c r="L5"/>
  <c r="K5"/>
  <c r="J5"/>
  <c r="F5"/>
  <c r="E5"/>
  <c r="N4"/>
  <c r="M4"/>
  <c r="L4"/>
  <c r="K4"/>
  <c r="J4"/>
  <c r="F4"/>
  <c r="E4"/>
  <c r="N3"/>
  <c r="M3"/>
  <c r="L3"/>
  <c r="K3"/>
  <c r="J3"/>
  <c r="F3"/>
  <c r="E3"/>
  <c r="N2"/>
  <c r="M2"/>
  <c r="L2"/>
  <c r="K2"/>
  <c r="J2"/>
  <c r="F2"/>
  <c r="E2"/>
  <c r="N1"/>
  <c r="M1"/>
  <c r="L1"/>
  <c r="K1"/>
  <c r="J1"/>
  <c r="F1"/>
  <c r="E1"/>
  <c r="N38" i="72"/>
  <c r="K38" s="1"/>
  <c r="M38"/>
  <c r="L38"/>
  <c r="J38"/>
  <c r="N37"/>
  <c r="M37"/>
  <c r="L37"/>
  <c r="K37"/>
  <c r="J37"/>
  <c r="N36"/>
  <c r="K36" s="1"/>
  <c r="M36"/>
  <c r="L36"/>
  <c r="J36"/>
  <c r="N35"/>
  <c r="M35"/>
  <c r="L35"/>
  <c r="K35"/>
  <c r="J35"/>
  <c r="N34"/>
  <c r="K34" s="1"/>
  <c r="M34"/>
  <c r="L34"/>
  <c r="J34"/>
  <c r="N33"/>
  <c r="M33"/>
  <c r="L33"/>
  <c r="K33"/>
  <c r="J33"/>
  <c r="N32"/>
  <c r="K32" s="1"/>
  <c r="M32"/>
  <c r="L32"/>
  <c r="J32"/>
  <c r="N31"/>
  <c r="M31"/>
  <c r="L31"/>
  <c r="K31"/>
  <c r="J31"/>
  <c r="N30"/>
  <c r="K30" s="1"/>
  <c r="M30"/>
  <c r="L30"/>
  <c r="J30"/>
  <c r="N29"/>
  <c r="M29"/>
  <c r="L29"/>
  <c r="K29"/>
  <c r="J29"/>
  <c r="N28"/>
  <c r="K28" s="1"/>
  <c r="M28"/>
  <c r="L28"/>
  <c r="J28"/>
  <c r="N27"/>
  <c r="M27"/>
  <c r="L27"/>
  <c r="K27"/>
  <c r="J27"/>
  <c r="N26"/>
  <c r="M26"/>
  <c r="L26"/>
  <c r="K26"/>
  <c r="J26"/>
  <c r="N25"/>
  <c r="M25"/>
  <c r="L25"/>
  <c r="K25"/>
  <c r="J25"/>
  <c r="F25"/>
  <c r="E25"/>
  <c r="D25"/>
  <c r="C25"/>
  <c r="B25"/>
  <c r="N24"/>
  <c r="M24"/>
  <c r="L24"/>
  <c r="K24"/>
  <c r="J24"/>
  <c r="N23"/>
  <c r="M23"/>
  <c r="L23"/>
  <c r="K23"/>
  <c r="J23"/>
  <c r="N22"/>
  <c r="M22"/>
  <c r="L22"/>
  <c r="K22"/>
  <c r="J22"/>
  <c r="N21"/>
  <c r="M21"/>
  <c r="L21"/>
  <c r="K21"/>
  <c r="J21"/>
  <c r="N20"/>
  <c r="M20"/>
  <c r="L20"/>
  <c r="K20"/>
  <c r="J20"/>
  <c r="N19"/>
  <c r="M19"/>
  <c r="L19"/>
  <c r="K19"/>
  <c r="J19"/>
  <c r="N18"/>
  <c r="M18"/>
  <c r="L18"/>
  <c r="K18"/>
  <c r="J18"/>
  <c r="N17"/>
  <c r="M17"/>
  <c r="L17"/>
  <c r="K17"/>
  <c r="J17"/>
  <c r="N16"/>
  <c r="M16"/>
  <c r="L16"/>
  <c r="K16"/>
  <c r="J16"/>
  <c r="N15"/>
  <c r="M15"/>
  <c r="L15"/>
  <c r="K15"/>
  <c r="J15"/>
  <c r="N14"/>
  <c r="M14"/>
  <c r="L14"/>
  <c r="K14"/>
  <c r="J14"/>
  <c r="N13"/>
  <c r="M13"/>
  <c r="L13"/>
  <c r="K13"/>
  <c r="J13"/>
  <c r="N12"/>
  <c r="M12"/>
  <c r="L12"/>
  <c r="K12"/>
  <c r="J12"/>
  <c r="N11"/>
  <c r="M11"/>
  <c r="L11"/>
  <c r="K11"/>
  <c r="J11"/>
  <c r="N10"/>
  <c r="M10"/>
  <c r="L10"/>
  <c r="K10"/>
  <c r="J10"/>
  <c r="N9"/>
  <c r="M9"/>
  <c r="L9"/>
  <c r="K9"/>
  <c r="J9"/>
  <c r="N8"/>
  <c r="M8"/>
  <c r="L8"/>
  <c r="K8"/>
  <c r="J8"/>
  <c r="F8"/>
  <c r="E8"/>
  <c r="N7"/>
  <c r="M7"/>
  <c r="L7"/>
  <c r="K7"/>
  <c r="J7"/>
  <c r="F7"/>
  <c r="E7"/>
  <c r="N6"/>
  <c r="M6"/>
  <c r="L6"/>
  <c r="K6"/>
  <c r="J6"/>
  <c r="F6"/>
  <c r="E6"/>
  <c r="N5"/>
  <c r="M5"/>
  <c r="L5"/>
  <c r="K5"/>
  <c r="J5"/>
  <c r="F5"/>
  <c r="E5"/>
  <c r="N4"/>
  <c r="M4"/>
  <c r="L4"/>
  <c r="K4"/>
  <c r="J4"/>
  <c r="F4"/>
  <c r="E4"/>
  <c r="N3"/>
  <c r="M3"/>
  <c r="L3"/>
  <c r="K3"/>
  <c r="J3"/>
  <c r="F3"/>
  <c r="E3"/>
  <c r="N2"/>
  <c r="M2"/>
  <c r="L2"/>
  <c r="K2"/>
  <c r="J2"/>
  <c r="F2"/>
  <c r="E2"/>
  <c r="N1"/>
  <c r="M1"/>
  <c r="L1"/>
  <c r="K1"/>
  <c r="J1"/>
  <c r="F1"/>
  <c r="E1"/>
  <c r="N36" i="65"/>
  <c r="M36"/>
  <c r="L36"/>
  <c r="K36"/>
  <c r="J36"/>
  <c r="N35"/>
  <c r="M35"/>
  <c r="L35"/>
  <c r="K35"/>
  <c r="J35"/>
  <c r="N34"/>
  <c r="M34"/>
  <c r="L34"/>
  <c r="K34"/>
  <c r="J34"/>
  <c r="L12"/>
  <c r="M12"/>
  <c r="N12"/>
  <c r="L5"/>
  <c r="M5"/>
  <c r="K5" s="1"/>
  <c r="N5"/>
  <c r="L11"/>
  <c r="M11"/>
  <c r="N11"/>
  <c r="L13"/>
  <c r="M13"/>
  <c r="N13"/>
  <c r="L17"/>
  <c r="M17"/>
  <c r="N17"/>
  <c r="L18"/>
  <c r="M18"/>
  <c r="N18"/>
  <c r="K18" s="1"/>
  <c r="L22"/>
  <c r="M22"/>
  <c r="N22"/>
  <c r="L27"/>
  <c r="M27"/>
  <c r="N27"/>
  <c r="L1"/>
  <c r="M1"/>
  <c r="N1"/>
  <c r="L31"/>
  <c r="M31"/>
  <c r="N31"/>
  <c r="L2"/>
  <c r="M2"/>
  <c r="N2"/>
  <c r="L14"/>
  <c r="M14"/>
  <c r="N14"/>
  <c r="K22"/>
  <c r="J22"/>
  <c r="J5"/>
  <c r="K31"/>
  <c r="J31"/>
  <c r="N33"/>
  <c r="K33" s="1"/>
  <c r="M33"/>
  <c r="L33"/>
  <c r="J33"/>
  <c r="N32"/>
  <c r="M32"/>
  <c r="L32"/>
  <c r="K32"/>
  <c r="J32"/>
  <c r="N30"/>
  <c r="K30" s="1"/>
  <c r="M30"/>
  <c r="L30"/>
  <c r="J30"/>
  <c r="N29"/>
  <c r="M29"/>
  <c r="L29"/>
  <c r="K29"/>
  <c r="J29"/>
  <c r="N28"/>
  <c r="K28" s="1"/>
  <c r="M28"/>
  <c r="L28"/>
  <c r="J28"/>
  <c r="N26"/>
  <c r="M26"/>
  <c r="L26"/>
  <c r="K26"/>
  <c r="J26"/>
  <c r="F25"/>
  <c r="C25" s="1"/>
  <c r="E25"/>
  <c r="D25"/>
  <c r="B25"/>
  <c r="N25"/>
  <c r="M25"/>
  <c r="L25"/>
  <c r="K25"/>
  <c r="J25"/>
  <c r="K27"/>
  <c r="J27"/>
  <c r="N24"/>
  <c r="M24"/>
  <c r="L24"/>
  <c r="K24"/>
  <c r="J24"/>
  <c r="N23"/>
  <c r="K23" s="1"/>
  <c r="M23"/>
  <c r="L23"/>
  <c r="J23"/>
  <c r="N21"/>
  <c r="M21"/>
  <c r="L21"/>
  <c r="K21"/>
  <c r="J21"/>
  <c r="N20"/>
  <c r="K20" s="1"/>
  <c r="M20"/>
  <c r="L20"/>
  <c r="J20"/>
  <c r="N19"/>
  <c r="M19"/>
  <c r="L19"/>
  <c r="K19"/>
  <c r="J19"/>
  <c r="J18"/>
  <c r="N16"/>
  <c r="M16"/>
  <c r="L16"/>
  <c r="K16"/>
  <c r="J16"/>
  <c r="N15"/>
  <c r="K15" s="1"/>
  <c r="M15"/>
  <c r="L15"/>
  <c r="J15"/>
  <c r="K17"/>
  <c r="J17"/>
  <c r="K13"/>
  <c r="J13"/>
  <c r="K14"/>
  <c r="J14"/>
  <c r="K12"/>
  <c r="J12"/>
  <c r="N10"/>
  <c r="M10"/>
  <c r="L10"/>
  <c r="K10"/>
  <c r="J10"/>
  <c r="N9"/>
  <c r="K9" s="1"/>
  <c r="M9"/>
  <c r="L9"/>
  <c r="J9"/>
  <c r="N8"/>
  <c r="M8"/>
  <c r="L8"/>
  <c r="K8"/>
  <c r="J8"/>
  <c r="F8"/>
  <c r="E8"/>
  <c r="N7"/>
  <c r="K7" s="1"/>
  <c r="M7"/>
  <c r="L7"/>
  <c r="J7"/>
  <c r="F7"/>
  <c r="E7"/>
  <c r="K11"/>
  <c r="J11"/>
  <c r="F6"/>
  <c r="E6"/>
  <c r="K2"/>
  <c r="J2"/>
  <c r="F5"/>
  <c r="E5"/>
  <c r="N6"/>
  <c r="M6"/>
  <c r="L6"/>
  <c r="K6"/>
  <c r="J6"/>
  <c r="F4"/>
  <c r="E4"/>
  <c r="N4"/>
  <c r="K4" s="1"/>
  <c r="M4"/>
  <c r="L4"/>
  <c r="J4"/>
  <c r="F3"/>
  <c r="E3"/>
  <c r="N3"/>
  <c r="M3"/>
  <c r="L3"/>
  <c r="K3"/>
  <c r="J3"/>
  <c r="F2"/>
  <c r="E2"/>
  <c r="K1"/>
  <c r="J1"/>
  <c r="F1"/>
  <c r="E1"/>
  <c r="N36" i="64"/>
  <c r="M36"/>
  <c r="L36"/>
  <c r="K36"/>
  <c r="J36"/>
  <c r="N35"/>
  <c r="M35"/>
  <c r="L35"/>
  <c r="K35"/>
  <c r="J35"/>
  <c r="N34"/>
  <c r="M34"/>
  <c r="L34"/>
  <c r="K34"/>
  <c r="J34"/>
  <c r="N33"/>
  <c r="M33"/>
  <c r="L33"/>
  <c r="K33"/>
  <c r="J33"/>
  <c r="N32"/>
  <c r="M32"/>
  <c r="L32"/>
  <c r="K32"/>
  <c r="J32"/>
  <c r="L30"/>
  <c r="M30"/>
  <c r="N30"/>
  <c r="L7"/>
  <c r="M7"/>
  <c r="N7"/>
  <c r="L16"/>
  <c r="M16"/>
  <c r="N16"/>
  <c r="J16" s="1"/>
  <c r="L2"/>
  <c r="M2"/>
  <c r="N2"/>
  <c r="L22"/>
  <c r="M22"/>
  <c r="N22"/>
  <c r="L27"/>
  <c r="J27" s="1"/>
  <c r="M27"/>
  <c r="N27"/>
  <c r="K27" s="1"/>
  <c r="K30"/>
  <c r="J30"/>
  <c r="N31"/>
  <c r="K31" s="1"/>
  <c r="M31"/>
  <c r="L31"/>
  <c r="J31"/>
  <c r="N29"/>
  <c r="M29"/>
  <c r="L29"/>
  <c r="K29"/>
  <c r="J29"/>
  <c r="N28"/>
  <c r="K28" s="1"/>
  <c r="M28"/>
  <c r="L28"/>
  <c r="J28"/>
  <c r="N26"/>
  <c r="K26" s="1"/>
  <c r="M26"/>
  <c r="L26"/>
  <c r="J26"/>
  <c r="N25"/>
  <c r="M25"/>
  <c r="L25"/>
  <c r="K25"/>
  <c r="J25"/>
  <c r="F25"/>
  <c r="C25" s="1"/>
  <c r="E25"/>
  <c r="D25"/>
  <c r="B25"/>
  <c r="K22"/>
  <c r="J22"/>
  <c r="N24"/>
  <c r="K24" s="1"/>
  <c r="M24"/>
  <c r="L24"/>
  <c r="J24"/>
  <c r="N23"/>
  <c r="M23"/>
  <c r="L23"/>
  <c r="K23"/>
  <c r="J23"/>
  <c r="N21"/>
  <c r="K21" s="1"/>
  <c r="M21"/>
  <c r="L21"/>
  <c r="J21"/>
  <c r="K16"/>
  <c r="N20"/>
  <c r="K20" s="1"/>
  <c r="M20"/>
  <c r="L20"/>
  <c r="J20"/>
  <c r="N19"/>
  <c r="M19"/>
  <c r="L19"/>
  <c r="K19"/>
  <c r="J19"/>
  <c r="N18"/>
  <c r="K18" s="1"/>
  <c r="M18"/>
  <c r="L18"/>
  <c r="J18"/>
  <c r="N17"/>
  <c r="M17"/>
  <c r="L17"/>
  <c r="K17"/>
  <c r="J17"/>
  <c r="N15"/>
  <c r="K15" s="1"/>
  <c r="M15"/>
  <c r="L15"/>
  <c r="J15"/>
  <c r="N14"/>
  <c r="M14"/>
  <c r="L14"/>
  <c r="K14"/>
  <c r="J14"/>
  <c r="N13"/>
  <c r="K13" s="1"/>
  <c r="M13"/>
  <c r="L13"/>
  <c r="J13"/>
  <c r="N12"/>
  <c r="M12"/>
  <c r="L12"/>
  <c r="K12"/>
  <c r="J12"/>
  <c r="N11"/>
  <c r="K11" s="1"/>
  <c r="M11"/>
  <c r="L11"/>
  <c r="J11"/>
  <c r="N10"/>
  <c r="M10"/>
  <c r="L10"/>
  <c r="K10"/>
  <c r="J10"/>
  <c r="N9"/>
  <c r="K9" s="1"/>
  <c r="M9"/>
  <c r="L9"/>
  <c r="J9"/>
  <c r="N8"/>
  <c r="M8"/>
  <c r="L8"/>
  <c r="K8"/>
  <c r="J8"/>
  <c r="F8"/>
  <c r="E8"/>
  <c r="K7"/>
  <c r="J7"/>
  <c r="F7"/>
  <c r="E7"/>
  <c r="N6"/>
  <c r="M6"/>
  <c r="L6"/>
  <c r="K6"/>
  <c r="J6"/>
  <c r="F6"/>
  <c r="E6"/>
  <c r="K2"/>
  <c r="J2"/>
  <c r="F5"/>
  <c r="E5"/>
  <c r="N5"/>
  <c r="M5"/>
  <c r="L5"/>
  <c r="K5"/>
  <c r="J5"/>
  <c r="F4"/>
  <c r="E4"/>
  <c r="N4"/>
  <c r="K4" s="1"/>
  <c r="M4"/>
  <c r="L4"/>
  <c r="J4"/>
  <c r="F3"/>
  <c r="E3"/>
  <c r="N3"/>
  <c r="M3"/>
  <c r="L3"/>
  <c r="K3"/>
  <c r="J3"/>
  <c r="F2"/>
  <c r="E2"/>
  <c r="N1"/>
  <c r="K1" s="1"/>
  <c r="M1"/>
  <c r="L1"/>
  <c r="J1"/>
  <c r="F1"/>
  <c r="E1"/>
  <c r="N36" i="59"/>
  <c r="K36" s="1"/>
  <c r="M36"/>
  <c r="L36"/>
  <c r="J36"/>
  <c r="N35"/>
  <c r="M35"/>
  <c r="L35"/>
  <c r="K35"/>
  <c r="J35"/>
  <c r="N34"/>
  <c r="K34" s="1"/>
  <c r="M34"/>
  <c r="L34"/>
  <c r="J34"/>
  <c r="N33"/>
  <c r="M33"/>
  <c r="L33"/>
  <c r="K33"/>
  <c r="J33"/>
  <c r="N32"/>
  <c r="K32" s="1"/>
  <c r="M32"/>
  <c r="L32"/>
  <c r="J32"/>
  <c r="N31"/>
  <c r="M31"/>
  <c r="L31"/>
  <c r="K31"/>
  <c r="J31"/>
  <c r="N30"/>
  <c r="K30" s="1"/>
  <c r="M30"/>
  <c r="L30"/>
  <c r="J30"/>
  <c r="N29"/>
  <c r="M29"/>
  <c r="L29"/>
  <c r="K29"/>
  <c r="J29"/>
  <c r="N28"/>
  <c r="K28" s="1"/>
  <c r="M28"/>
  <c r="L28"/>
  <c r="J28"/>
  <c r="N27"/>
  <c r="M27"/>
  <c r="L27"/>
  <c r="K27"/>
  <c r="J27"/>
  <c r="N26"/>
  <c r="K26" s="1"/>
  <c r="M26"/>
  <c r="L26"/>
  <c r="J26"/>
  <c r="N25"/>
  <c r="M25"/>
  <c r="L25"/>
  <c r="K25"/>
  <c r="J25"/>
  <c r="F25"/>
  <c r="C25" s="1"/>
  <c r="E25"/>
  <c r="D25"/>
  <c r="B25"/>
  <c r="N24"/>
  <c r="M24"/>
  <c r="L24"/>
  <c r="K24"/>
  <c r="J24"/>
  <c r="N23"/>
  <c r="K23" s="1"/>
  <c r="M23"/>
  <c r="L23"/>
  <c r="J23"/>
  <c r="N22"/>
  <c r="M22"/>
  <c r="L22"/>
  <c r="K22"/>
  <c r="J22"/>
  <c r="N21"/>
  <c r="K21" s="1"/>
  <c r="M21"/>
  <c r="L21"/>
  <c r="J21"/>
  <c r="N20"/>
  <c r="M20"/>
  <c r="L20"/>
  <c r="K20"/>
  <c r="J20"/>
  <c r="N19"/>
  <c r="K19" s="1"/>
  <c r="M19"/>
  <c r="L19"/>
  <c r="J19"/>
  <c r="N18"/>
  <c r="M18"/>
  <c r="L18"/>
  <c r="K18"/>
  <c r="J18"/>
  <c r="N17"/>
  <c r="K17" s="1"/>
  <c r="M17"/>
  <c r="L17"/>
  <c r="J17"/>
  <c r="N16"/>
  <c r="M16"/>
  <c r="L16"/>
  <c r="K16"/>
  <c r="J16"/>
  <c r="N15"/>
  <c r="K15" s="1"/>
  <c r="M15"/>
  <c r="L15"/>
  <c r="J15"/>
  <c r="N14"/>
  <c r="M14"/>
  <c r="L14"/>
  <c r="K14"/>
  <c r="J14"/>
  <c r="N13"/>
  <c r="K13" s="1"/>
  <c r="M13"/>
  <c r="L13"/>
  <c r="J13"/>
  <c r="N12"/>
  <c r="M12"/>
  <c r="L12"/>
  <c r="K12"/>
  <c r="J12"/>
  <c r="N11"/>
  <c r="K11" s="1"/>
  <c r="M11"/>
  <c r="L11"/>
  <c r="J11"/>
  <c r="N10"/>
  <c r="M10"/>
  <c r="L10"/>
  <c r="K10"/>
  <c r="J10"/>
  <c r="N9"/>
  <c r="K9" s="1"/>
  <c r="M9"/>
  <c r="L9"/>
  <c r="J9"/>
  <c r="N8"/>
  <c r="M8"/>
  <c r="L8"/>
  <c r="K8"/>
  <c r="J8"/>
  <c r="F8"/>
  <c r="E8"/>
  <c r="N7"/>
  <c r="K7" s="1"/>
  <c r="M7"/>
  <c r="L7"/>
  <c r="J7"/>
  <c r="F7"/>
  <c r="E7"/>
  <c r="N6"/>
  <c r="M6"/>
  <c r="L6"/>
  <c r="K6"/>
  <c r="J6"/>
  <c r="F6"/>
  <c r="E6"/>
  <c r="N5"/>
  <c r="K5" s="1"/>
  <c r="M5"/>
  <c r="L5"/>
  <c r="J5"/>
  <c r="F5"/>
  <c r="E5"/>
  <c r="N4"/>
  <c r="M4"/>
  <c r="L4"/>
  <c r="K4"/>
  <c r="J4"/>
  <c r="F4"/>
  <c r="E4"/>
  <c r="N3"/>
  <c r="K3" s="1"/>
  <c r="M3"/>
  <c r="L3"/>
  <c r="J3"/>
  <c r="F3"/>
  <c r="E3"/>
  <c r="N2"/>
  <c r="M2"/>
  <c r="L2"/>
  <c r="K2"/>
  <c r="J2"/>
  <c r="F2"/>
  <c r="E2"/>
  <c r="N1"/>
  <c r="K1" s="1"/>
  <c r="M1"/>
  <c r="L1"/>
  <c r="J1"/>
  <c r="F1"/>
  <c r="E1"/>
  <c r="N35" i="53"/>
  <c r="K35" s="1"/>
  <c r="M35"/>
  <c r="L35"/>
  <c r="J35"/>
  <c r="N34"/>
  <c r="M34"/>
  <c r="L34"/>
  <c r="K34"/>
  <c r="J34"/>
  <c r="N33"/>
  <c r="K33" s="1"/>
  <c r="M33"/>
  <c r="L33"/>
  <c r="J33"/>
  <c r="N32"/>
  <c r="M32"/>
  <c r="L32"/>
  <c r="K32"/>
  <c r="J32"/>
  <c r="N31"/>
  <c r="K31" s="1"/>
  <c r="M31"/>
  <c r="L31"/>
  <c r="J31"/>
  <c r="N30"/>
  <c r="M30"/>
  <c r="L30"/>
  <c r="K30"/>
  <c r="J30"/>
  <c r="N29"/>
  <c r="K29" s="1"/>
  <c r="M29"/>
  <c r="L29"/>
  <c r="J29"/>
  <c r="N28"/>
  <c r="M28"/>
  <c r="L28"/>
  <c r="K28"/>
  <c r="J28"/>
  <c r="N27"/>
  <c r="K27" s="1"/>
  <c r="M27"/>
  <c r="L27"/>
  <c r="J27"/>
  <c r="N26"/>
  <c r="M26"/>
  <c r="L26"/>
  <c r="K26"/>
  <c r="J26"/>
  <c r="N25"/>
  <c r="K25" s="1"/>
  <c r="M25"/>
  <c r="L25"/>
  <c r="J25"/>
  <c r="F25"/>
  <c r="E25"/>
  <c r="D25"/>
  <c r="C25"/>
  <c r="B25"/>
  <c r="N24"/>
  <c r="K24" s="1"/>
  <c r="M24"/>
  <c r="L24"/>
  <c r="J24"/>
  <c r="N23"/>
  <c r="M23"/>
  <c r="L23"/>
  <c r="K23"/>
  <c r="J23"/>
  <c r="N22"/>
  <c r="K22" s="1"/>
  <c r="M22"/>
  <c r="L22"/>
  <c r="J22"/>
  <c r="N21"/>
  <c r="M21"/>
  <c r="L21"/>
  <c r="K21"/>
  <c r="J21"/>
  <c r="N20"/>
  <c r="K20" s="1"/>
  <c r="M20"/>
  <c r="L20"/>
  <c r="J20"/>
  <c r="N19"/>
  <c r="M19"/>
  <c r="L19"/>
  <c r="K19"/>
  <c r="J19"/>
  <c r="N18"/>
  <c r="K18" s="1"/>
  <c r="M18"/>
  <c r="L18"/>
  <c r="J18"/>
  <c r="N17"/>
  <c r="M17"/>
  <c r="L17"/>
  <c r="K17"/>
  <c r="J17"/>
  <c r="N16"/>
  <c r="K16" s="1"/>
  <c r="M16"/>
  <c r="L16"/>
  <c r="J16"/>
  <c r="N15"/>
  <c r="M15"/>
  <c r="L15"/>
  <c r="K15"/>
  <c r="J15"/>
  <c r="N14"/>
  <c r="K14" s="1"/>
  <c r="M14"/>
  <c r="L14"/>
  <c r="J14"/>
  <c r="N13"/>
  <c r="M13"/>
  <c r="L13"/>
  <c r="K13"/>
  <c r="J13"/>
  <c r="N12"/>
  <c r="K12" s="1"/>
  <c r="M12"/>
  <c r="L12"/>
  <c r="J12"/>
  <c r="N11"/>
  <c r="M11"/>
  <c r="L11"/>
  <c r="K11"/>
  <c r="J11"/>
  <c r="N10"/>
  <c r="K10" s="1"/>
  <c r="M10"/>
  <c r="L10"/>
  <c r="J10"/>
  <c r="N9"/>
  <c r="M9"/>
  <c r="L9"/>
  <c r="K9"/>
  <c r="J9"/>
  <c r="N8"/>
  <c r="K8" s="1"/>
  <c r="M8"/>
  <c r="L8"/>
  <c r="J8"/>
  <c r="F8"/>
  <c r="E8"/>
  <c r="N7"/>
  <c r="M7"/>
  <c r="L7"/>
  <c r="K7"/>
  <c r="J7"/>
  <c r="F7"/>
  <c r="E7"/>
  <c r="N6"/>
  <c r="K6" s="1"/>
  <c r="M6"/>
  <c r="L6"/>
  <c r="J6"/>
  <c r="F6"/>
  <c r="E6"/>
  <c r="N5"/>
  <c r="M5"/>
  <c r="L5"/>
  <c r="K5"/>
  <c r="J5"/>
  <c r="F5"/>
  <c r="E5"/>
  <c r="N4"/>
  <c r="K4" s="1"/>
  <c r="M4"/>
  <c r="L4"/>
  <c r="J4"/>
  <c r="F4"/>
  <c r="E4"/>
  <c r="N3"/>
  <c r="M3"/>
  <c r="L3"/>
  <c r="K3"/>
  <c r="J3"/>
  <c r="F3"/>
  <c r="E3"/>
  <c r="N2"/>
  <c r="K2" s="1"/>
  <c r="M2"/>
  <c r="L2"/>
  <c r="J2"/>
  <c r="F2"/>
  <c r="E2"/>
  <c r="N1"/>
  <c r="M1"/>
  <c r="L1"/>
  <c r="K1"/>
  <c r="J1"/>
  <c r="F1"/>
  <c r="E1"/>
  <c r="N35" i="47"/>
  <c r="M35"/>
  <c r="L35"/>
  <c r="K35"/>
  <c r="J35"/>
  <c r="N34"/>
  <c r="M34"/>
  <c r="L34"/>
  <c r="K34"/>
  <c r="J34"/>
  <c r="N33"/>
  <c r="M33"/>
  <c r="L33"/>
  <c r="K33"/>
  <c r="J33"/>
  <c r="N32"/>
  <c r="M32"/>
  <c r="L32"/>
  <c r="K32"/>
  <c r="J32"/>
  <c r="N31"/>
  <c r="M31"/>
  <c r="L31"/>
  <c r="K31"/>
  <c r="J31"/>
  <c r="N30"/>
  <c r="M30"/>
  <c r="L30"/>
  <c r="K30"/>
  <c r="J30"/>
  <c r="N29"/>
  <c r="K29" s="1"/>
  <c r="M29"/>
  <c r="L29"/>
  <c r="J29"/>
  <c r="L2"/>
  <c r="M2"/>
  <c r="N2"/>
  <c r="L24"/>
  <c r="M24"/>
  <c r="N24"/>
  <c r="L17"/>
  <c r="M17"/>
  <c r="N17"/>
  <c r="L26"/>
  <c r="M26"/>
  <c r="N26"/>
  <c r="K26" s="1"/>
  <c r="L10"/>
  <c r="M10"/>
  <c r="N10"/>
  <c r="L7"/>
  <c r="M7"/>
  <c r="N7"/>
  <c r="L19"/>
  <c r="M19"/>
  <c r="N19"/>
  <c r="J19" s="1"/>
  <c r="K7"/>
  <c r="J7"/>
  <c r="N28"/>
  <c r="M28"/>
  <c r="L28"/>
  <c r="K28"/>
  <c r="J28"/>
  <c r="N27"/>
  <c r="K27" s="1"/>
  <c r="M27"/>
  <c r="L27"/>
  <c r="J27"/>
  <c r="K19"/>
  <c r="F25"/>
  <c r="C25" s="1"/>
  <c r="E25"/>
  <c r="D25"/>
  <c r="B25"/>
  <c r="J26"/>
  <c r="N25"/>
  <c r="K25" s="1"/>
  <c r="M25"/>
  <c r="L25"/>
  <c r="J25"/>
  <c r="N23"/>
  <c r="M23"/>
  <c r="L23"/>
  <c r="K23"/>
  <c r="J23"/>
  <c r="K24"/>
  <c r="J24"/>
  <c r="N22"/>
  <c r="M22"/>
  <c r="L22"/>
  <c r="K22"/>
  <c r="J22"/>
  <c r="N21"/>
  <c r="K21" s="1"/>
  <c r="M21"/>
  <c r="L21"/>
  <c r="J21"/>
  <c r="N20"/>
  <c r="M20"/>
  <c r="L20"/>
  <c r="K20"/>
  <c r="J20"/>
  <c r="N18"/>
  <c r="K18" s="1"/>
  <c r="M18"/>
  <c r="L18"/>
  <c r="J18"/>
  <c r="N16"/>
  <c r="M16"/>
  <c r="L16"/>
  <c r="K16"/>
  <c r="J16"/>
  <c r="N15"/>
  <c r="K15" s="1"/>
  <c r="M15"/>
  <c r="L15"/>
  <c r="J15"/>
  <c r="K17"/>
  <c r="J17"/>
  <c r="N14"/>
  <c r="K14" s="1"/>
  <c r="M14"/>
  <c r="L14"/>
  <c r="J14"/>
  <c r="N13"/>
  <c r="M13"/>
  <c r="L13"/>
  <c r="K13"/>
  <c r="J13"/>
  <c r="N12"/>
  <c r="K12" s="1"/>
  <c r="M12"/>
  <c r="L12"/>
  <c r="J12"/>
  <c r="K10"/>
  <c r="J10"/>
  <c r="N11"/>
  <c r="K11" s="1"/>
  <c r="M11"/>
  <c r="L11"/>
  <c r="J11"/>
  <c r="N9"/>
  <c r="M9"/>
  <c r="L9"/>
  <c r="K9"/>
  <c r="J9"/>
  <c r="F8"/>
  <c r="E8"/>
  <c r="N8"/>
  <c r="K8" s="1"/>
  <c r="M8"/>
  <c r="L8"/>
  <c r="J8"/>
  <c r="F7"/>
  <c r="E7"/>
  <c r="K2"/>
  <c r="J2"/>
  <c r="F6"/>
  <c r="E6"/>
  <c r="N6"/>
  <c r="K6" s="1"/>
  <c r="M6"/>
  <c r="L6"/>
  <c r="J6"/>
  <c r="F5"/>
  <c r="E5"/>
  <c r="N5"/>
  <c r="M5"/>
  <c r="L5"/>
  <c r="K5"/>
  <c r="J5"/>
  <c r="F4"/>
  <c r="E4"/>
  <c r="N4"/>
  <c r="K4" s="1"/>
  <c r="M4"/>
  <c r="L4"/>
  <c r="J4"/>
  <c r="F3"/>
  <c r="E3"/>
  <c r="N3"/>
  <c r="M3"/>
  <c r="L3"/>
  <c r="K3"/>
  <c r="J3"/>
  <c r="F2"/>
  <c r="E2"/>
  <c r="N1"/>
  <c r="M1"/>
  <c r="L1"/>
  <c r="K1"/>
  <c r="J1"/>
  <c r="F1"/>
  <c r="E1"/>
  <c r="N34" i="46"/>
  <c r="M34"/>
  <c r="L34"/>
  <c r="K34"/>
  <c r="J34"/>
  <c r="N33"/>
  <c r="M33"/>
  <c r="L33"/>
  <c r="K33"/>
  <c r="J33"/>
  <c r="N32"/>
  <c r="K32" s="1"/>
  <c r="M32"/>
  <c r="L32"/>
  <c r="J32"/>
  <c r="N31"/>
  <c r="M31"/>
  <c r="L31"/>
  <c r="K31"/>
  <c r="J31"/>
  <c r="N30"/>
  <c r="M30"/>
  <c r="L30"/>
  <c r="K30"/>
  <c r="J30"/>
  <c r="N29"/>
  <c r="M29"/>
  <c r="L29"/>
  <c r="K29"/>
  <c r="J29"/>
  <c r="N28"/>
  <c r="M28"/>
  <c r="L28"/>
  <c r="K28"/>
  <c r="J28"/>
  <c r="L4"/>
  <c r="M4"/>
  <c r="N4"/>
  <c r="L20"/>
  <c r="M20"/>
  <c r="N20"/>
  <c r="L2"/>
  <c r="M2"/>
  <c r="N2"/>
  <c r="L13"/>
  <c r="M13"/>
  <c r="N13"/>
  <c r="L27"/>
  <c r="M27"/>
  <c r="N27"/>
  <c r="K27" s="1"/>
  <c r="L11"/>
  <c r="M11"/>
  <c r="N11"/>
  <c r="L8"/>
  <c r="M8"/>
  <c r="N8"/>
  <c r="L15"/>
  <c r="M15"/>
  <c r="N15"/>
  <c r="L9"/>
  <c r="M9"/>
  <c r="N9"/>
  <c r="J9" s="1"/>
  <c r="K9"/>
  <c r="K4"/>
  <c r="J4"/>
  <c r="J27"/>
  <c r="F25"/>
  <c r="E25"/>
  <c r="D25"/>
  <c r="C25"/>
  <c r="B25"/>
  <c r="N26"/>
  <c r="M26"/>
  <c r="L26"/>
  <c r="K26"/>
  <c r="J26"/>
  <c r="N25"/>
  <c r="K25" s="1"/>
  <c r="M25"/>
  <c r="L25"/>
  <c r="J25"/>
  <c r="N24"/>
  <c r="M24"/>
  <c r="L24"/>
  <c r="K24"/>
  <c r="J24"/>
  <c r="N23"/>
  <c r="K23" s="1"/>
  <c r="M23"/>
  <c r="L23"/>
  <c r="J23"/>
  <c r="K15"/>
  <c r="J15"/>
  <c r="N22"/>
  <c r="K22" s="1"/>
  <c r="M22"/>
  <c r="L22"/>
  <c r="J22"/>
  <c r="N21"/>
  <c r="M21"/>
  <c r="L21"/>
  <c r="K21"/>
  <c r="J21"/>
  <c r="N19"/>
  <c r="K19" s="1"/>
  <c r="M19"/>
  <c r="L19"/>
  <c r="J19"/>
  <c r="N18"/>
  <c r="M18"/>
  <c r="L18"/>
  <c r="K18"/>
  <c r="J18"/>
  <c r="K20"/>
  <c r="J20"/>
  <c r="N17"/>
  <c r="M17"/>
  <c r="L17"/>
  <c r="K17"/>
  <c r="J17"/>
  <c r="N16"/>
  <c r="K16" s="1"/>
  <c r="M16"/>
  <c r="L16"/>
  <c r="J16"/>
  <c r="N14"/>
  <c r="M14"/>
  <c r="L14"/>
  <c r="K14"/>
  <c r="J14"/>
  <c r="N12"/>
  <c r="K12" s="1"/>
  <c r="M12"/>
  <c r="L12"/>
  <c r="J12"/>
  <c r="K13"/>
  <c r="J13"/>
  <c r="N10"/>
  <c r="K10" s="1"/>
  <c r="M10"/>
  <c r="L10"/>
  <c r="J10"/>
  <c r="K11"/>
  <c r="J11"/>
  <c r="F8"/>
  <c r="E8"/>
  <c r="N7"/>
  <c r="K7" s="1"/>
  <c r="M7"/>
  <c r="L7"/>
  <c r="J7"/>
  <c r="F7"/>
  <c r="E7"/>
  <c r="K8"/>
  <c r="J8"/>
  <c r="F6"/>
  <c r="E6"/>
  <c r="K2"/>
  <c r="J2"/>
  <c r="F5"/>
  <c r="E5"/>
  <c r="N6"/>
  <c r="M6"/>
  <c r="L6"/>
  <c r="K6"/>
  <c r="J6"/>
  <c r="F4"/>
  <c r="E4"/>
  <c r="N5"/>
  <c r="K5" s="1"/>
  <c r="M5"/>
  <c r="L5"/>
  <c r="J5"/>
  <c r="F3"/>
  <c r="E3"/>
  <c r="N3"/>
  <c r="M3"/>
  <c r="L3"/>
  <c r="K3"/>
  <c r="J3"/>
  <c r="F2"/>
  <c r="E2"/>
  <c r="N1"/>
  <c r="K1" s="1"/>
  <c r="M1"/>
  <c r="L1"/>
  <c r="J1"/>
  <c r="F1"/>
  <c r="E1"/>
  <c r="N34" i="39"/>
  <c r="M34"/>
  <c r="L34"/>
  <c r="K34"/>
  <c r="J34"/>
  <c r="N33"/>
  <c r="M33"/>
  <c r="L33"/>
  <c r="K33"/>
  <c r="J33"/>
  <c r="N32"/>
  <c r="M32"/>
  <c r="L32"/>
  <c r="K32"/>
  <c r="J32"/>
  <c r="N31"/>
  <c r="M31"/>
  <c r="L31"/>
  <c r="K31"/>
  <c r="J31"/>
  <c r="N30"/>
  <c r="M30"/>
  <c r="L30"/>
  <c r="K30"/>
  <c r="J30"/>
  <c r="N29"/>
  <c r="M29"/>
  <c r="L29"/>
  <c r="K29"/>
  <c r="J29"/>
  <c r="N28"/>
  <c r="M28"/>
  <c r="L28"/>
  <c r="K28"/>
  <c r="J28"/>
  <c r="N27"/>
  <c r="M27"/>
  <c r="L27"/>
  <c r="K27"/>
  <c r="J27"/>
  <c r="N26"/>
  <c r="M26"/>
  <c r="L26"/>
  <c r="K26"/>
  <c r="J26"/>
  <c r="L21"/>
  <c r="M21"/>
  <c r="N21"/>
  <c r="L4"/>
  <c r="M4"/>
  <c r="N4"/>
  <c r="L9"/>
  <c r="M9"/>
  <c r="N9"/>
  <c r="K9" s="1"/>
  <c r="J9"/>
  <c r="K4"/>
  <c r="J4"/>
  <c r="F25"/>
  <c r="C25" s="1"/>
  <c r="E25"/>
  <c r="D25"/>
  <c r="B25"/>
  <c r="N25"/>
  <c r="K25" s="1"/>
  <c r="M25"/>
  <c r="L25"/>
  <c r="J25"/>
  <c r="N24"/>
  <c r="M24"/>
  <c r="L24"/>
  <c r="K24"/>
  <c r="J24"/>
  <c r="N23"/>
  <c r="K23" s="1"/>
  <c r="M23"/>
  <c r="L23"/>
  <c r="J23"/>
  <c r="N22"/>
  <c r="M22"/>
  <c r="L22"/>
  <c r="K22"/>
  <c r="J22"/>
  <c r="N20"/>
  <c r="K20" s="1"/>
  <c r="M20"/>
  <c r="L20"/>
  <c r="J20"/>
  <c r="J21"/>
  <c r="N19"/>
  <c r="K19" s="1"/>
  <c r="M19"/>
  <c r="L19"/>
  <c r="J19"/>
  <c r="N18"/>
  <c r="M18"/>
  <c r="L18"/>
  <c r="K18"/>
  <c r="J18"/>
  <c r="N17"/>
  <c r="K17" s="1"/>
  <c r="M17"/>
  <c r="L17"/>
  <c r="J17"/>
  <c r="N16"/>
  <c r="M16"/>
  <c r="L16"/>
  <c r="K16"/>
  <c r="J16"/>
  <c r="N15"/>
  <c r="K15" s="1"/>
  <c r="M15"/>
  <c r="L15"/>
  <c r="J15"/>
  <c r="N14"/>
  <c r="M14"/>
  <c r="L14"/>
  <c r="K14"/>
  <c r="J14"/>
  <c r="N13"/>
  <c r="K13" s="1"/>
  <c r="M13"/>
  <c r="L13"/>
  <c r="J13"/>
  <c r="N12"/>
  <c r="M12"/>
  <c r="L12"/>
  <c r="K12"/>
  <c r="J12"/>
  <c r="N11"/>
  <c r="K11" s="1"/>
  <c r="M11"/>
  <c r="L11"/>
  <c r="J11"/>
  <c r="N10"/>
  <c r="M10"/>
  <c r="L10"/>
  <c r="K10"/>
  <c r="J10"/>
  <c r="F8"/>
  <c r="E8"/>
  <c r="N8"/>
  <c r="K8" s="1"/>
  <c r="M8"/>
  <c r="L8"/>
  <c r="J8"/>
  <c r="F7"/>
  <c r="E7"/>
  <c r="N7"/>
  <c r="M7"/>
  <c r="L7"/>
  <c r="K7"/>
  <c r="J7"/>
  <c r="F6"/>
  <c r="E6"/>
  <c r="N6"/>
  <c r="K6" s="1"/>
  <c r="M6"/>
  <c r="L6"/>
  <c r="J6"/>
  <c r="F5"/>
  <c r="E5"/>
  <c r="N5"/>
  <c r="M5"/>
  <c r="L5"/>
  <c r="K5"/>
  <c r="J5"/>
  <c r="F4"/>
  <c r="E4"/>
  <c r="N3"/>
  <c r="K3" s="1"/>
  <c r="M3"/>
  <c r="L3"/>
  <c r="J3"/>
  <c r="F3"/>
  <c r="E3"/>
  <c r="N2"/>
  <c r="M2"/>
  <c r="L2"/>
  <c r="K2"/>
  <c r="J2"/>
  <c r="F2"/>
  <c r="E2"/>
  <c r="N1"/>
  <c r="K1" s="1"/>
  <c r="M1"/>
  <c r="L1"/>
  <c r="J1"/>
  <c r="F1"/>
  <c r="E1"/>
  <c r="N25" i="38"/>
  <c r="M25"/>
  <c r="L25"/>
  <c r="K25"/>
  <c r="J25"/>
  <c r="N24"/>
  <c r="M24"/>
  <c r="L24"/>
  <c r="K24"/>
  <c r="J24"/>
  <c r="N23"/>
  <c r="K23" s="1"/>
  <c r="M23"/>
  <c r="L23"/>
  <c r="J23"/>
  <c r="N22"/>
  <c r="M22"/>
  <c r="L22"/>
  <c r="K22"/>
  <c r="J22"/>
  <c r="N21"/>
  <c r="K21" s="1"/>
  <c r="M21"/>
  <c r="L21"/>
  <c r="J21"/>
  <c r="N20"/>
  <c r="M20"/>
  <c r="L20"/>
  <c r="K20"/>
  <c r="J20"/>
  <c r="N19"/>
  <c r="K19" s="1"/>
  <c r="M19"/>
  <c r="L19"/>
  <c r="J19"/>
  <c r="N18"/>
  <c r="M18"/>
  <c r="L18"/>
  <c r="K18"/>
  <c r="J18"/>
  <c r="N17"/>
  <c r="K17" s="1"/>
  <c r="M17"/>
  <c r="L17"/>
  <c r="J17"/>
  <c r="F25"/>
  <c r="C25" s="1"/>
  <c r="E25"/>
  <c r="D25"/>
  <c r="B25"/>
  <c r="F8"/>
  <c r="E8"/>
  <c r="F7"/>
  <c r="E7"/>
  <c r="F6"/>
  <c r="E6"/>
  <c r="F5"/>
  <c r="E5"/>
  <c r="F4"/>
  <c r="E4"/>
  <c r="F3"/>
  <c r="E3"/>
  <c r="F2"/>
  <c r="E2"/>
  <c r="F1"/>
  <c r="E1"/>
  <c r="N34" i="36"/>
  <c r="M34"/>
  <c r="L34"/>
  <c r="K34"/>
  <c r="J34"/>
  <c r="N33"/>
  <c r="M33"/>
  <c r="L33"/>
  <c r="K33"/>
  <c r="J33"/>
  <c r="N32"/>
  <c r="M32"/>
  <c r="L32"/>
  <c r="K32"/>
  <c r="J32"/>
  <c r="N31"/>
  <c r="M31"/>
  <c r="L31"/>
  <c r="K31"/>
  <c r="J31"/>
  <c r="N30"/>
  <c r="M30"/>
  <c r="L30"/>
  <c r="K30"/>
  <c r="J30"/>
  <c r="N29"/>
  <c r="M29"/>
  <c r="L29"/>
  <c r="K29"/>
  <c r="J29"/>
  <c r="N28"/>
  <c r="M28"/>
  <c r="L28"/>
  <c r="K28"/>
  <c r="J28"/>
  <c r="N27"/>
  <c r="M27"/>
  <c r="L27"/>
  <c r="K27"/>
  <c r="J27"/>
  <c r="N26"/>
  <c r="M26"/>
  <c r="L26"/>
  <c r="K26"/>
  <c r="J26"/>
  <c r="N25"/>
  <c r="M25"/>
  <c r="L25"/>
  <c r="K25"/>
  <c r="J25"/>
  <c r="N24"/>
  <c r="M24"/>
  <c r="L24"/>
  <c r="K24"/>
  <c r="J24"/>
  <c r="L17"/>
  <c r="M17"/>
  <c r="N17"/>
  <c r="L8"/>
  <c r="M8"/>
  <c r="N8"/>
  <c r="L7"/>
  <c r="M7"/>
  <c r="N7"/>
  <c r="L2"/>
  <c r="M2"/>
  <c r="N2"/>
  <c r="L21"/>
  <c r="M21"/>
  <c r="N21"/>
  <c r="L3"/>
  <c r="M3"/>
  <c r="N3"/>
  <c r="L9"/>
  <c r="M9"/>
  <c r="N9"/>
  <c r="L16"/>
  <c r="M16"/>
  <c r="N16"/>
  <c r="L20"/>
  <c r="M20"/>
  <c r="N20"/>
  <c r="L4"/>
  <c r="M4"/>
  <c r="N4"/>
  <c r="L5"/>
  <c r="M5"/>
  <c r="N5"/>
  <c r="L10"/>
  <c r="M10"/>
  <c r="N10"/>
  <c r="K21"/>
  <c r="J21"/>
  <c r="K17"/>
  <c r="J17"/>
  <c r="K16"/>
  <c r="J16"/>
  <c r="K9"/>
  <c r="J9"/>
  <c r="F25"/>
  <c r="E25"/>
  <c r="D25"/>
  <c r="C25"/>
  <c r="B25"/>
  <c r="K3"/>
  <c r="J3"/>
  <c r="N23"/>
  <c r="M23"/>
  <c r="L23"/>
  <c r="K23"/>
  <c r="J23"/>
  <c r="K20"/>
  <c r="J20"/>
  <c r="N22"/>
  <c r="M22"/>
  <c r="L22"/>
  <c r="K22"/>
  <c r="J22"/>
  <c r="N19"/>
  <c r="K19" s="1"/>
  <c r="M19"/>
  <c r="L19"/>
  <c r="J19"/>
  <c r="N18"/>
  <c r="M18"/>
  <c r="L18"/>
  <c r="K18"/>
  <c r="J18"/>
  <c r="N15"/>
  <c r="K15" s="1"/>
  <c r="M15"/>
  <c r="L15"/>
  <c r="J15"/>
  <c r="N14"/>
  <c r="M14"/>
  <c r="L14"/>
  <c r="K14"/>
  <c r="J14"/>
  <c r="N13"/>
  <c r="K13" s="1"/>
  <c r="M13"/>
  <c r="L13"/>
  <c r="J13"/>
  <c r="K8"/>
  <c r="J8"/>
  <c r="N12"/>
  <c r="K12" s="1"/>
  <c r="M12"/>
  <c r="L12"/>
  <c r="J12"/>
  <c r="N11"/>
  <c r="M11"/>
  <c r="L11"/>
  <c r="K11"/>
  <c r="J11"/>
  <c r="F8"/>
  <c r="E8"/>
  <c r="K5"/>
  <c r="J5"/>
  <c r="F7"/>
  <c r="E7"/>
  <c r="K10"/>
  <c r="J10"/>
  <c r="F6"/>
  <c r="E6"/>
  <c r="K7"/>
  <c r="J7"/>
  <c r="F5"/>
  <c r="E5"/>
  <c r="N6"/>
  <c r="M6"/>
  <c r="L6"/>
  <c r="K6"/>
  <c r="J6"/>
  <c r="F4"/>
  <c r="E4"/>
  <c r="K2"/>
  <c r="J2"/>
  <c r="F3"/>
  <c r="E3"/>
  <c r="K4"/>
  <c r="J4"/>
  <c r="F2"/>
  <c r="E2"/>
  <c r="N1"/>
  <c r="K1" s="1"/>
  <c r="M1"/>
  <c r="L1"/>
  <c r="J1"/>
  <c r="F1"/>
  <c r="E1"/>
  <c r="N34" i="32"/>
  <c r="M34"/>
  <c r="L34"/>
  <c r="K34"/>
  <c r="J34"/>
  <c r="N33"/>
  <c r="K33" s="1"/>
  <c r="M33"/>
  <c r="L33"/>
  <c r="J33"/>
  <c r="N32"/>
  <c r="M32"/>
  <c r="L32"/>
  <c r="K32"/>
  <c r="J32"/>
  <c r="N31"/>
  <c r="K31" s="1"/>
  <c r="M31"/>
  <c r="L31"/>
  <c r="J31"/>
  <c r="N30"/>
  <c r="M30"/>
  <c r="L30"/>
  <c r="K30"/>
  <c r="J30"/>
  <c r="N29"/>
  <c r="K29" s="1"/>
  <c r="M29"/>
  <c r="L29"/>
  <c r="J29"/>
  <c r="N28"/>
  <c r="M28"/>
  <c r="L28"/>
  <c r="K28"/>
  <c r="J28"/>
  <c r="N27"/>
  <c r="K27" s="1"/>
  <c r="M27"/>
  <c r="L27"/>
  <c r="J27"/>
  <c r="N26"/>
  <c r="M26"/>
  <c r="L26"/>
  <c r="K26"/>
  <c r="J26"/>
  <c r="N25"/>
  <c r="K25" s="1"/>
  <c r="M25"/>
  <c r="L25"/>
  <c r="J25"/>
  <c r="F25"/>
  <c r="E25"/>
  <c r="D25"/>
  <c r="C25"/>
  <c r="B25"/>
  <c r="N24"/>
  <c r="K24" s="1"/>
  <c r="M24"/>
  <c r="L24"/>
  <c r="J24"/>
  <c r="N23"/>
  <c r="M23"/>
  <c r="L23"/>
  <c r="K23"/>
  <c r="J23"/>
  <c r="N22"/>
  <c r="K22" s="1"/>
  <c r="M22"/>
  <c r="L22"/>
  <c r="J22"/>
  <c r="N21"/>
  <c r="M21"/>
  <c r="L21"/>
  <c r="K21"/>
  <c r="J21"/>
  <c r="N20"/>
  <c r="K20" s="1"/>
  <c r="M20"/>
  <c r="L20"/>
  <c r="J20"/>
  <c r="N19"/>
  <c r="M19"/>
  <c r="L19"/>
  <c r="K19"/>
  <c r="J19"/>
  <c r="N18"/>
  <c r="K18" s="1"/>
  <c r="M18"/>
  <c r="L18"/>
  <c r="J18"/>
  <c r="N17"/>
  <c r="M17"/>
  <c r="L17"/>
  <c r="K17"/>
  <c r="J17"/>
  <c r="N16"/>
  <c r="K16" s="1"/>
  <c r="M16"/>
  <c r="L16"/>
  <c r="J16"/>
  <c r="N15"/>
  <c r="M15"/>
  <c r="L15"/>
  <c r="K15"/>
  <c r="J15"/>
  <c r="N14"/>
  <c r="K14" s="1"/>
  <c r="M14"/>
  <c r="L14"/>
  <c r="J14"/>
  <c r="N13"/>
  <c r="M13"/>
  <c r="L13"/>
  <c r="K13"/>
  <c r="J13"/>
  <c r="N12"/>
  <c r="K12" s="1"/>
  <c r="M12"/>
  <c r="L12"/>
  <c r="J12"/>
  <c r="N11"/>
  <c r="M11"/>
  <c r="L11"/>
  <c r="K11"/>
  <c r="J11"/>
  <c r="N10"/>
  <c r="K10" s="1"/>
  <c r="M10"/>
  <c r="L10"/>
  <c r="J10"/>
  <c r="N9"/>
  <c r="M9"/>
  <c r="L9"/>
  <c r="K9"/>
  <c r="J9"/>
  <c r="N8"/>
  <c r="K8" s="1"/>
  <c r="M8"/>
  <c r="L8"/>
  <c r="J8"/>
  <c r="F8"/>
  <c r="E8"/>
  <c r="N7"/>
  <c r="M7"/>
  <c r="L7"/>
  <c r="K7"/>
  <c r="J7"/>
  <c r="F7"/>
  <c r="E7"/>
  <c r="N6"/>
  <c r="K6" s="1"/>
  <c r="M6"/>
  <c r="L6"/>
  <c r="J6"/>
  <c r="F6"/>
  <c r="E6"/>
  <c r="N5"/>
  <c r="M5"/>
  <c r="L5"/>
  <c r="K5"/>
  <c r="J5"/>
  <c r="F5"/>
  <c r="E5"/>
  <c r="N4"/>
  <c r="K4" s="1"/>
  <c r="M4"/>
  <c r="L4"/>
  <c r="J4"/>
  <c r="F4"/>
  <c r="E4"/>
  <c r="N3"/>
  <c r="M3"/>
  <c r="L3"/>
  <c r="K3"/>
  <c r="J3"/>
  <c r="F3"/>
  <c r="E3"/>
  <c r="N2"/>
  <c r="K2" s="1"/>
  <c r="M2"/>
  <c r="L2"/>
  <c r="J2"/>
  <c r="F2"/>
  <c r="E2"/>
  <c r="N1"/>
  <c r="M1"/>
  <c r="L1"/>
  <c r="K1"/>
  <c r="J1"/>
  <c r="F1"/>
  <c r="E1"/>
  <c r="N33" i="31"/>
  <c r="M33"/>
  <c r="L33"/>
  <c r="K33"/>
  <c r="J33"/>
  <c r="N32"/>
  <c r="M32"/>
  <c r="L32"/>
  <c r="K32"/>
  <c r="J32"/>
  <c r="N31"/>
  <c r="M31"/>
  <c r="L31"/>
  <c r="K31"/>
  <c r="J31"/>
  <c r="N30"/>
  <c r="M30"/>
  <c r="L30"/>
  <c r="K30"/>
  <c r="J30"/>
  <c r="N29"/>
  <c r="M29"/>
  <c r="L29"/>
  <c r="K29"/>
  <c r="J29"/>
  <c r="N28"/>
  <c r="M28"/>
  <c r="L28"/>
  <c r="K28"/>
  <c r="J28"/>
  <c r="N27"/>
  <c r="M27"/>
  <c r="L27"/>
  <c r="K27"/>
  <c r="J27"/>
  <c r="N26"/>
  <c r="M26"/>
  <c r="L26"/>
  <c r="K26"/>
  <c r="J26"/>
  <c r="N25"/>
  <c r="M25"/>
  <c r="L25"/>
  <c r="K25"/>
  <c r="J25"/>
  <c r="N24"/>
  <c r="M24"/>
  <c r="L24"/>
  <c r="K24"/>
  <c r="J24"/>
  <c r="N23"/>
  <c r="M23"/>
  <c r="L23"/>
  <c r="K23"/>
  <c r="J23"/>
  <c r="N22"/>
  <c r="M22"/>
  <c r="L22"/>
  <c r="K22"/>
  <c r="J22"/>
  <c r="N21"/>
  <c r="M21"/>
  <c r="L21"/>
  <c r="K21"/>
  <c r="J21"/>
  <c r="N20"/>
  <c r="M20"/>
  <c r="L20"/>
  <c r="K20"/>
  <c r="J20"/>
  <c r="N19"/>
  <c r="M19"/>
  <c r="L19"/>
  <c r="K19"/>
  <c r="J19"/>
  <c r="N18"/>
  <c r="M18"/>
  <c r="L18"/>
  <c r="K18"/>
  <c r="J18"/>
  <c r="N17"/>
  <c r="M17"/>
  <c r="L17"/>
  <c r="K17"/>
  <c r="J17"/>
  <c r="N16"/>
  <c r="M16"/>
  <c r="L16"/>
  <c r="K16"/>
  <c r="J16"/>
  <c r="L3"/>
  <c r="M3"/>
  <c r="N3"/>
  <c r="L4"/>
  <c r="M4"/>
  <c r="N4"/>
  <c r="L6"/>
  <c r="M6"/>
  <c r="N6"/>
  <c r="L14"/>
  <c r="M14"/>
  <c r="N14"/>
  <c r="L12"/>
  <c r="M12"/>
  <c r="N12"/>
  <c r="J12" s="1"/>
  <c r="L13"/>
  <c r="M13"/>
  <c r="N13"/>
  <c r="L8"/>
  <c r="M8"/>
  <c r="N8"/>
  <c r="L9"/>
  <c r="M9"/>
  <c r="N9"/>
  <c r="L5"/>
  <c r="M5"/>
  <c r="K5" s="1"/>
  <c r="N5"/>
  <c r="K9"/>
  <c r="J9"/>
  <c r="K14"/>
  <c r="J14"/>
  <c r="F24"/>
  <c r="C24" s="1"/>
  <c r="E24"/>
  <c r="D24"/>
  <c r="B24"/>
  <c r="K12"/>
  <c r="K13"/>
  <c r="J13"/>
  <c r="K6"/>
  <c r="J6"/>
  <c r="K3"/>
  <c r="J3"/>
  <c r="N15"/>
  <c r="M15"/>
  <c r="L15"/>
  <c r="K15"/>
  <c r="J15"/>
  <c r="N11"/>
  <c r="K11" s="1"/>
  <c r="M11"/>
  <c r="L11"/>
  <c r="J11"/>
  <c r="F8"/>
  <c r="E8"/>
  <c r="N10"/>
  <c r="M10"/>
  <c r="L10"/>
  <c r="K10"/>
  <c r="J10"/>
  <c r="F7"/>
  <c r="E7"/>
  <c r="N7"/>
  <c r="K7" s="1"/>
  <c r="M7"/>
  <c r="L7"/>
  <c r="J7"/>
  <c r="F6"/>
  <c r="E6"/>
  <c r="K8"/>
  <c r="J8"/>
  <c r="F5"/>
  <c r="E5"/>
  <c r="J5"/>
  <c r="F4"/>
  <c r="E4"/>
  <c r="K4"/>
  <c r="J4"/>
  <c r="F3"/>
  <c r="E3"/>
  <c r="N2"/>
  <c r="K2" s="1"/>
  <c r="M2"/>
  <c r="L2"/>
  <c r="J2"/>
  <c r="F2"/>
  <c r="E2"/>
  <c r="N1"/>
  <c r="M1"/>
  <c r="L1"/>
  <c r="K1"/>
  <c r="J1"/>
  <c r="F1"/>
  <c r="E1"/>
  <c r="N33" i="27"/>
  <c r="M33"/>
  <c r="L33"/>
  <c r="K33"/>
  <c r="J33"/>
  <c r="N32"/>
  <c r="M32"/>
  <c r="L32"/>
  <c r="K32"/>
  <c r="J32"/>
  <c r="N31"/>
  <c r="M31"/>
  <c r="L31"/>
  <c r="K31"/>
  <c r="J31"/>
  <c r="N30"/>
  <c r="M30"/>
  <c r="L30"/>
  <c r="K30"/>
  <c r="J30"/>
  <c r="N29"/>
  <c r="M29"/>
  <c r="L29"/>
  <c r="K29"/>
  <c r="J29"/>
  <c r="N28"/>
  <c r="M28"/>
  <c r="L28"/>
  <c r="K28"/>
  <c r="J28"/>
  <c r="N27"/>
  <c r="M27"/>
  <c r="L27"/>
  <c r="K27"/>
  <c r="J27"/>
  <c r="N26"/>
  <c r="M26"/>
  <c r="L26"/>
  <c r="K26"/>
  <c r="J26"/>
  <c r="N25"/>
  <c r="M25"/>
  <c r="L25"/>
  <c r="K25"/>
  <c r="J25"/>
  <c r="N24"/>
  <c r="M24"/>
  <c r="L24"/>
  <c r="K24"/>
  <c r="J24"/>
  <c r="N23"/>
  <c r="M23"/>
  <c r="L23"/>
  <c r="K23"/>
  <c r="J23"/>
  <c r="N22"/>
  <c r="M22"/>
  <c r="L22"/>
  <c r="K22"/>
  <c r="J22"/>
  <c r="N21"/>
  <c r="M21"/>
  <c r="L21"/>
  <c r="K21"/>
  <c r="J21"/>
  <c r="N20"/>
  <c r="M20"/>
  <c r="L20"/>
  <c r="K20"/>
  <c r="J20"/>
  <c r="N19"/>
  <c r="M19"/>
  <c r="L19"/>
  <c r="K19"/>
  <c r="J19"/>
  <c r="N18"/>
  <c r="M18"/>
  <c r="L18"/>
  <c r="K18"/>
  <c r="J18"/>
  <c r="N17"/>
  <c r="M17"/>
  <c r="L17"/>
  <c r="K17"/>
  <c r="J17"/>
  <c r="N16"/>
  <c r="M16"/>
  <c r="L16"/>
  <c r="K16"/>
  <c r="J16"/>
  <c r="N15"/>
  <c r="M15"/>
  <c r="L15"/>
  <c r="K15"/>
  <c r="J15"/>
  <c r="N14"/>
  <c r="M14"/>
  <c r="L14"/>
  <c r="K14"/>
  <c r="J14"/>
  <c r="N13"/>
  <c r="M13"/>
  <c r="L13"/>
  <c r="K13"/>
  <c r="J13"/>
  <c r="N12"/>
  <c r="M12"/>
  <c r="L12"/>
  <c r="K12"/>
  <c r="J12"/>
  <c r="N11"/>
  <c r="M11"/>
  <c r="L11"/>
  <c r="K11"/>
  <c r="J11"/>
  <c r="N10"/>
  <c r="M10"/>
  <c r="L10"/>
  <c r="K10"/>
  <c r="J10"/>
  <c r="L7"/>
  <c r="M7"/>
  <c r="N7"/>
  <c r="L6"/>
  <c r="M6"/>
  <c r="N6"/>
  <c r="L3"/>
  <c r="M3"/>
  <c r="N3"/>
  <c r="L8"/>
  <c r="M8"/>
  <c r="N8"/>
  <c r="L2"/>
  <c r="M2"/>
  <c r="N2"/>
  <c r="F24"/>
  <c r="E24"/>
  <c r="D24"/>
  <c r="C24"/>
  <c r="B24"/>
  <c r="K8"/>
  <c r="J8"/>
  <c r="K7"/>
  <c r="J7"/>
  <c r="F8"/>
  <c r="E8"/>
  <c r="N9"/>
  <c r="M9"/>
  <c r="L9"/>
  <c r="K9"/>
  <c r="J9"/>
  <c r="F7"/>
  <c r="E7"/>
  <c r="K6"/>
  <c r="J6"/>
  <c r="F6"/>
  <c r="E6"/>
  <c r="N5"/>
  <c r="M5"/>
  <c r="L5"/>
  <c r="K5"/>
  <c r="J5"/>
  <c r="F5"/>
  <c r="E5"/>
  <c r="N4"/>
  <c r="K4" s="1"/>
  <c r="M4"/>
  <c r="L4"/>
  <c r="J4"/>
  <c r="F4"/>
  <c r="E4"/>
  <c r="K3"/>
  <c r="J3"/>
  <c r="F3"/>
  <c r="E3"/>
  <c r="K2"/>
  <c r="J2"/>
  <c r="F2"/>
  <c r="E2"/>
  <c r="N1"/>
  <c r="M1"/>
  <c r="L1"/>
  <c r="K1"/>
  <c r="J1"/>
  <c r="F1"/>
  <c r="E1"/>
  <c r="N32" i="26"/>
  <c r="M32"/>
  <c r="L32"/>
  <c r="K32"/>
  <c r="J32"/>
  <c r="N31"/>
  <c r="M31"/>
  <c r="L31"/>
  <c r="K31"/>
  <c r="J31"/>
  <c r="N30"/>
  <c r="M30"/>
  <c r="L30"/>
  <c r="K30"/>
  <c r="J30"/>
  <c r="N29"/>
  <c r="M29"/>
  <c r="L29"/>
  <c r="K29"/>
  <c r="J29"/>
  <c r="N28"/>
  <c r="M28"/>
  <c r="L28"/>
  <c r="K28"/>
  <c r="J28"/>
  <c r="N27"/>
  <c r="M27"/>
  <c r="L27"/>
  <c r="K27"/>
  <c r="J27"/>
  <c r="N26"/>
  <c r="M26"/>
  <c r="L26"/>
  <c r="K26"/>
  <c r="J26"/>
  <c r="N25"/>
  <c r="M25"/>
  <c r="L25"/>
  <c r="K25"/>
  <c r="J25"/>
  <c r="N24"/>
  <c r="M24"/>
  <c r="L24"/>
  <c r="K24"/>
  <c r="J24"/>
  <c r="N23"/>
  <c r="M23"/>
  <c r="L23"/>
  <c r="K23"/>
  <c r="J23"/>
  <c r="N22"/>
  <c r="M22"/>
  <c r="L22"/>
  <c r="K22"/>
  <c r="J22"/>
  <c r="N21"/>
  <c r="M21"/>
  <c r="L21"/>
  <c r="K21"/>
  <c r="J21"/>
  <c r="N20"/>
  <c r="M20"/>
  <c r="L20"/>
  <c r="K20"/>
  <c r="J20"/>
  <c r="N19"/>
  <c r="M19"/>
  <c r="L19"/>
  <c r="K19"/>
  <c r="J19"/>
  <c r="N18"/>
  <c r="M18"/>
  <c r="L18"/>
  <c r="K18"/>
  <c r="J18"/>
  <c r="N17"/>
  <c r="M17"/>
  <c r="L17"/>
  <c r="K17"/>
  <c r="J17"/>
  <c r="N16"/>
  <c r="M16"/>
  <c r="L16"/>
  <c r="K16"/>
  <c r="J16"/>
  <c r="N15"/>
  <c r="M15"/>
  <c r="L15"/>
  <c r="K15"/>
  <c r="J15"/>
  <c r="N14"/>
  <c r="M14"/>
  <c r="L14"/>
  <c r="K14"/>
  <c r="J14"/>
  <c r="N13"/>
  <c r="M13"/>
  <c r="L13"/>
  <c r="K13"/>
  <c r="J13"/>
  <c r="N12"/>
  <c r="M12"/>
  <c r="L12"/>
  <c r="K12"/>
  <c r="J12"/>
  <c r="N11"/>
  <c r="M11"/>
  <c r="L11"/>
  <c r="K11"/>
  <c r="J11"/>
  <c r="N10"/>
  <c r="M10"/>
  <c r="L10"/>
  <c r="K10"/>
  <c r="J10"/>
  <c r="N9"/>
  <c r="M9"/>
  <c r="L9"/>
  <c r="K9"/>
  <c r="J9"/>
  <c r="N8"/>
  <c r="M8"/>
  <c r="L8"/>
  <c r="K8"/>
  <c r="J8"/>
  <c r="L5"/>
  <c r="M5"/>
  <c r="N5"/>
  <c r="L2"/>
  <c r="M2"/>
  <c r="N2"/>
  <c r="L4"/>
  <c r="M4"/>
  <c r="N4"/>
  <c r="F24"/>
  <c r="C24" s="1"/>
  <c r="E24"/>
  <c r="D24"/>
  <c r="B24"/>
  <c r="K4"/>
  <c r="J4"/>
  <c r="K5"/>
  <c r="J5"/>
  <c r="F8"/>
  <c r="E8"/>
  <c r="F7"/>
  <c r="E7"/>
  <c r="F6"/>
  <c r="E6"/>
  <c r="N7"/>
  <c r="M7"/>
  <c r="L7"/>
  <c r="K7"/>
  <c r="J7"/>
  <c r="F5"/>
  <c r="E5"/>
  <c r="N6"/>
  <c r="K6" s="1"/>
  <c r="M6"/>
  <c r="L6"/>
  <c r="J6"/>
  <c r="F4"/>
  <c r="E4"/>
  <c r="N3"/>
  <c r="M3"/>
  <c r="L3"/>
  <c r="K3"/>
  <c r="J3"/>
  <c r="F3"/>
  <c r="E3"/>
  <c r="K2"/>
  <c r="J2"/>
  <c r="F2"/>
  <c r="E2"/>
  <c r="N1"/>
  <c r="M1"/>
  <c r="L1"/>
  <c r="K1"/>
  <c r="J1"/>
  <c r="F1"/>
  <c r="E1"/>
  <c r="N31" i="25"/>
  <c r="M31"/>
  <c r="L31"/>
  <c r="K31"/>
  <c r="J31"/>
  <c r="N30"/>
  <c r="M30"/>
  <c r="L30"/>
  <c r="K30"/>
  <c r="J30"/>
  <c r="N29"/>
  <c r="M29"/>
  <c r="L29"/>
  <c r="K29"/>
  <c r="J29"/>
  <c r="N28"/>
  <c r="M28"/>
  <c r="L28"/>
  <c r="K28"/>
  <c r="J28"/>
  <c r="N27"/>
  <c r="M27"/>
  <c r="L27"/>
  <c r="K27"/>
  <c r="J27"/>
  <c r="N26"/>
  <c r="M26"/>
  <c r="L26"/>
  <c r="K26"/>
  <c r="J26"/>
  <c r="N25"/>
  <c r="M25"/>
  <c r="L25"/>
  <c r="K25"/>
  <c r="J25"/>
  <c r="N24"/>
  <c r="M24"/>
  <c r="L24"/>
  <c r="K24"/>
  <c r="J24"/>
  <c r="N23"/>
  <c r="M23"/>
  <c r="L23"/>
  <c r="K23"/>
  <c r="J23"/>
  <c r="N22"/>
  <c r="M22"/>
  <c r="L22"/>
  <c r="K22"/>
  <c r="J22"/>
  <c r="N21"/>
  <c r="M21"/>
  <c r="L21"/>
  <c r="K21"/>
  <c r="J21"/>
  <c r="N20"/>
  <c r="M20"/>
  <c r="L20"/>
  <c r="K20"/>
  <c r="J20"/>
  <c r="N19"/>
  <c r="M19"/>
  <c r="L19"/>
  <c r="K19"/>
  <c r="J19"/>
  <c r="N18"/>
  <c r="M18"/>
  <c r="L18"/>
  <c r="K18"/>
  <c r="J18"/>
  <c r="N17"/>
  <c r="M17"/>
  <c r="L17"/>
  <c r="K17"/>
  <c r="J17"/>
  <c r="N16"/>
  <c r="M16"/>
  <c r="L16"/>
  <c r="K16"/>
  <c r="J16"/>
  <c r="N15"/>
  <c r="M15"/>
  <c r="L15"/>
  <c r="K15"/>
  <c r="J15"/>
  <c r="N14"/>
  <c r="M14"/>
  <c r="L14"/>
  <c r="K14"/>
  <c r="J14"/>
  <c r="N13"/>
  <c r="M13"/>
  <c r="L13"/>
  <c r="K13"/>
  <c r="J13"/>
  <c r="N12"/>
  <c r="M12"/>
  <c r="L12"/>
  <c r="K12"/>
  <c r="J12"/>
  <c r="N11"/>
  <c r="M11"/>
  <c r="L11"/>
  <c r="K11"/>
  <c r="J11"/>
  <c r="N10"/>
  <c r="M10"/>
  <c r="L10"/>
  <c r="K10"/>
  <c r="J10"/>
  <c r="N9"/>
  <c r="M9"/>
  <c r="L9"/>
  <c r="K9"/>
  <c r="J9"/>
  <c r="N8"/>
  <c r="M8"/>
  <c r="L8"/>
  <c r="K8"/>
  <c r="J8"/>
  <c r="N7"/>
  <c r="M7"/>
  <c r="L7"/>
  <c r="K7"/>
  <c r="J7"/>
  <c r="N6"/>
  <c r="M6"/>
  <c r="L6"/>
  <c r="K6"/>
  <c r="J6"/>
  <c r="L5"/>
  <c r="M5"/>
  <c r="N5"/>
  <c r="L3"/>
  <c r="M3"/>
  <c r="N3"/>
  <c r="K5"/>
  <c r="J5"/>
  <c r="K3"/>
  <c r="J3"/>
  <c r="N4"/>
  <c r="M4"/>
  <c r="L4"/>
  <c r="K4"/>
  <c r="J4"/>
  <c r="N2"/>
  <c r="K2" s="1"/>
  <c r="M2"/>
  <c r="L2"/>
  <c r="J2"/>
  <c r="N1"/>
  <c r="M1"/>
  <c r="L1"/>
  <c r="K1"/>
  <c r="J1"/>
  <c r="N28" i="24"/>
  <c r="M28"/>
  <c r="L28"/>
  <c r="K28"/>
  <c r="J28"/>
  <c r="N27"/>
  <c r="M27"/>
  <c r="L27"/>
  <c r="K27"/>
  <c r="J27"/>
  <c r="N26"/>
  <c r="M26"/>
  <c r="L26"/>
  <c r="K26"/>
  <c r="J26"/>
  <c r="N25"/>
  <c r="M25"/>
  <c r="L25"/>
  <c r="K25"/>
  <c r="J25"/>
  <c r="N24"/>
  <c r="M24"/>
  <c r="L24"/>
  <c r="K24"/>
  <c r="J24"/>
  <c r="N23"/>
  <c r="M23"/>
  <c r="L23"/>
  <c r="K23"/>
  <c r="J23"/>
  <c r="N22"/>
  <c r="M22"/>
  <c r="L22"/>
  <c r="K22"/>
  <c r="J22"/>
  <c r="N21"/>
  <c r="K21" s="1"/>
  <c r="M21"/>
  <c r="L21"/>
  <c r="J21"/>
  <c r="N20"/>
  <c r="M20"/>
  <c r="L20"/>
  <c r="K20"/>
  <c r="J20"/>
  <c r="N19"/>
  <c r="M19"/>
  <c r="L19"/>
  <c r="K19"/>
  <c r="J19"/>
  <c r="N18"/>
  <c r="M18"/>
  <c r="L18"/>
  <c r="K18"/>
  <c r="J18"/>
  <c r="N17"/>
  <c r="M17"/>
  <c r="L17"/>
  <c r="K17"/>
  <c r="J17"/>
  <c r="N16"/>
  <c r="M16"/>
  <c r="L16"/>
  <c r="K16"/>
  <c r="J16"/>
  <c r="N15"/>
  <c r="M15"/>
  <c r="L15"/>
  <c r="K15"/>
  <c r="J15"/>
  <c r="N14"/>
  <c r="M14"/>
  <c r="L14"/>
  <c r="K14"/>
  <c r="J14"/>
  <c r="N13"/>
  <c r="M13"/>
  <c r="L13"/>
  <c r="K13"/>
  <c r="J13"/>
  <c r="N12"/>
  <c r="M12"/>
  <c r="L12"/>
  <c r="K12"/>
  <c r="J12"/>
  <c r="N11"/>
  <c r="K11" s="1"/>
  <c r="M11"/>
  <c r="L11"/>
  <c r="J11"/>
  <c r="N10"/>
  <c r="M10"/>
  <c r="L10"/>
  <c r="K10"/>
  <c r="J10"/>
  <c r="N9"/>
  <c r="M9"/>
  <c r="L9"/>
  <c r="K9"/>
  <c r="J9"/>
  <c r="N8"/>
  <c r="M8"/>
  <c r="L8"/>
  <c r="K8"/>
  <c r="J8"/>
  <c r="N7"/>
  <c r="M7"/>
  <c r="L7"/>
  <c r="K7"/>
  <c r="J7"/>
  <c r="N6"/>
  <c r="M6"/>
  <c r="L6"/>
  <c r="K6"/>
  <c r="J6"/>
  <c r="N5"/>
  <c r="M5"/>
  <c r="L5"/>
  <c r="K5"/>
  <c r="J5"/>
  <c r="N4"/>
  <c r="M4"/>
  <c r="L4"/>
  <c r="K4"/>
  <c r="J4"/>
  <c r="L1"/>
  <c r="M1"/>
  <c r="N1"/>
  <c r="L3"/>
  <c r="M3"/>
  <c r="N3"/>
  <c r="L2"/>
  <c r="M2"/>
  <c r="N2"/>
  <c r="F24" i="25"/>
  <c r="E24"/>
  <c r="D24"/>
  <c r="C24"/>
  <c r="B24"/>
  <c r="F8"/>
  <c r="E8"/>
  <c r="F7"/>
  <c r="E7"/>
  <c r="F6"/>
  <c r="E6"/>
  <c r="F5"/>
  <c r="E5"/>
  <c r="F4"/>
  <c r="E4"/>
  <c r="F3"/>
  <c r="E3"/>
  <c r="F2"/>
  <c r="E2"/>
  <c r="F1"/>
  <c r="E1"/>
  <c r="F24" i="24"/>
  <c r="E24"/>
  <c r="D24"/>
  <c r="C24"/>
  <c r="B24"/>
  <c r="F8"/>
  <c r="E8"/>
  <c r="F7"/>
  <c r="E7"/>
  <c r="F6"/>
  <c r="E6"/>
  <c r="F5"/>
  <c r="E5"/>
  <c r="F4"/>
  <c r="E4"/>
  <c r="J3"/>
  <c r="F3"/>
  <c r="E3"/>
  <c r="K2"/>
  <c r="J2"/>
  <c r="F2"/>
  <c r="E2"/>
  <c r="K1"/>
  <c r="J1"/>
  <c r="F1"/>
  <c r="E1"/>
  <c r="N21" i="22"/>
  <c r="K21" s="1"/>
  <c r="M21"/>
  <c r="L21"/>
  <c r="J21"/>
  <c r="N20"/>
  <c r="M20"/>
  <c r="L20"/>
  <c r="K20"/>
  <c r="J20"/>
  <c r="N19"/>
  <c r="M19"/>
  <c r="L19"/>
  <c r="K19"/>
  <c r="J19"/>
  <c r="N18"/>
  <c r="M18"/>
  <c r="L18"/>
  <c r="K18"/>
  <c r="J18"/>
  <c r="N17"/>
  <c r="M17"/>
  <c r="L17"/>
  <c r="K17"/>
  <c r="J17"/>
  <c r="N16"/>
  <c r="M16"/>
  <c r="L16"/>
  <c r="K16"/>
  <c r="J16"/>
  <c r="N15"/>
  <c r="M15"/>
  <c r="L15"/>
  <c r="K15"/>
  <c r="J15"/>
  <c r="N14"/>
  <c r="M14"/>
  <c r="L14"/>
  <c r="K14"/>
  <c r="J14"/>
  <c r="N13"/>
  <c r="M13"/>
  <c r="L13"/>
  <c r="K13"/>
  <c r="J13"/>
  <c r="N12"/>
  <c r="M12"/>
  <c r="L12"/>
  <c r="K12"/>
  <c r="J12"/>
  <c r="N11"/>
  <c r="M11"/>
  <c r="L11"/>
  <c r="K11"/>
  <c r="J11"/>
  <c r="N10"/>
  <c r="M10"/>
  <c r="L10"/>
  <c r="K10"/>
  <c r="J10"/>
  <c r="N9"/>
  <c r="M9"/>
  <c r="L9"/>
  <c r="K9"/>
  <c r="J9"/>
  <c r="N8"/>
  <c r="M8"/>
  <c r="L8"/>
  <c r="K8"/>
  <c r="J8"/>
  <c r="N7"/>
  <c r="M7"/>
  <c r="L7"/>
  <c r="K7"/>
  <c r="J7"/>
  <c r="N6"/>
  <c r="M6"/>
  <c r="L6"/>
  <c r="K6"/>
  <c r="J6"/>
  <c r="N5"/>
  <c r="M5"/>
  <c r="L5"/>
  <c r="K5"/>
  <c r="J5"/>
  <c r="N4"/>
  <c r="M4"/>
  <c r="L4"/>
  <c r="K4"/>
  <c r="J4"/>
  <c r="N3"/>
  <c r="M3"/>
  <c r="L3"/>
  <c r="K3"/>
  <c r="J3"/>
  <c r="N2"/>
  <c r="M2"/>
  <c r="L2"/>
  <c r="K2"/>
  <c r="J2"/>
  <c r="N1"/>
  <c r="M1"/>
  <c r="L1"/>
  <c r="K1"/>
  <c r="J1"/>
  <c r="F24"/>
  <c r="E24"/>
  <c r="D24"/>
  <c r="C24"/>
  <c r="B24"/>
  <c r="F8"/>
  <c r="E8"/>
  <c r="F7"/>
  <c r="E7"/>
  <c r="F6"/>
  <c r="E6"/>
  <c r="F5"/>
  <c r="E5"/>
  <c r="F4"/>
  <c r="E4"/>
  <c r="F3"/>
  <c r="E3"/>
  <c r="F2"/>
  <c r="E2"/>
  <c r="F1"/>
  <c r="E1"/>
  <c r="N17" i="20"/>
  <c r="M17"/>
  <c r="L17"/>
  <c r="K17"/>
  <c r="J17"/>
  <c r="N16"/>
  <c r="M16"/>
  <c r="L16"/>
  <c r="K16"/>
  <c r="J16"/>
  <c r="N15"/>
  <c r="M15"/>
  <c r="L15"/>
  <c r="K15"/>
  <c r="J15"/>
  <c r="N14"/>
  <c r="M14"/>
  <c r="L14"/>
  <c r="K14"/>
  <c r="J14"/>
  <c r="N13"/>
  <c r="M13"/>
  <c r="L13"/>
  <c r="K13"/>
  <c r="J13"/>
  <c r="N12"/>
  <c r="M12"/>
  <c r="L12"/>
  <c r="K12"/>
  <c r="J12"/>
  <c r="N11"/>
  <c r="M11"/>
  <c r="L11"/>
  <c r="K11"/>
  <c r="J11"/>
  <c r="N10"/>
  <c r="M10"/>
  <c r="L10"/>
  <c r="K10"/>
  <c r="J10"/>
  <c r="N9"/>
  <c r="M9"/>
  <c r="L9"/>
  <c r="K9"/>
  <c r="J9"/>
  <c r="N8"/>
  <c r="M8"/>
  <c r="L8"/>
  <c r="K8"/>
  <c r="J8"/>
  <c r="N7"/>
  <c r="M7"/>
  <c r="L7"/>
  <c r="K7"/>
  <c r="J7"/>
  <c r="N6"/>
  <c r="M6"/>
  <c r="L6"/>
  <c r="K6"/>
  <c r="J6"/>
  <c r="N5"/>
  <c r="M5"/>
  <c r="L5"/>
  <c r="K5"/>
  <c r="J5"/>
  <c r="N4"/>
  <c r="M4"/>
  <c r="L4"/>
  <c r="K4"/>
  <c r="J4"/>
  <c r="N3"/>
  <c r="M3"/>
  <c r="L3"/>
  <c r="K3"/>
  <c r="J3"/>
  <c r="L2"/>
  <c r="M2"/>
  <c r="N2"/>
  <c r="F24"/>
  <c r="C24" s="1"/>
  <c r="E24"/>
  <c r="D24"/>
  <c r="B24"/>
  <c r="F8"/>
  <c r="E8"/>
  <c r="F7"/>
  <c r="E7"/>
  <c r="K2"/>
  <c r="J2"/>
  <c r="F6"/>
  <c r="E6"/>
  <c r="F5"/>
  <c r="E5"/>
  <c r="F4"/>
  <c r="E4"/>
  <c r="F3"/>
  <c r="E3"/>
  <c r="F2"/>
  <c r="E2"/>
  <c r="N1"/>
  <c r="K1" s="1"/>
  <c r="M1"/>
  <c r="L1"/>
  <c r="J1"/>
  <c r="F1"/>
  <c r="E1"/>
  <c r="N14" i="19"/>
  <c r="M14"/>
  <c r="L14"/>
  <c r="K14"/>
  <c r="J14"/>
  <c r="N13"/>
  <c r="M13"/>
  <c r="L13"/>
  <c r="K13"/>
  <c r="J13"/>
  <c r="N12"/>
  <c r="M12"/>
  <c r="L12"/>
  <c r="K12"/>
  <c r="J12"/>
  <c r="N11"/>
  <c r="M11"/>
  <c r="L11"/>
  <c r="K11"/>
  <c r="J11"/>
  <c r="N10"/>
  <c r="M10"/>
  <c r="L10"/>
  <c r="K10"/>
  <c r="J10"/>
  <c r="N9"/>
  <c r="M9"/>
  <c r="L9"/>
  <c r="K9"/>
  <c r="J9"/>
  <c r="N8"/>
  <c r="M8"/>
  <c r="L8"/>
  <c r="K8"/>
  <c r="J8"/>
  <c r="N7"/>
  <c r="M7"/>
  <c r="L7"/>
  <c r="K7"/>
  <c r="J7"/>
  <c r="N6"/>
  <c r="M6"/>
  <c r="L6"/>
  <c r="K6"/>
  <c r="J6"/>
  <c r="N5"/>
  <c r="M5"/>
  <c r="L5"/>
  <c r="K5"/>
  <c r="J5"/>
  <c r="N4"/>
  <c r="M4"/>
  <c r="L4"/>
  <c r="K4"/>
  <c r="J4"/>
  <c r="N3"/>
  <c r="M3"/>
  <c r="L3"/>
  <c r="K3"/>
  <c r="J3"/>
  <c r="N2"/>
  <c r="M2"/>
  <c r="L2"/>
  <c r="K2"/>
  <c r="J2"/>
  <c r="L1"/>
  <c r="M1"/>
  <c r="N1"/>
  <c r="F24"/>
  <c r="C24" s="1"/>
  <c r="E24"/>
  <c r="D24"/>
  <c r="B24"/>
  <c r="F8"/>
  <c r="E8"/>
  <c r="F7"/>
  <c r="E7"/>
  <c r="F6"/>
  <c r="E6"/>
  <c r="F5"/>
  <c r="E5"/>
  <c r="F4"/>
  <c r="E4"/>
  <c r="F3"/>
  <c r="E3"/>
  <c r="K1"/>
  <c r="J1"/>
  <c r="F2"/>
  <c r="E2"/>
  <c r="F1"/>
  <c r="E1"/>
  <c r="N13" i="16"/>
  <c r="M13"/>
  <c r="L13"/>
  <c r="K13"/>
  <c r="J13"/>
  <c r="N12"/>
  <c r="M12"/>
  <c r="L12"/>
  <c r="K12"/>
  <c r="J12"/>
  <c r="N11"/>
  <c r="M11"/>
  <c r="L11"/>
  <c r="K11"/>
  <c r="J11"/>
  <c r="N10"/>
  <c r="M10"/>
  <c r="L10"/>
  <c r="K10"/>
  <c r="J10"/>
  <c r="N9"/>
  <c r="M9"/>
  <c r="L9"/>
  <c r="K9"/>
  <c r="J9"/>
  <c r="N8"/>
  <c r="M8"/>
  <c r="L8"/>
  <c r="K8"/>
  <c r="J8"/>
  <c r="N7"/>
  <c r="M7"/>
  <c r="L7"/>
  <c r="K7"/>
  <c r="J7"/>
  <c r="N6"/>
  <c r="M6"/>
  <c r="L6"/>
  <c r="K6"/>
  <c r="J6"/>
  <c r="N5"/>
  <c r="M5"/>
  <c r="L5"/>
  <c r="K5"/>
  <c r="J5"/>
  <c r="N4"/>
  <c r="M4"/>
  <c r="L4"/>
  <c r="K4"/>
  <c r="J4"/>
  <c r="N3"/>
  <c r="M3"/>
  <c r="L3"/>
  <c r="K3"/>
  <c r="J3"/>
  <c r="N2"/>
  <c r="M2"/>
  <c r="L2"/>
  <c r="K2"/>
  <c r="J2"/>
  <c r="N1"/>
  <c r="M1"/>
  <c r="L1"/>
  <c r="K1"/>
  <c r="J1"/>
  <c r="F24"/>
  <c r="E24"/>
  <c r="D24"/>
  <c r="C24"/>
  <c r="B24"/>
  <c r="F8"/>
  <c r="E8"/>
  <c r="F7"/>
  <c r="E7"/>
  <c r="F6"/>
  <c r="E6"/>
  <c r="F5"/>
  <c r="E5"/>
  <c r="F4"/>
  <c r="E4"/>
  <c r="F3"/>
  <c r="E3"/>
  <c r="F2"/>
  <c r="E2"/>
  <c r="F1"/>
  <c r="E1"/>
  <c r="N13" i="15"/>
  <c r="M13"/>
  <c r="L13"/>
  <c r="K13"/>
  <c r="J13"/>
  <c r="N12"/>
  <c r="M12"/>
  <c r="L12"/>
  <c r="K12"/>
  <c r="J12"/>
  <c r="N11"/>
  <c r="M11"/>
  <c r="L11"/>
  <c r="K11"/>
  <c r="J11"/>
  <c r="N10"/>
  <c r="M10"/>
  <c r="L10"/>
  <c r="K10"/>
  <c r="J10"/>
  <c r="N9"/>
  <c r="K9" s="1"/>
  <c r="M9"/>
  <c r="L9"/>
  <c r="J9"/>
  <c r="N8"/>
  <c r="M8"/>
  <c r="L8"/>
  <c r="K8"/>
  <c r="J8"/>
  <c r="N7"/>
  <c r="M7"/>
  <c r="L7"/>
  <c r="K7"/>
  <c r="J7"/>
  <c r="N6"/>
  <c r="M6"/>
  <c r="L6"/>
  <c r="K6"/>
  <c r="J6"/>
  <c r="N5"/>
  <c r="M5"/>
  <c r="L5"/>
  <c r="K5"/>
  <c r="J5"/>
  <c r="N4"/>
  <c r="M4"/>
  <c r="L4"/>
  <c r="K4"/>
  <c r="J4"/>
  <c r="N3"/>
  <c r="M3"/>
  <c r="L3"/>
  <c r="K3"/>
  <c r="J3"/>
  <c r="N2"/>
  <c r="M2"/>
  <c r="L2"/>
  <c r="K2"/>
  <c r="J2"/>
  <c r="N1"/>
  <c r="M1"/>
  <c r="L1"/>
  <c r="K1"/>
  <c r="J1"/>
  <c r="F24"/>
  <c r="E24"/>
  <c r="D24"/>
  <c r="C24"/>
  <c r="B24"/>
  <c r="F8"/>
  <c r="E8"/>
  <c r="F7"/>
  <c r="E7"/>
  <c r="F6"/>
  <c r="E6"/>
  <c r="F5"/>
  <c r="E5"/>
  <c r="F4"/>
  <c r="E4"/>
  <c r="F3"/>
  <c r="E3"/>
  <c r="F2"/>
  <c r="E2"/>
  <c r="F1"/>
  <c r="E1"/>
  <c r="N12" i="14"/>
  <c r="M12"/>
  <c r="L12"/>
  <c r="K12"/>
  <c r="J12"/>
  <c r="N11"/>
  <c r="M11"/>
  <c r="L11"/>
  <c r="K11"/>
  <c r="J11"/>
  <c r="N10"/>
  <c r="M10"/>
  <c r="L10"/>
  <c r="K10"/>
  <c r="J10"/>
  <c r="N9"/>
  <c r="M9"/>
  <c r="L9"/>
  <c r="K9"/>
  <c r="J9"/>
  <c r="N8"/>
  <c r="M8"/>
  <c r="L8"/>
  <c r="K8"/>
  <c r="J8"/>
  <c r="N7"/>
  <c r="M7"/>
  <c r="L7"/>
  <c r="K7"/>
  <c r="J7"/>
  <c r="N6"/>
  <c r="M6"/>
  <c r="L6"/>
  <c r="K6"/>
  <c r="J6"/>
  <c r="N5"/>
  <c r="M5"/>
  <c r="L5"/>
  <c r="K5"/>
  <c r="J5"/>
  <c r="N4"/>
  <c r="M4"/>
  <c r="L4"/>
  <c r="K4"/>
  <c r="J4"/>
  <c r="N3"/>
  <c r="M3"/>
  <c r="L3"/>
  <c r="K3"/>
  <c r="J3"/>
  <c r="N2"/>
  <c r="M2"/>
  <c r="L2"/>
  <c r="K2"/>
  <c r="J2"/>
  <c r="N1"/>
  <c r="M1"/>
  <c r="L1"/>
  <c r="K1"/>
  <c r="J1"/>
  <c r="F24"/>
  <c r="E24"/>
  <c r="D24"/>
  <c r="C24"/>
  <c r="B24"/>
  <c r="F8"/>
  <c r="E8"/>
  <c r="F7"/>
  <c r="E7"/>
  <c r="F6"/>
  <c r="E6"/>
  <c r="F5"/>
  <c r="E5"/>
  <c r="F4"/>
  <c r="E4"/>
  <c r="F3"/>
  <c r="E3"/>
  <c r="F2"/>
  <c r="E2"/>
  <c r="F1"/>
  <c r="E1"/>
  <c r="N9" i="13"/>
  <c r="M9"/>
  <c r="L9"/>
  <c r="K9"/>
  <c r="J9"/>
  <c r="N8"/>
  <c r="M8"/>
  <c r="L8"/>
  <c r="K8"/>
  <c r="J8"/>
  <c r="N7"/>
  <c r="K7" s="1"/>
  <c r="M7"/>
  <c r="L7"/>
  <c r="J7"/>
  <c r="N6"/>
  <c r="M6"/>
  <c r="L6"/>
  <c r="K6"/>
  <c r="J6"/>
  <c r="N5"/>
  <c r="M5"/>
  <c r="L5"/>
  <c r="K5"/>
  <c r="J5"/>
  <c r="N4"/>
  <c r="M4"/>
  <c r="L4"/>
  <c r="K4"/>
  <c r="J4"/>
  <c r="N3"/>
  <c r="M3"/>
  <c r="L3"/>
  <c r="K3"/>
  <c r="J3"/>
  <c r="N2"/>
  <c r="M2"/>
  <c r="L2"/>
  <c r="K2"/>
  <c r="J2"/>
  <c r="N1"/>
  <c r="M1"/>
  <c r="L1"/>
  <c r="K1"/>
  <c r="J1"/>
  <c r="F24"/>
  <c r="C24" s="1"/>
  <c r="E24"/>
  <c r="D24"/>
  <c r="B24"/>
  <c r="F8"/>
  <c r="E8"/>
  <c r="F7"/>
  <c r="E7"/>
  <c r="F6"/>
  <c r="E6"/>
  <c r="F5"/>
  <c r="E5"/>
  <c r="F4"/>
  <c r="E4"/>
  <c r="F3"/>
  <c r="E3"/>
  <c r="F2"/>
  <c r="E2"/>
  <c r="F1"/>
  <c r="E1"/>
  <c r="N8" i="11"/>
  <c r="M8"/>
  <c r="L8"/>
  <c r="K8"/>
  <c r="J8"/>
  <c r="N7"/>
  <c r="M7"/>
  <c r="L7"/>
  <c r="K7"/>
  <c r="J7"/>
  <c r="N6"/>
  <c r="M6"/>
  <c r="L6"/>
  <c r="K6"/>
  <c r="J6"/>
  <c r="N5"/>
  <c r="K5" s="1"/>
  <c r="M5"/>
  <c r="L5"/>
  <c r="J5"/>
  <c r="N4"/>
  <c r="M4"/>
  <c r="L4"/>
  <c r="K4"/>
  <c r="J4"/>
  <c r="N3"/>
  <c r="M3"/>
  <c r="L3"/>
  <c r="K3"/>
  <c r="J3"/>
  <c r="N2"/>
  <c r="M2"/>
  <c r="L2"/>
  <c r="K2"/>
  <c r="J2"/>
  <c r="N1"/>
  <c r="M1"/>
  <c r="L1"/>
  <c r="K1"/>
  <c r="J1"/>
  <c r="F24"/>
  <c r="C24" s="1"/>
  <c r="E24"/>
  <c r="D24"/>
  <c r="B24"/>
  <c r="F8"/>
  <c r="E8"/>
  <c r="F7"/>
  <c r="E7"/>
  <c r="F6"/>
  <c r="E6"/>
  <c r="F5"/>
  <c r="E5"/>
  <c r="F4"/>
  <c r="E4"/>
  <c r="F3"/>
  <c r="E3"/>
  <c r="F2"/>
  <c r="E2"/>
  <c r="F1"/>
  <c r="E1"/>
  <c r="N6" i="10"/>
  <c r="M6"/>
  <c r="L6"/>
  <c r="K6"/>
  <c r="J6"/>
  <c r="N5"/>
  <c r="M5"/>
  <c r="L5"/>
  <c r="K5"/>
  <c r="J5"/>
  <c r="N4"/>
  <c r="M4"/>
  <c r="L4"/>
  <c r="K4"/>
  <c r="J4"/>
  <c r="N3"/>
  <c r="K3" s="1"/>
  <c r="M3"/>
  <c r="L3"/>
  <c r="J3"/>
  <c r="N2"/>
  <c r="K2" s="1"/>
  <c r="M2"/>
  <c r="L2"/>
  <c r="J2"/>
  <c r="N1"/>
  <c r="K1" s="1"/>
  <c r="M1"/>
  <c r="L1"/>
  <c r="J1"/>
  <c r="F24"/>
  <c r="E24"/>
  <c r="D24"/>
  <c r="C24"/>
  <c r="B24"/>
  <c r="F8"/>
  <c r="E8"/>
  <c r="F7"/>
  <c r="E7"/>
  <c r="F6"/>
  <c r="E6"/>
  <c r="F5"/>
  <c r="E5"/>
  <c r="F4"/>
  <c r="E4"/>
  <c r="F3"/>
  <c r="E3"/>
  <c r="F2"/>
  <c r="E2"/>
  <c r="F1"/>
  <c r="E1"/>
  <c r="N4" i="9"/>
  <c r="M4"/>
  <c r="L4"/>
  <c r="K4"/>
  <c r="J4"/>
  <c r="N3"/>
  <c r="M3"/>
  <c r="L3"/>
  <c r="K3"/>
  <c r="J3"/>
  <c r="N2"/>
  <c r="M2"/>
  <c r="L2"/>
  <c r="K2"/>
  <c r="J2"/>
  <c r="N1"/>
  <c r="M1"/>
  <c r="L1"/>
  <c r="K1"/>
  <c r="J1"/>
  <c r="F24"/>
  <c r="E24"/>
  <c r="D24"/>
  <c r="C24"/>
  <c r="B24"/>
  <c r="F8"/>
  <c r="E8"/>
  <c r="F7"/>
  <c r="E7"/>
  <c r="F6"/>
  <c r="E6"/>
  <c r="F5"/>
  <c r="E5"/>
  <c r="F4"/>
  <c r="E4"/>
  <c r="F3"/>
  <c r="E3"/>
  <c r="F2"/>
  <c r="E2"/>
  <c r="F1"/>
  <c r="E1"/>
  <c r="N2" i="8"/>
  <c r="N1"/>
  <c r="M2"/>
  <c r="M1"/>
  <c r="L2"/>
  <c r="L1"/>
  <c r="J1" s="1"/>
  <c r="K2"/>
  <c r="J2"/>
  <c r="K1"/>
  <c r="F23"/>
  <c r="E23"/>
  <c r="D23"/>
  <c r="B23" s="1"/>
  <c r="F8"/>
  <c r="E8"/>
  <c r="F7"/>
  <c r="E7"/>
  <c r="F6"/>
  <c r="E6"/>
  <c r="F5"/>
  <c r="E5"/>
  <c r="F4"/>
  <c r="E4"/>
  <c r="F3"/>
  <c r="E3"/>
  <c r="F2"/>
  <c r="E2"/>
  <c r="F1"/>
  <c r="E1"/>
  <c r="K21" i="39" l="1"/>
  <c r="K3" i="24"/>
  <c r="C23" i="8"/>
</calcChain>
</file>

<file path=xl/sharedStrings.xml><?xml version="1.0" encoding="utf-8"?>
<sst xmlns="http://schemas.openxmlformats.org/spreadsheetml/2006/main" count="4453" uniqueCount="271">
  <si>
    <t>club</t>
  </si>
  <si>
    <t>pts/pl</t>
  </si>
  <si>
    <t>dif/pl</t>
  </si>
  <si>
    <t>pts</t>
  </si>
  <si>
    <t>dif</t>
  </si>
  <si>
    <t>pl</t>
  </si>
  <si>
    <t>столбцы Results</t>
  </si>
  <si>
    <t>столбцы Standings</t>
  </si>
  <si>
    <t>Hgoals</t>
  </si>
  <si>
    <t>Agoals</t>
  </si>
  <si>
    <t>Hdif</t>
  </si>
  <si>
    <t>Adif</t>
  </si>
  <si>
    <t>Home</t>
  </si>
  <si>
    <t>Away</t>
  </si>
  <si>
    <t>запустить в MR расчет таблицы</t>
  </si>
  <si>
    <t>алго</t>
  </si>
  <si>
    <t>скопировав добавить пустые строки с формулами для новых:</t>
  </si>
  <si>
    <t>на столбец J</t>
  </si>
  <si>
    <t>поставить англ</t>
  </si>
  <si>
    <t xml:space="preserve">выделить столбец J и проверить/настроить сортировку: </t>
  </si>
  <si>
    <t>столбцы J и K, порядок по убыванию</t>
  </si>
  <si>
    <t>если верхняя строка останется пустой - поднять таблицу</t>
  </si>
  <si>
    <t>отключить puntoSwitcher (включается пуск/автоз)</t>
  </si>
  <si>
    <t xml:space="preserve">записать время или результаты матчей, </t>
  </si>
  <si>
    <t>stage</t>
  </si>
  <si>
    <t>1/2</t>
  </si>
  <si>
    <t>G6</t>
  </si>
  <si>
    <t>38</t>
  </si>
  <si>
    <t>4r</t>
  </si>
  <si>
    <t>F</t>
  </si>
  <si>
    <t>скопировать лист, поставить дату, стадии турниров</t>
  </si>
  <si>
    <t>записать участников матчей в соотв со столбцом I клубы,лого,флаги</t>
  </si>
  <si>
    <t>при 1-м заполнении fixtures заполнить standings участниками дня с 0</t>
  </si>
  <si>
    <t>проверить Ctrl+F: для 1 расчет таблицы... окно без параметров</t>
  </si>
  <si>
    <t xml:space="preserve">         для 2 Fixtures Standings.xtsk - окно с параметрами по значениям</t>
  </si>
  <si>
    <t>time/date</t>
  </si>
  <si>
    <t>...№</t>
  </si>
  <si>
    <t>tourn</t>
  </si>
  <si>
    <t>ChL</t>
  </si>
  <si>
    <t>EL</t>
  </si>
  <si>
    <t>ECL</t>
  </si>
  <si>
    <t>eng champ</t>
  </si>
  <si>
    <t>aut</t>
  </si>
  <si>
    <t>bel</t>
  </si>
  <si>
    <t>eng</t>
  </si>
  <si>
    <t>ESC</t>
  </si>
  <si>
    <t>esp</t>
  </si>
  <si>
    <t>fra</t>
  </si>
  <si>
    <t>ger</t>
  </si>
  <si>
    <t>ita</t>
  </si>
  <si>
    <t>ned</t>
  </si>
  <si>
    <t>por</t>
  </si>
  <si>
    <t>rus</t>
  </si>
  <si>
    <t>sco</t>
  </si>
  <si>
    <t>1/8</t>
  </si>
  <si>
    <t>1/4</t>
  </si>
  <si>
    <t>G1</t>
  </si>
  <si>
    <t>G2</t>
  </si>
  <si>
    <t>G3</t>
  </si>
  <si>
    <t>G4</t>
  </si>
  <si>
    <t>G5</t>
  </si>
  <si>
    <t>1r</t>
  </si>
  <si>
    <t>2r</t>
  </si>
  <si>
    <t>3r</t>
  </si>
  <si>
    <t>5</t>
  </si>
  <si>
    <t>15</t>
  </si>
  <si>
    <t>25</t>
  </si>
  <si>
    <t>35</t>
  </si>
  <si>
    <t xml:space="preserve"> champ</t>
  </si>
  <si>
    <t xml:space="preserve"> cup</t>
  </si>
  <si>
    <t xml:space="preserve"> scup</t>
  </si>
  <si>
    <t>esp cup</t>
  </si>
  <si>
    <t>fra scup</t>
  </si>
  <si>
    <t>ger champ</t>
  </si>
  <si>
    <t>fixt home league pos</t>
  </si>
  <si>
    <t>fixt home TL cur pos</t>
  </si>
  <si>
    <t>fixt away league pos</t>
  </si>
  <si>
    <t>fixt away TL cur pos</t>
  </si>
  <si>
    <t>2c</t>
  </si>
  <si>
    <t>p2</t>
  </si>
  <si>
    <t>p1</t>
  </si>
  <si>
    <t>p4</t>
  </si>
  <si>
    <t>01|08|21</t>
  </si>
  <si>
    <t>LOSC</t>
  </si>
  <si>
    <t>Paris</t>
  </si>
  <si>
    <t>Chelsea</t>
  </si>
  <si>
    <t>Villarreal</t>
  </si>
  <si>
    <t>11|08|21</t>
  </si>
  <si>
    <t>убрать галку мои данные сожержат заголовок</t>
  </si>
  <si>
    <t>Gladbach</t>
  </si>
  <si>
    <t>Bayern</t>
  </si>
  <si>
    <t>Monaco</t>
  </si>
  <si>
    <t>Shakhtar</t>
  </si>
  <si>
    <t>Dortmund</t>
  </si>
  <si>
    <t>Tottenham</t>
  </si>
  <si>
    <t>Man. City</t>
  </si>
  <si>
    <t>Granada</t>
  </si>
  <si>
    <t>1</t>
  </si>
  <si>
    <t>esp champ</t>
  </si>
  <si>
    <t>ger scup</t>
  </si>
  <si>
    <t>PO</t>
  </si>
  <si>
    <t>time</t>
  </si>
  <si>
    <t>date</t>
  </si>
  <si>
    <t>13|08|21</t>
  </si>
  <si>
    <t>15|08|21</t>
  </si>
  <si>
    <t>16|08|21</t>
  </si>
  <si>
    <t>17|08|21</t>
  </si>
  <si>
    <t>.</t>
  </si>
  <si>
    <t>p 8</t>
  </si>
  <si>
    <t>p 7</t>
  </si>
  <si>
    <t>p 3</t>
  </si>
  <si>
    <t>1 p</t>
  </si>
  <si>
    <t>9 p</t>
  </si>
  <si>
    <t>2 p</t>
  </si>
  <si>
    <t>Arsenal</t>
  </si>
  <si>
    <t>22|08|21</t>
  </si>
  <si>
    <t>25|08|21</t>
  </si>
  <si>
    <t>2</t>
  </si>
  <si>
    <t>p 2</t>
  </si>
  <si>
    <t>4 p</t>
  </si>
  <si>
    <t>3 p</t>
  </si>
  <si>
    <t>28|08|21</t>
  </si>
  <si>
    <t>29|08|21</t>
  </si>
  <si>
    <t>Liverpool</t>
  </si>
  <si>
    <t>Wolfsburg</t>
  </si>
  <si>
    <t>Leipzig</t>
  </si>
  <si>
    <t>Atlético</t>
  </si>
  <si>
    <t>3</t>
  </si>
  <si>
    <t>p 1</t>
  </si>
  <si>
    <t>p 4</t>
  </si>
  <si>
    <t>8 p</t>
  </si>
  <si>
    <t>7 p</t>
  </si>
  <si>
    <t>Shakhtar D</t>
  </si>
  <si>
    <t>записать участников матчей в соотв со столбцом I клубы,лого,ф</t>
  </si>
  <si>
    <t>при 1-м заполн fixt заполнить standings участниками дня с 0</t>
  </si>
  <si>
    <t xml:space="preserve">         для 2 Fixtures Standings.xtsk - окно с параметрами по знач</t>
  </si>
  <si>
    <t>отключить puntoSwitcher (включается пуск/автоз</t>
  </si>
  <si>
    <t>Sporting</t>
  </si>
  <si>
    <t>Porto</t>
  </si>
  <si>
    <t>Milan</t>
  </si>
  <si>
    <t>Lazio</t>
  </si>
  <si>
    <t>11|09|21</t>
  </si>
  <si>
    <t>12|09|21</t>
  </si>
  <si>
    <t>por champ</t>
  </si>
  <si>
    <t>ita champ</t>
  </si>
  <si>
    <t>4</t>
  </si>
  <si>
    <t>6 p</t>
  </si>
  <si>
    <t>для standings mov res: поставить перед расчетным листом</t>
  </si>
  <si>
    <t xml:space="preserve">   лист со сравниваемыми (прошлыми) позициями</t>
  </si>
  <si>
    <t xml:space="preserve">   с полными standings</t>
  </si>
  <si>
    <t>&gt;</t>
  </si>
  <si>
    <t>fixt home TL pos</t>
  </si>
  <si>
    <t>fixt away TL pos</t>
  </si>
  <si>
    <t>&lt;</t>
  </si>
  <si>
    <t>14|09|21</t>
  </si>
  <si>
    <t>Sevilla</t>
  </si>
  <si>
    <t>Salzburg</t>
  </si>
  <si>
    <t>Barcelona</t>
  </si>
  <si>
    <t>Zenit</t>
  </si>
  <si>
    <t>Dynamo K</t>
  </si>
  <si>
    <t>Benfica</t>
  </si>
  <si>
    <t>Atalanta</t>
  </si>
  <si>
    <t>Inter</t>
  </si>
  <si>
    <t>Real Madrid</t>
  </si>
  <si>
    <t>Ajax</t>
  </si>
  <si>
    <t>15|09|21</t>
  </si>
  <si>
    <t>19|09|21</t>
  </si>
  <si>
    <t>Juventus</t>
  </si>
  <si>
    <t>20|09|21</t>
  </si>
  <si>
    <t>22|09|21</t>
  </si>
  <si>
    <t>ukr scup</t>
  </si>
  <si>
    <t>Roma</t>
  </si>
  <si>
    <t>25|09|21</t>
  </si>
  <si>
    <t>26|09|21</t>
  </si>
  <si>
    <t>6</t>
  </si>
  <si>
    <t>7</t>
  </si>
  <si>
    <t>p 6</t>
  </si>
  <si>
    <t>28|09|21</t>
  </si>
  <si>
    <t>Man. United</t>
  </si>
  <si>
    <t>29|09|21</t>
  </si>
  <si>
    <t>но в окне с параметрами по формулам</t>
  </si>
  <si>
    <t>02|10|21</t>
  </si>
  <si>
    <t>8</t>
  </si>
  <si>
    <t>03|10|21</t>
  </si>
  <si>
    <t>ukr champ</t>
  </si>
  <si>
    <t>10</t>
  </si>
  <si>
    <t>p 9</t>
  </si>
  <si>
    <t>16|10|21</t>
  </si>
  <si>
    <t>17|10|21</t>
  </si>
  <si>
    <t>2 с</t>
  </si>
  <si>
    <t>1 с</t>
  </si>
  <si>
    <t>2 c</t>
  </si>
  <si>
    <t>11 c</t>
  </si>
  <si>
    <t>1 c</t>
  </si>
  <si>
    <t>19|10|21</t>
  </si>
  <si>
    <t>20|10|21</t>
  </si>
  <si>
    <t>21|10|21</t>
  </si>
  <si>
    <t>Marseille</t>
  </si>
  <si>
    <t>c 1</t>
  </si>
  <si>
    <t>c 2</t>
  </si>
  <si>
    <t>5 p</t>
  </si>
  <si>
    <t>10 c</t>
  </si>
  <si>
    <t>fra champ</t>
  </si>
  <si>
    <t>9</t>
  </si>
  <si>
    <t>11</t>
  </si>
  <si>
    <t>24|10|21</t>
  </si>
  <si>
    <t>c 3</t>
  </si>
  <si>
    <t>3 с</t>
  </si>
  <si>
    <t>27|10|21</t>
  </si>
  <si>
    <t>ger cup</t>
  </si>
  <si>
    <t>30|10|21</t>
  </si>
  <si>
    <t>31|10|21</t>
  </si>
  <si>
    <t>8 c</t>
  </si>
  <si>
    <t>4 c</t>
  </si>
  <si>
    <t>Betis</t>
  </si>
  <si>
    <t>12</t>
  </si>
  <si>
    <t>с 6</t>
  </si>
  <si>
    <t>4 с</t>
  </si>
  <si>
    <t>с 5</t>
  </si>
  <si>
    <t>6 с</t>
  </si>
  <si>
    <t>с 4</t>
  </si>
  <si>
    <t>7 c</t>
  </si>
  <si>
    <t>6 c</t>
  </si>
  <si>
    <t>13 c</t>
  </si>
  <si>
    <t>9 c</t>
  </si>
  <si>
    <t>3 c</t>
  </si>
  <si>
    <t>5 c</t>
  </si>
  <si>
    <t>18 c</t>
  </si>
  <si>
    <t>12 c</t>
  </si>
  <si>
    <t>02|11|21</t>
  </si>
  <si>
    <t>03|11|21</t>
  </si>
  <si>
    <t>04|11|21</t>
  </si>
  <si>
    <t>c 5</t>
  </si>
  <si>
    <t>c 9</t>
  </si>
  <si>
    <t>c 8</t>
  </si>
  <si>
    <t>14 c</t>
  </si>
  <si>
    <t>06|11|21</t>
  </si>
  <si>
    <t>07|11|21</t>
  </si>
  <si>
    <t>Freiburg</t>
  </si>
  <si>
    <t>West Ham</t>
  </si>
  <si>
    <t>c 4</t>
  </si>
  <si>
    <t>17 c</t>
  </si>
  <si>
    <t>20|11|21</t>
  </si>
  <si>
    <t>21|11|21</t>
  </si>
  <si>
    <t>Napoli</t>
  </si>
  <si>
    <t>13</t>
  </si>
  <si>
    <t>c 17</t>
  </si>
  <si>
    <t xml:space="preserve"> 2-7</t>
  </si>
  <si>
    <t>23|11|21</t>
  </si>
  <si>
    <t>24|11|21</t>
  </si>
  <si>
    <t>0.71-0.29</t>
  </si>
  <si>
    <t>1.14-0.71</t>
  </si>
  <si>
    <t>1.75-1.38</t>
  </si>
  <si>
    <t>2.00-1.63</t>
  </si>
  <si>
    <t>2.30-2.00</t>
  </si>
  <si>
    <t>0.80-0.20</t>
  </si>
  <si>
    <t>2.38-2.00</t>
  </si>
  <si>
    <t>1.86-1.43</t>
  </si>
  <si>
    <t>2.50-2.13</t>
  </si>
  <si>
    <t>1.83-1.33</t>
  </si>
  <si>
    <t>1.50-1.20</t>
  </si>
  <si>
    <t>1.50-1.00</t>
  </si>
  <si>
    <t>0.86-0.43</t>
  </si>
  <si>
    <t xml:space="preserve"> 16-25</t>
  </si>
  <si>
    <t xml:space="preserve"> 3-11</t>
  </si>
  <si>
    <t xml:space="preserve"> 7-14</t>
  </si>
  <si>
    <t xml:space="preserve"> 22-31</t>
  </si>
  <si>
    <t xml:space="preserve"> 2-4</t>
  </si>
  <si>
    <t xml:space="preserve"> 9-15</t>
  </si>
  <si>
    <t xml:space="preserve"> 9-20</t>
  </si>
  <si>
    <t>c 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</si>
</sst>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49" fontId="0" fillId="3" borderId="0" xfId="0" applyNumberFormat="1" applyFill="1"/>
    <xf numFmtId="14" fontId="0" fillId="3" borderId="0" xfId="0" applyNumberFormat="1" applyFill="1" applyAlignment="1"/>
    <xf numFmtId="0" fontId="0" fillId="3" borderId="0" xfId="0" applyFill="1"/>
    <xf numFmtId="0" fontId="0" fillId="3" borderId="0" xfId="0" applyFill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/>
    <xf numFmtId="49" fontId="0" fillId="2" borderId="1" xfId="0" applyNumberFormat="1" applyFill="1" applyBorder="1"/>
    <xf numFmtId="49" fontId="0" fillId="0" borderId="0" xfId="0" applyNumberFormat="1"/>
    <xf numFmtId="0" fontId="0" fillId="0" borderId="0" xfId="0" applyFill="1"/>
    <xf numFmtId="14" fontId="0" fillId="0" borderId="0" xfId="0" applyNumberFormat="1" applyFill="1" applyBorder="1" applyAlignment="1"/>
    <xf numFmtId="14" fontId="0" fillId="2" borderId="0" xfId="0" applyNumberFormat="1" applyFill="1" applyAlignment="1"/>
    <xf numFmtId="49" fontId="0" fillId="3" borderId="1" xfId="0" applyNumberFormat="1" applyFill="1" applyBorder="1"/>
    <xf numFmtId="49" fontId="0" fillId="0" borderId="0" xfId="0" applyNumberFormat="1" applyAlignment="1">
      <alignment horizontal="center"/>
    </xf>
    <xf numFmtId="0" fontId="0" fillId="2" borderId="1" xfId="0" applyFill="1" applyBorder="1" applyAlignment="1"/>
    <xf numFmtId="0" fontId="0" fillId="0" borderId="0" xfId="0" applyFill="1" applyAlignment="1">
      <alignment horizontal="left"/>
    </xf>
    <xf numFmtId="2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99"/>
  <sheetViews>
    <sheetView zoomScale="90" zoomScaleNormal="90" workbookViewId="0">
      <selection activeCell="P14" sqref="P14"/>
    </sheetView>
  </sheetViews>
  <sheetFormatPr defaultRowHeight="15"/>
  <cols>
    <col min="1" max="2" width="14.28515625" customWidth="1"/>
    <col min="3" max="6" width="5.7109375" style="1" customWidth="1"/>
    <col min="7" max="7" width="12" customWidth="1"/>
    <col min="8" max="8" width="2.140625" style="8" customWidth="1"/>
    <col min="9" max="9" width="14.28515625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1.85546875" customWidth="1"/>
    <col min="26" max="26" width="2.140625" style="8" customWidth="1"/>
    <col min="27" max="28" width="6.5703125" style="1" customWidth="1"/>
    <col min="29" max="29" width="2.140625" style="8" customWidth="1"/>
    <col min="30" max="31" width="6.42578125" style="1" customWidth="1"/>
    <col min="32" max="32" width="2.140625" style="8" customWidth="1"/>
    <col min="33" max="33" width="6.42578125" style="1" customWidth="1"/>
    <col min="34" max="34" width="2.140625" style="8" customWidth="1"/>
  </cols>
  <sheetData>
    <row r="1" spans="1:33">
      <c r="A1" s="4" t="s">
        <v>83</v>
      </c>
      <c r="B1" s="4" t="s">
        <v>84</v>
      </c>
      <c r="C1" s="5">
        <v>1</v>
      </c>
      <c r="D1" s="5">
        <v>0</v>
      </c>
      <c r="E1" s="1">
        <f>C1-D1</f>
        <v>1</v>
      </c>
      <c r="F1" s="1">
        <f>D1-C1</f>
        <v>-1</v>
      </c>
      <c r="G1" s="10">
        <v>0.79166666666666663</v>
      </c>
      <c r="H1" s="6"/>
      <c r="I1" t="s">
        <v>83</v>
      </c>
      <c r="J1" s="2">
        <f t="shared" ref="J1" si="0">(L1/N1)*IF(N1&gt;5,1,IF(N1=5,0.9,IF(N1=4,0.8,0.7)))</f>
        <v>2.0999999999999996</v>
      </c>
      <c r="K1" s="2">
        <f t="shared" ref="K1" si="1">M1/N1</f>
        <v>1</v>
      </c>
      <c r="L1" s="1">
        <f>0+3</f>
        <v>3</v>
      </c>
      <c r="M1" s="1">
        <f>0+1</f>
        <v>1</v>
      </c>
      <c r="N1" s="1">
        <f>0+1</f>
        <v>1</v>
      </c>
      <c r="W1" s="1">
        <v>1</v>
      </c>
      <c r="X1" s="12" t="s">
        <v>25</v>
      </c>
      <c r="Y1" s="4" t="s">
        <v>38</v>
      </c>
      <c r="AA1" s="1" t="s">
        <v>79</v>
      </c>
      <c r="AB1" s="1" t="s">
        <v>78</v>
      </c>
      <c r="AD1" s="1">
        <v>2</v>
      </c>
      <c r="AE1" s="1">
        <v>34</v>
      </c>
    </row>
    <row r="2" spans="1:33">
      <c r="A2" s="4"/>
      <c r="B2" s="4"/>
      <c r="C2" s="5"/>
      <c r="D2" s="5"/>
      <c r="E2" s="1">
        <f t="shared" ref="E2:E8" si="2">C2-D2</f>
        <v>0</v>
      </c>
      <c r="F2" s="1">
        <f t="shared" ref="F2:F8" si="3">D2-C2</f>
        <v>0</v>
      </c>
      <c r="G2" s="10"/>
      <c r="H2" s="6"/>
      <c r="I2" t="s">
        <v>84</v>
      </c>
      <c r="J2" s="2">
        <f t="shared" ref="J2" si="4">(L2/N2)*IF(N2&gt;5,1,IF(N2=5,0.9,IF(N2=4,0.8,0.7)))</f>
        <v>0</v>
      </c>
      <c r="K2" s="2">
        <f t="shared" ref="K2" si="5">M2/N2</f>
        <v>-1</v>
      </c>
      <c r="L2" s="1">
        <f>0+0</f>
        <v>0</v>
      </c>
      <c r="M2" s="1">
        <f>0-1</f>
        <v>-1</v>
      </c>
      <c r="N2" s="1">
        <f>0+1</f>
        <v>1</v>
      </c>
      <c r="W2" s="1">
        <v>2</v>
      </c>
      <c r="X2" s="12" t="s">
        <v>26</v>
      </c>
      <c r="Y2" s="4" t="s">
        <v>41</v>
      </c>
      <c r="AA2" s="1" t="s">
        <v>80</v>
      </c>
    </row>
    <row r="3" spans="1:33">
      <c r="A3" s="4"/>
      <c r="B3" s="4"/>
      <c r="C3" s="5"/>
      <c r="D3" s="5"/>
      <c r="E3" s="1">
        <f t="shared" si="2"/>
        <v>0</v>
      </c>
      <c r="F3" s="1">
        <f t="shared" si="3"/>
        <v>0</v>
      </c>
      <c r="G3" s="10"/>
      <c r="H3" s="6"/>
      <c r="W3" s="1">
        <v>3</v>
      </c>
      <c r="X3" s="12" t="s">
        <v>27</v>
      </c>
      <c r="Y3" s="4" t="s">
        <v>39</v>
      </c>
      <c r="AA3" s="1" t="s">
        <v>80</v>
      </c>
    </row>
    <row r="4" spans="1:33">
      <c r="A4" s="4"/>
      <c r="B4" s="4"/>
      <c r="C4" s="5"/>
      <c r="D4" s="5"/>
      <c r="E4" s="1">
        <f t="shared" si="2"/>
        <v>0</v>
      </c>
      <c r="F4" s="1">
        <f t="shared" si="3"/>
        <v>0</v>
      </c>
      <c r="G4" s="10"/>
      <c r="H4" s="6"/>
      <c r="W4" s="1">
        <v>4</v>
      </c>
      <c r="X4" s="12" t="s">
        <v>28</v>
      </c>
      <c r="Y4" s="4" t="s">
        <v>71</v>
      </c>
      <c r="AA4" s="1" t="s">
        <v>81</v>
      </c>
    </row>
    <row r="5" spans="1:33">
      <c r="A5" s="4"/>
      <c r="B5" s="4"/>
      <c r="C5" s="5"/>
      <c r="D5" s="5"/>
      <c r="E5" s="1">
        <f t="shared" si="2"/>
        <v>0</v>
      </c>
      <c r="F5" s="1">
        <f t="shared" si="3"/>
        <v>0</v>
      </c>
      <c r="G5" s="5"/>
      <c r="H5" s="6"/>
      <c r="W5" s="1">
        <v>5</v>
      </c>
      <c r="X5" s="12" t="s">
        <v>29</v>
      </c>
      <c r="Y5" s="4" t="s">
        <v>40</v>
      </c>
    </row>
    <row r="6" spans="1:33">
      <c r="A6" s="4"/>
      <c r="B6" s="4"/>
      <c r="C6" s="5"/>
      <c r="D6" s="5"/>
      <c r="E6" s="1">
        <f t="shared" si="2"/>
        <v>0</v>
      </c>
      <c r="F6" s="1">
        <f t="shared" si="3"/>
        <v>0</v>
      </c>
      <c r="G6" s="5"/>
      <c r="H6" s="6"/>
      <c r="W6" s="1">
        <v>6</v>
      </c>
      <c r="X6" s="12" t="s">
        <v>27</v>
      </c>
      <c r="Y6" s="4" t="s">
        <v>72</v>
      </c>
    </row>
    <row r="7" spans="1:33">
      <c r="A7" s="4"/>
      <c r="B7" s="4"/>
      <c r="C7" s="5"/>
      <c r="D7" s="5"/>
      <c r="E7" s="1">
        <f t="shared" si="2"/>
        <v>0</v>
      </c>
      <c r="F7" s="1">
        <f t="shared" si="3"/>
        <v>0</v>
      </c>
      <c r="G7" s="5"/>
      <c r="H7" s="6"/>
      <c r="W7" s="1">
        <v>7</v>
      </c>
      <c r="X7" s="12" t="s">
        <v>28</v>
      </c>
      <c r="Y7" s="4" t="s">
        <v>73</v>
      </c>
    </row>
    <row r="8" spans="1:33">
      <c r="A8" s="4"/>
      <c r="B8" s="4"/>
      <c r="C8" s="5"/>
      <c r="D8" s="5"/>
      <c r="E8" s="1">
        <f t="shared" si="2"/>
        <v>0</v>
      </c>
      <c r="F8" s="1">
        <f t="shared" si="3"/>
        <v>0</v>
      </c>
      <c r="G8" s="5"/>
      <c r="H8" s="6"/>
      <c r="W8" s="1">
        <v>8</v>
      </c>
      <c r="X8" s="12"/>
      <c r="Y8" s="4"/>
    </row>
    <row r="9" spans="1:33">
      <c r="A9" t="s">
        <v>6</v>
      </c>
      <c r="C9"/>
      <c r="D9"/>
      <c r="E9"/>
      <c r="F9"/>
      <c r="G9" s="11" t="s">
        <v>82</v>
      </c>
      <c r="H9" s="7"/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 t="s">
        <v>75</v>
      </c>
      <c r="AE9" s="3" t="s">
        <v>77</v>
      </c>
      <c r="AG9" s="3"/>
    </row>
    <row r="10" spans="1:33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35</v>
      </c>
      <c r="W10" s="1">
        <v>10</v>
      </c>
      <c r="X10" s="13" t="s">
        <v>54</v>
      </c>
      <c r="Y10" t="s">
        <v>38</v>
      </c>
    </row>
    <row r="11" spans="1:33">
      <c r="A11" t="s">
        <v>7</v>
      </c>
      <c r="C11"/>
      <c r="D11"/>
      <c r="E11"/>
      <c r="F11"/>
      <c r="W11" s="1">
        <v>11</v>
      </c>
      <c r="X11" s="13" t="s">
        <v>55</v>
      </c>
      <c r="Y11" t="s">
        <v>39</v>
      </c>
    </row>
    <row r="12" spans="1:33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W12" s="1">
        <v>12</v>
      </c>
      <c r="X12" s="13" t="s">
        <v>25</v>
      </c>
      <c r="Y12" t="s">
        <v>40</v>
      </c>
    </row>
    <row r="13" spans="1:33">
      <c r="A13" t="s">
        <v>15</v>
      </c>
      <c r="C13"/>
      <c r="D13"/>
      <c r="E13"/>
      <c r="F13"/>
      <c r="W13" s="1">
        <v>13</v>
      </c>
      <c r="X13" s="13" t="s">
        <v>29</v>
      </c>
      <c r="Y13" t="s">
        <v>45</v>
      </c>
    </row>
    <row r="14" spans="1:33">
      <c r="A14" s="3" t="s">
        <v>30</v>
      </c>
      <c r="C14"/>
      <c r="D14"/>
      <c r="E14"/>
      <c r="F14"/>
      <c r="W14" s="1">
        <v>14</v>
      </c>
      <c r="X14" s="13" t="s">
        <v>56</v>
      </c>
      <c r="Y14" t="s">
        <v>42</v>
      </c>
    </row>
    <row r="15" spans="1:33">
      <c r="A15" t="s">
        <v>31</v>
      </c>
      <c r="C15"/>
      <c r="D15"/>
      <c r="E15"/>
      <c r="F15"/>
      <c r="W15" s="1">
        <v>15</v>
      </c>
      <c r="X15" s="13" t="s">
        <v>57</v>
      </c>
      <c r="Y15" t="s">
        <v>43</v>
      </c>
    </row>
    <row r="16" spans="1:33">
      <c r="A16" t="s">
        <v>23</v>
      </c>
      <c r="C16"/>
      <c r="D16"/>
      <c r="E16"/>
      <c r="F16"/>
      <c r="W16" s="1">
        <v>16</v>
      </c>
      <c r="X16" s="13" t="s">
        <v>58</v>
      </c>
      <c r="Y16" t="s">
        <v>44</v>
      </c>
    </row>
    <row r="17" spans="1:25">
      <c r="A17" t="s">
        <v>32</v>
      </c>
      <c r="W17" s="1">
        <v>17</v>
      </c>
      <c r="X17" s="13" t="s">
        <v>59</v>
      </c>
      <c r="Y17" t="s">
        <v>46</v>
      </c>
    </row>
    <row r="18" spans="1:25">
      <c r="A18" t="s">
        <v>33</v>
      </c>
      <c r="C18"/>
      <c r="D18"/>
      <c r="E18"/>
      <c r="F18"/>
      <c r="W18" s="1">
        <v>18</v>
      </c>
      <c r="X18" s="13" t="s">
        <v>60</v>
      </c>
      <c r="Y18" t="s">
        <v>47</v>
      </c>
    </row>
    <row r="19" spans="1:25">
      <c r="A19" t="s">
        <v>34</v>
      </c>
      <c r="W19" s="1">
        <v>19</v>
      </c>
      <c r="X19" s="13" t="s">
        <v>26</v>
      </c>
      <c r="Y19" t="s">
        <v>48</v>
      </c>
    </row>
    <row r="20" spans="1:25">
      <c r="A20" t="s">
        <v>19</v>
      </c>
      <c r="W20" s="1">
        <v>20</v>
      </c>
      <c r="X20" s="13" t="s">
        <v>61</v>
      </c>
      <c r="Y20" t="s">
        <v>49</v>
      </c>
    </row>
    <row r="21" spans="1:25">
      <c r="B21" t="s">
        <v>20</v>
      </c>
      <c r="W21" s="1">
        <v>21</v>
      </c>
      <c r="X21" s="13" t="s">
        <v>62</v>
      </c>
      <c r="Y21" t="s">
        <v>50</v>
      </c>
    </row>
    <row r="22" spans="1:25">
      <c r="A22" t="s">
        <v>16</v>
      </c>
      <c r="C22"/>
      <c r="D22"/>
      <c r="E22"/>
      <c r="F22"/>
      <c r="W22" s="1">
        <v>22</v>
      </c>
      <c r="X22" s="13" t="s">
        <v>63</v>
      </c>
      <c r="Y22" t="s">
        <v>51</v>
      </c>
    </row>
    <row r="23" spans="1:25">
      <c r="A23" t="s">
        <v>17</v>
      </c>
      <c r="B23" s="2" t="e">
        <f t="shared" ref="B23" si="6">(D23/F23)*IF(F23&gt;5,1,IF(F23=5,0.9,IF(F23=4,0.8,0.7)))</f>
        <v>#DIV/0!</v>
      </c>
      <c r="C23" s="2" t="e">
        <f t="shared" ref="C23" si="7">E23/F23</f>
        <v>#DIV/0!</v>
      </c>
      <c r="D23" s="1">
        <f>0</f>
        <v>0</v>
      </c>
      <c r="E23" s="1">
        <f>0</f>
        <v>0</v>
      </c>
      <c r="F23" s="1">
        <f>0</f>
        <v>0</v>
      </c>
      <c r="W23" s="1">
        <v>23</v>
      </c>
      <c r="X23" s="13" t="s">
        <v>28</v>
      </c>
      <c r="Y23" t="s">
        <v>52</v>
      </c>
    </row>
    <row r="24" spans="1:25">
      <c r="A24" t="s">
        <v>18</v>
      </c>
      <c r="B24" t="s">
        <v>22</v>
      </c>
      <c r="W24" s="1">
        <v>24</v>
      </c>
      <c r="X24" s="13" t="s">
        <v>64</v>
      </c>
      <c r="Y24" t="s">
        <v>53</v>
      </c>
    </row>
    <row r="25" spans="1:25">
      <c r="A25" t="s">
        <v>14</v>
      </c>
      <c r="W25" s="1">
        <v>25</v>
      </c>
      <c r="X25" s="13" t="s">
        <v>65</v>
      </c>
      <c r="Y25" t="s">
        <v>68</v>
      </c>
    </row>
    <row r="26" spans="1:25">
      <c r="A26" t="s">
        <v>21</v>
      </c>
      <c r="W26" s="1">
        <v>26</v>
      </c>
      <c r="X26" s="13" t="s">
        <v>66</v>
      </c>
      <c r="Y26" t="s">
        <v>69</v>
      </c>
    </row>
    <row r="27" spans="1:25">
      <c r="W27" s="1">
        <v>27</v>
      </c>
      <c r="X27" s="13" t="s">
        <v>67</v>
      </c>
      <c r="Y27" t="s">
        <v>70</v>
      </c>
    </row>
    <row r="28" spans="1:25">
      <c r="W28" s="1">
        <v>28</v>
      </c>
    </row>
    <row r="29" spans="1:25">
      <c r="W29" s="1">
        <v>29</v>
      </c>
    </row>
    <row r="30" spans="1:25">
      <c r="W30" s="1">
        <v>30</v>
      </c>
    </row>
    <row r="31" spans="1:25">
      <c r="W31" s="1">
        <v>31</v>
      </c>
    </row>
    <row r="32" spans="1:25">
      <c r="W32" s="1">
        <v>32</v>
      </c>
    </row>
    <row r="33" spans="23:23">
      <c r="W33" s="1">
        <v>33</v>
      </c>
    </row>
    <row r="34" spans="23:23">
      <c r="W34" s="1">
        <v>34</v>
      </c>
    </row>
    <row r="35" spans="23:23">
      <c r="W35" s="1">
        <v>35</v>
      </c>
    </row>
    <row r="36" spans="23:23">
      <c r="W36" s="1">
        <v>36</v>
      </c>
    </row>
    <row r="37" spans="23:23">
      <c r="W37" s="1">
        <v>37</v>
      </c>
    </row>
    <row r="38" spans="23:23">
      <c r="W38" s="1">
        <v>38</v>
      </c>
    </row>
    <row r="39" spans="23:23">
      <c r="W39" s="1">
        <v>39</v>
      </c>
    </row>
    <row r="40" spans="23:23">
      <c r="W40" s="1">
        <v>40</v>
      </c>
    </row>
    <row r="41" spans="23:23">
      <c r="W41" s="1">
        <v>41</v>
      </c>
    </row>
    <row r="42" spans="23:23">
      <c r="W42" s="1">
        <v>42</v>
      </c>
    </row>
    <row r="43" spans="23:23">
      <c r="W43" s="1">
        <v>43</v>
      </c>
    </row>
    <row r="44" spans="23:23">
      <c r="W44" s="1">
        <v>44</v>
      </c>
    </row>
    <row r="45" spans="23:23">
      <c r="W45" s="1">
        <v>45</v>
      </c>
    </row>
    <row r="46" spans="23:23">
      <c r="W46" s="1">
        <v>46</v>
      </c>
    </row>
    <row r="47" spans="23:23">
      <c r="W47" s="1">
        <v>47</v>
      </c>
    </row>
    <row r="48" spans="23:23">
      <c r="W48" s="1">
        <v>48</v>
      </c>
    </row>
    <row r="49" spans="23:23">
      <c r="W49" s="1">
        <v>49</v>
      </c>
    </row>
    <row r="50" spans="23:23">
      <c r="W50" s="1">
        <v>50</v>
      </c>
    </row>
    <row r="51" spans="23:23">
      <c r="W51" s="1">
        <v>51</v>
      </c>
    </row>
    <row r="52" spans="23:23">
      <c r="W52" s="1">
        <v>52</v>
      </c>
    </row>
    <row r="53" spans="23:23">
      <c r="W53" s="1">
        <v>53</v>
      </c>
    </row>
    <row r="54" spans="23:23">
      <c r="W54" s="1">
        <v>54</v>
      </c>
    </row>
    <row r="55" spans="23:23">
      <c r="W55" s="1">
        <v>55</v>
      </c>
    </row>
    <row r="56" spans="23:23">
      <c r="W56" s="1">
        <v>56</v>
      </c>
    </row>
    <row r="57" spans="23:23">
      <c r="W57" s="1">
        <v>57</v>
      </c>
    </row>
    <row r="58" spans="23:23">
      <c r="W58" s="1">
        <v>58</v>
      </c>
    </row>
    <row r="59" spans="23:23">
      <c r="W59" s="1">
        <v>59</v>
      </c>
    </row>
    <row r="60" spans="23:23">
      <c r="W60" s="1">
        <v>60</v>
      </c>
    </row>
    <row r="61" spans="23:23">
      <c r="W61" s="1">
        <v>61</v>
      </c>
    </row>
    <row r="62" spans="23:23">
      <c r="W62" s="1">
        <v>62</v>
      </c>
    </row>
    <row r="63" spans="23:23">
      <c r="W63" s="1">
        <v>63</v>
      </c>
    </row>
    <row r="64" spans="23:23">
      <c r="W64" s="1">
        <v>64</v>
      </c>
    </row>
    <row r="65" spans="23:23">
      <c r="W65" s="1">
        <v>65</v>
      </c>
    </row>
    <row r="66" spans="23:23">
      <c r="W66" s="1">
        <v>66</v>
      </c>
    </row>
    <row r="67" spans="23:23">
      <c r="W67" s="1">
        <v>67</v>
      </c>
    </row>
    <row r="68" spans="23:23">
      <c r="W68" s="1">
        <v>68</v>
      </c>
    </row>
    <row r="69" spans="23:23">
      <c r="W69" s="1">
        <v>69</v>
      </c>
    </row>
    <row r="70" spans="23:23">
      <c r="W70" s="1">
        <v>70</v>
      </c>
    </row>
    <row r="71" spans="23:23">
      <c r="W71" s="1">
        <v>71</v>
      </c>
    </row>
    <row r="72" spans="23:23">
      <c r="W72" s="1">
        <v>72</v>
      </c>
    </row>
    <row r="73" spans="23:23">
      <c r="W73" s="1">
        <v>73</v>
      </c>
    </row>
    <row r="74" spans="23:23">
      <c r="W74" s="1">
        <v>74</v>
      </c>
    </row>
    <row r="75" spans="23:23">
      <c r="W75" s="1">
        <v>75</v>
      </c>
    </row>
    <row r="76" spans="23:23">
      <c r="W76" s="1">
        <v>76</v>
      </c>
    </row>
    <row r="77" spans="23:23">
      <c r="W77" s="1">
        <v>77</v>
      </c>
    </row>
    <row r="78" spans="23:23">
      <c r="W78" s="1">
        <v>78</v>
      </c>
    </row>
    <row r="79" spans="23:23">
      <c r="W79" s="1">
        <v>79</v>
      </c>
    </row>
    <row r="80" spans="23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sortState ref="I1:N99">
    <sortCondition descending="1" ref="J1:J24"/>
    <sortCondition descending="1" ref="K1:K2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I99"/>
  <sheetViews>
    <sheetView zoomScale="73" zoomScaleNormal="73" workbookViewId="0">
      <selection activeCell="N28" sqref="N28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6.5703125" style="1" customWidth="1"/>
    <col min="29" max="29" width="2.140625" style="8" customWidth="1"/>
    <col min="30" max="31" width="6.42578125" style="1" customWidth="1"/>
    <col min="32" max="32" width="2.140625" style="8" customWidth="1"/>
    <col min="33" max="33" width="6.42578125" style="1" customWidth="1"/>
    <col min="34" max="34" width="2.140625" style="8" customWidth="1"/>
    <col min="35" max="35" width="9.7109375" customWidth="1"/>
  </cols>
  <sheetData>
    <row r="1" spans="1:35">
      <c r="A1" s="4" t="s">
        <v>124</v>
      </c>
      <c r="B1" s="4" t="s">
        <v>125</v>
      </c>
      <c r="C1" s="5">
        <v>1</v>
      </c>
      <c r="D1" s="5">
        <v>0</v>
      </c>
      <c r="E1" s="1">
        <f t="shared" ref="E1:E8" si="0">C1-D1</f>
        <v>1</v>
      </c>
      <c r="F1" s="1">
        <f t="shared" ref="F1:F8" si="1">D1-C1</f>
        <v>-1</v>
      </c>
      <c r="G1" s="10"/>
      <c r="H1" s="17"/>
      <c r="I1" t="s">
        <v>85</v>
      </c>
      <c r="J1" s="2">
        <f t="shared" ref="J1:J17" si="2">(L1/N1)*IF(N1&gt;5,1,IF(N1=5,0.9,IF(N1=4,0.8,0.7)))</f>
        <v>1.1666666666666667</v>
      </c>
      <c r="K1" s="2">
        <f t="shared" ref="K1:K17" si="3">M1/N1</f>
        <v>0.66666666666666663</v>
      </c>
      <c r="L1" s="1">
        <f>0+1+3+1</f>
        <v>5</v>
      </c>
      <c r="M1" s="1">
        <f>0+0+2+0</f>
        <v>2</v>
      </c>
      <c r="N1" s="1">
        <f>0+1+1+1</f>
        <v>3</v>
      </c>
      <c r="W1" s="1">
        <v>1</v>
      </c>
      <c r="X1" s="12" t="s">
        <v>127</v>
      </c>
      <c r="Y1" s="4" t="s">
        <v>41</v>
      </c>
      <c r="AA1" s="18" t="s">
        <v>128</v>
      </c>
      <c r="AB1" s="18" t="s">
        <v>130</v>
      </c>
      <c r="AD1" s="18"/>
      <c r="AE1" s="18"/>
      <c r="AI1" s="12"/>
    </row>
    <row r="2" spans="1:35">
      <c r="A2" s="4" t="s">
        <v>126</v>
      </c>
      <c r="B2" s="4" t="s">
        <v>86</v>
      </c>
      <c r="C2" s="5">
        <v>2</v>
      </c>
      <c r="D2" s="5">
        <v>2</v>
      </c>
      <c r="E2" s="1">
        <f t="shared" si="0"/>
        <v>0</v>
      </c>
      <c r="F2" s="1">
        <f t="shared" si="1"/>
        <v>0</v>
      </c>
      <c r="G2" s="10"/>
      <c r="H2" s="17"/>
      <c r="I2" t="s">
        <v>86</v>
      </c>
      <c r="J2" s="2">
        <f t="shared" si="2"/>
        <v>0.7</v>
      </c>
      <c r="K2" s="2">
        <f t="shared" si="3"/>
        <v>0</v>
      </c>
      <c r="L2" s="1">
        <f>0+1+1+1</f>
        <v>3</v>
      </c>
      <c r="M2" s="1">
        <f>0+0+0+0</f>
        <v>0</v>
      </c>
      <c r="N2" s="1">
        <f>0+1+1+1</f>
        <v>3</v>
      </c>
      <c r="W2" s="1">
        <v>2</v>
      </c>
      <c r="X2" s="12" t="s">
        <v>127</v>
      </c>
      <c r="Y2" s="4" t="s">
        <v>41</v>
      </c>
      <c r="AA2" s="18" t="s">
        <v>110</v>
      </c>
      <c r="AB2" s="18" t="s">
        <v>119</v>
      </c>
      <c r="AD2" s="18"/>
      <c r="AE2" s="18"/>
      <c r="AI2" s="12"/>
    </row>
    <row r="3" spans="1:35">
      <c r="A3" s="4"/>
      <c r="B3" s="4"/>
      <c r="C3" s="5"/>
      <c r="D3" s="5"/>
      <c r="E3" s="1">
        <f t="shared" si="0"/>
        <v>0</v>
      </c>
      <c r="F3" s="1">
        <f t="shared" si="1"/>
        <v>0</v>
      </c>
      <c r="G3" s="10"/>
      <c r="H3" s="17"/>
      <c r="I3" t="s">
        <v>90</v>
      </c>
      <c r="J3" s="2">
        <f t="shared" si="2"/>
        <v>1.4</v>
      </c>
      <c r="K3" s="2">
        <f t="shared" si="3"/>
        <v>1</v>
      </c>
      <c r="L3" s="1">
        <f>0+1+3</f>
        <v>4</v>
      </c>
      <c r="M3" s="1">
        <f>0+0+2</f>
        <v>2</v>
      </c>
      <c r="N3" s="1">
        <f>0+1+1</f>
        <v>2</v>
      </c>
      <c r="W3" s="1">
        <v>3</v>
      </c>
      <c r="X3" s="12"/>
      <c r="Y3" s="4"/>
      <c r="AA3" s="18"/>
      <c r="AB3" s="18"/>
      <c r="AD3" s="18"/>
      <c r="AE3" s="18"/>
      <c r="AI3" s="12" t="s">
        <v>122</v>
      </c>
    </row>
    <row r="4" spans="1:35">
      <c r="A4" s="4"/>
      <c r="B4" s="4"/>
      <c r="C4" s="5"/>
      <c r="D4" s="5"/>
      <c r="E4" s="1">
        <f t="shared" si="0"/>
        <v>0</v>
      </c>
      <c r="F4" s="1">
        <f t="shared" si="1"/>
        <v>0</v>
      </c>
      <c r="G4" s="10"/>
      <c r="H4" s="17"/>
      <c r="I4" t="s">
        <v>95</v>
      </c>
      <c r="J4" s="2">
        <f t="shared" si="2"/>
        <v>1.0499999999999998</v>
      </c>
      <c r="K4" s="2">
        <f t="shared" si="3"/>
        <v>2</v>
      </c>
      <c r="L4" s="1">
        <f>0+0+3</f>
        <v>3</v>
      </c>
      <c r="M4" s="1">
        <f>0+-1+5</f>
        <v>4</v>
      </c>
      <c r="N4" s="1">
        <f>0+1+1</f>
        <v>2</v>
      </c>
      <c r="W4" s="1">
        <v>4</v>
      </c>
      <c r="X4" s="12" t="s">
        <v>127</v>
      </c>
      <c r="Y4" s="4" t="s">
        <v>73</v>
      </c>
      <c r="AA4" s="18" t="s">
        <v>129</v>
      </c>
      <c r="AB4" s="18" t="s">
        <v>113</v>
      </c>
      <c r="AD4" s="18"/>
      <c r="AE4" s="18"/>
      <c r="AI4" s="12"/>
    </row>
    <row r="5" spans="1:35">
      <c r="A5" s="4"/>
      <c r="B5" s="4"/>
      <c r="C5" s="5"/>
      <c r="D5" s="5"/>
      <c r="E5" s="1">
        <f t="shared" si="0"/>
        <v>0</v>
      </c>
      <c r="F5" s="1">
        <f t="shared" si="1"/>
        <v>0</v>
      </c>
      <c r="G5" s="10"/>
      <c r="H5" s="17"/>
      <c r="I5" s="3" t="s">
        <v>132</v>
      </c>
      <c r="J5" s="2">
        <f t="shared" si="2"/>
        <v>1.0499999999999998</v>
      </c>
      <c r="K5" s="2">
        <f t="shared" si="3"/>
        <v>0</v>
      </c>
      <c r="L5" s="1">
        <f>0+3+0</f>
        <v>3</v>
      </c>
      <c r="M5" s="1">
        <f>0+1+-1</f>
        <v>0</v>
      </c>
      <c r="N5" s="1">
        <f>0+1+1</f>
        <v>2</v>
      </c>
      <c r="W5" s="1">
        <v>5</v>
      </c>
      <c r="X5" s="12" t="s">
        <v>127</v>
      </c>
      <c r="Y5" s="4" t="s">
        <v>98</v>
      </c>
      <c r="AA5" s="18" t="s">
        <v>128</v>
      </c>
      <c r="AB5" s="18" t="s">
        <v>131</v>
      </c>
      <c r="AD5" s="18"/>
      <c r="AE5" s="18"/>
      <c r="AI5" s="12"/>
    </row>
    <row r="6" spans="1:35">
      <c r="A6" s="4"/>
      <c r="B6" s="4"/>
      <c r="C6" s="5"/>
      <c r="D6" s="5"/>
      <c r="E6" s="1">
        <f t="shared" si="0"/>
        <v>0</v>
      </c>
      <c r="F6" s="1">
        <f t="shared" si="1"/>
        <v>0</v>
      </c>
      <c r="G6" s="10"/>
      <c r="H6" s="17"/>
      <c r="I6" t="s">
        <v>91</v>
      </c>
      <c r="J6" s="2">
        <f t="shared" si="2"/>
        <v>1.0499999999999998</v>
      </c>
      <c r="K6" s="2">
        <f t="shared" si="3"/>
        <v>0</v>
      </c>
      <c r="L6" s="1">
        <f>0+0+3</f>
        <v>3</v>
      </c>
      <c r="M6" s="1">
        <f>0+-1+1</f>
        <v>0</v>
      </c>
      <c r="N6" s="1">
        <f>0+1+1</f>
        <v>2</v>
      </c>
      <c r="W6" s="1">
        <v>6</v>
      </c>
      <c r="X6" s="12"/>
      <c r="Y6" s="4"/>
      <c r="AA6" s="18"/>
      <c r="AB6" s="18"/>
      <c r="AD6" s="18"/>
      <c r="AE6" s="18"/>
      <c r="AI6" s="12"/>
    </row>
    <row r="7" spans="1:35">
      <c r="A7" s="4"/>
      <c r="B7" s="4"/>
      <c r="C7" s="5"/>
      <c r="D7" s="5"/>
      <c r="E7" s="1">
        <f t="shared" si="0"/>
        <v>0</v>
      </c>
      <c r="F7" s="1">
        <f t="shared" si="1"/>
        <v>0</v>
      </c>
      <c r="G7" s="10"/>
      <c r="H7" s="17"/>
      <c r="I7" t="s">
        <v>114</v>
      </c>
      <c r="J7" s="2">
        <f t="shared" si="2"/>
        <v>0</v>
      </c>
      <c r="K7" s="2">
        <f t="shared" si="3"/>
        <v>-3.5</v>
      </c>
      <c r="L7" s="1">
        <f>0+0+0</f>
        <v>0</v>
      </c>
      <c r="M7" s="1">
        <f>0+-2+-5</f>
        <v>-7</v>
      </c>
      <c r="N7" s="1">
        <f>0+1+1</f>
        <v>2</v>
      </c>
      <c r="W7" s="1">
        <v>7</v>
      </c>
      <c r="X7" s="12"/>
      <c r="Y7" s="4"/>
      <c r="AA7" s="18"/>
      <c r="AB7" s="18"/>
      <c r="AD7" s="18"/>
      <c r="AE7" s="18"/>
      <c r="AI7" s="12"/>
    </row>
    <row r="8" spans="1:35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10"/>
      <c r="H8" s="17"/>
      <c r="I8" t="s">
        <v>83</v>
      </c>
      <c r="J8" s="2">
        <f t="shared" si="2"/>
        <v>2.0999999999999996</v>
      </c>
      <c r="K8" s="2">
        <f t="shared" si="3"/>
        <v>1</v>
      </c>
      <c r="L8" s="1">
        <f>0+3</f>
        <v>3</v>
      </c>
      <c r="M8" s="1">
        <f t="shared" ref="M8:N10" si="4">0+1</f>
        <v>1</v>
      </c>
      <c r="N8" s="1">
        <f t="shared" si="4"/>
        <v>1</v>
      </c>
      <c r="W8" s="1">
        <v>8</v>
      </c>
      <c r="X8" s="12"/>
      <c r="Y8" s="4"/>
      <c r="AA8" s="18"/>
      <c r="AB8" s="18"/>
      <c r="AD8" s="18"/>
      <c r="AE8" s="18"/>
      <c r="AI8" s="12"/>
    </row>
    <row r="9" spans="1:35">
      <c r="A9" t="s">
        <v>6</v>
      </c>
      <c r="C9"/>
      <c r="D9"/>
      <c r="E9"/>
      <c r="F9"/>
      <c r="G9" s="15"/>
      <c r="H9" s="7"/>
      <c r="I9" t="s">
        <v>94</v>
      </c>
      <c r="J9" s="2">
        <f t="shared" si="2"/>
        <v>2.0999999999999996</v>
      </c>
      <c r="K9" s="2">
        <f t="shared" si="3"/>
        <v>1</v>
      </c>
      <c r="L9" s="1">
        <f>0+3</f>
        <v>3</v>
      </c>
      <c r="M9" s="1">
        <f t="shared" si="4"/>
        <v>1</v>
      </c>
      <c r="N9" s="1">
        <f t="shared" si="4"/>
        <v>1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/>
      <c r="AE9" s="3"/>
      <c r="AG9" s="3"/>
      <c r="AI9" s="16" t="s">
        <v>121</v>
      </c>
    </row>
    <row r="10" spans="1:35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I10" t="s">
        <v>124</v>
      </c>
      <c r="J10" s="2">
        <f t="shared" si="2"/>
        <v>2.0999999999999996</v>
      </c>
      <c r="K10" s="2">
        <f t="shared" si="3"/>
        <v>1</v>
      </c>
      <c r="L10" s="1">
        <f>0+3</f>
        <v>3</v>
      </c>
      <c r="M10" s="1">
        <f t="shared" si="4"/>
        <v>1</v>
      </c>
      <c r="N10" s="1">
        <f t="shared" si="4"/>
        <v>1</v>
      </c>
      <c r="W10" s="1">
        <v>10</v>
      </c>
      <c r="X10" s="13" t="s">
        <v>54</v>
      </c>
      <c r="Y10" t="s">
        <v>38</v>
      </c>
    </row>
    <row r="11" spans="1:35">
      <c r="A11" t="s">
        <v>7</v>
      </c>
      <c r="C11"/>
      <c r="D11"/>
      <c r="E11"/>
      <c r="F11"/>
      <c r="I11" t="s">
        <v>89</v>
      </c>
      <c r="J11" s="2">
        <f t="shared" si="2"/>
        <v>0.7</v>
      </c>
      <c r="K11" s="2">
        <f t="shared" si="3"/>
        <v>0</v>
      </c>
      <c r="L11" s="1">
        <f>0+1</f>
        <v>1</v>
      </c>
      <c r="M11" s="1">
        <f>0+0</f>
        <v>0</v>
      </c>
      <c r="N11" s="1">
        <f t="shared" ref="N11:N17" si="5">0+1</f>
        <v>1</v>
      </c>
      <c r="W11" s="1">
        <v>11</v>
      </c>
      <c r="X11" s="13" t="s">
        <v>55</v>
      </c>
      <c r="Y11" t="s">
        <v>39</v>
      </c>
    </row>
    <row r="12" spans="1:35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I12" t="s">
        <v>96</v>
      </c>
      <c r="J12" s="2">
        <f t="shared" si="2"/>
        <v>0.7</v>
      </c>
      <c r="K12" s="2">
        <f t="shared" si="3"/>
        <v>0</v>
      </c>
      <c r="L12" s="1">
        <f>0+1</f>
        <v>1</v>
      </c>
      <c r="M12" s="1">
        <f>0+0</f>
        <v>0</v>
      </c>
      <c r="N12" s="1">
        <f t="shared" si="5"/>
        <v>1</v>
      </c>
      <c r="W12" s="1">
        <v>12</v>
      </c>
      <c r="X12" s="13" t="s">
        <v>25</v>
      </c>
      <c r="Y12" t="s">
        <v>40</v>
      </c>
    </row>
    <row r="13" spans="1:35">
      <c r="A13" t="s">
        <v>15</v>
      </c>
      <c r="C13"/>
      <c r="D13"/>
      <c r="E13"/>
      <c r="F13"/>
      <c r="I13" t="s">
        <v>123</v>
      </c>
      <c r="J13" s="2">
        <f t="shared" si="2"/>
        <v>0.7</v>
      </c>
      <c r="K13" s="2">
        <f t="shared" si="3"/>
        <v>0</v>
      </c>
      <c r="L13" s="1">
        <f>0+1</f>
        <v>1</v>
      </c>
      <c r="M13" s="1">
        <f>0+0</f>
        <v>0</v>
      </c>
      <c r="N13" s="1">
        <f t="shared" si="5"/>
        <v>1</v>
      </c>
      <c r="W13" s="1">
        <v>13</v>
      </c>
      <c r="X13" s="13" t="s">
        <v>29</v>
      </c>
      <c r="Y13" t="s">
        <v>45</v>
      </c>
    </row>
    <row r="14" spans="1:35">
      <c r="A14" s="3" t="s">
        <v>30</v>
      </c>
      <c r="C14"/>
      <c r="D14"/>
      <c r="E14"/>
      <c r="F14"/>
      <c r="I14" t="s">
        <v>126</v>
      </c>
      <c r="J14" s="2">
        <f t="shared" si="2"/>
        <v>0.7</v>
      </c>
      <c r="K14" s="2">
        <f t="shared" si="3"/>
        <v>0</v>
      </c>
      <c r="L14" s="1">
        <f>0+1</f>
        <v>1</v>
      </c>
      <c r="M14" s="1">
        <f>0+0</f>
        <v>0</v>
      </c>
      <c r="N14" s="1">
        <f t="shared" si="5"/>
        <v>1</v>
      </c>
      <c r="W14" s="1">
        <v>14</v>
      </c>
      <c r="X14" s="13" t="s">
        <v>56</v>
      </c>
      <c r="Y14" t="s">
        <v>42</v>
      </c>
    </row>
    <row r="15" spans="1:35">
      <c r="A15" t="s">
        <v>133</v>
      </c>
      <c r="C15"/>
      <c r="D15"/>
      <c r="E15"/>
      <c r="F15"/>
      <c r="I15" t="s">
        <v>84</v>
      </c>
      <c r="J15" s="2">
        <f t="shared" si="2"/>
        <v>0</v>
      </c>
      <c r="K15" s="2">
        <f t="shared" si="3"/>
        <v>-1</v>
      </c>
      <c r="L15" s="1">
        <f>0+0</f>
        <v>0</v>
      </c>
      <c r="M15" s="1">
        <f>0-1</f>
        <v>-1</v>
      </c>
      <c r="N15" s="1">
        <f t="shared" si="5"/>
        <v>1</v>
      </c>
      <c r="W15" s="1">
        <v>15</v>
      </c>
      <c r="X15" s="13" t="s">
        <v>57</v>
      </c>
      <c r="Y15" t="s">
        <v>43</v>
      </c>
    </row>
    <row r="16" spans="1:35">
      <c r="A16" t="s">
        <v>23</v>
      </c>
      <c r="C16"/>
      <c r="D16"/>
      <c r="E16"/>
      <c r="F16"/>
      <c r="I16" t="s">
        <v>125</v>
      </c>
      <c r="J16" s="2">
        <f t="shared" si="2"/>
        <v>0</v>
      </c>
      <c r="K16" s="2">
        <f t="shared" si="3"/>
        <v>-1</v>
      </c>
      <c r="L16" s="1">
        <f>0+0</f>
        <v>0</v>
      </c>
      <c r="M16" s="1">
        <f>0+-1</f>
        <v>-1</v>
      </c>
      <c r="N16" s="1">
        <f t="shared" si="5"/>
        <v>1</v>
      </c>
      <c r="W16" s="1">
        <v>16</v>
      </c>
      <c r="X16" s="13" t="s">
        <v>58</v>
      </c>
      <c r="Y16" t="s">
        <v>44</v>
      </c>
    </row>
    <row r="17" spans="1:25">
      <c r="A17" t="s">
        <v>134</v>
      </c>
      <c r="I17" t="s">
        <v>93</v>
      </c>
      <c r="J17" s="2">
        <f t="shared" si="2"/>
        <v>0</v>
      </c>
      <c r="K17" s="2">
        <f t="shared" si="3"/>
        <v>-2</v>
      </c>
      <c r="L17" s="1">
        <f>0+0</f>
        <v>0</v>
      </c>
      <c r="M17" s="1">
        <f>0+-2</f>
        <v>-2</v>
      </c>
      <c r="N17" s="1">
        <f t="shared" si="5"/>
        <v>1</v>
      </c>
      <c r="W17" s="1">
        <v>17</v>
      </c>
      <c r="X17" s="13" t="s">
        <v>59</v>
      </c>
      <c r="Y17" t="s">
        <v>46</v>
      </c>
    </row>
    <row r="18" spans="1:25">
      <c r="A18" t="s">
        <v>33</v>
      </c>
      <c r="C18"/>
      <c r="D18"/>
      <c r="E18"/>
      <c r="F18"/>
      <c r="W18" s="1">
        <v>18</v>
      </c>
      <c r="X18" s="13" t="s">
        <v>60</v>
      </c>
      <c r="Y18" t="s">
        <v>47</v>
      </c>
    </row>
    <row r="19" spans="1:25">
      <c r="A19" t="s">
        <v>135</v>
      </c>
      <c r="W19" s="1">
        <v>19</v>
      </c>
      <c r="X19" s="13" t="s">
        <v>26</v>
      </c>
      <c r="Y19" t="s">
        <v>48</v>
      </c>
    </row>
    <row r="20" spans="1:25">
      <c r="A20" t="s">
        <v>19</v>
      </c>
      <c r="W20" s="1">
        <v>20</v>
      </c>
      <c r="X20" s="13" t="s">
        <v>61</v>
      </c>
      <c r="Y20" t="s">
        <v>49</v>
      </c>
    </row>
    <row r="21" spans="1:25">
      <c r="B21" t="s">
        <v>20</v>
      </c>
      <c r="W21" s="1">
        <v>21</v>
      </c>
      <c r="X21" s="13" t="s">
        <v>62</v>
      </c>
      <c r="Y21" t="s">
        <v>50</v>
      </c>
    </row>
    <row r="22" spans="1:25">
      <c r="B22" t="s">
        <v>88</v>
      </c>
      <c r="W22" s="1">
        <v>22</v>
      </c>
      <c r="X22" s="13" t="s">
        <v>63</v>
      </c>
      <c r="Y22" t="s">
        <v>51</v>
      </c>
    </row>
    <row r="23" spans="1:25">
      <c r="A23" t="s">
        <v>16</v>
      </c>
      <c r="C23"/>
      <c r="D23"/>
      <c r="E23"/>
      <c r="F23"/>
      <c r="W23" s="1">
        <v>23</v>
      </c>
      <c r="X23" s="13" t="s">
        <v>28</v>
      </c>
      <c r="Y23" t="s">
        <v>52</v>
      </c>
    </row>
    <row r="24" spans="1:25">
      <c r="A24" t="s">
        <v>17</v>
      </c>
      <c r="B24" s="2" t="e">
        <f t="shared" ref="B24" si="6">(D24/F24)*IF(F24&gt;5,1,IF(F24=5,0.9,IF(F24=4,0.8,0.7)))</f>
        <v>#DIV/0!</v>
      </c>
      <c r="C24" s="2" t="e">
        <f t="shared" ref="C24" si="7">E24/F24</f>
        <v>#DIV/0!</v>
      </c>
      <c r="D24" s="1">
        <f>0</f>
        <v>0</v>
      </c>
      <c r="E24" s="1">
        <f>0</f>
        <v>0</v>
      </c>
      <c r="F24" s="1">
        <f>0</f>
        <v>0</v>
      </c>
      <c r="W24" s="1">
        <v>24</v>
      </c>
      <c r="X24" s="13" t="s">
        <v>64</v>
      </c>
      <c r="Y24" t="s">
        <v>53</v>
      </c>
    </row>
    <row r="25" spans="1:25">
      <c r="A25" t="s">
        <v>18</v>
      </c>
      <c r="B25" t="s">
        <v>136</v>
      </c>
      <c r="W25" s="1">
        <v>25</v>
      </c>
      <c r="X25" s="13" t="s">
        <v>65</v>
      </c>
      <c r="Y25" t="s">
        <v>68</v>
      </c>
    </row>
    <row r="26" spans="1:25">
      <c r="A26" t="s">
        <v>14</v>
      </c>
      <c r="W26" s="1">
        <v>26</v>
      </c>
      <c r="X26" s="13" t="s">
        <v>66</v>
      </c>
      <c r="Y26" t="s">
        <v>69</v>
      </c>
    </row>
    <row r="27" spans="1:25">
      <c r="A27" t="s">
        <v>21</v>
      </c>
      <c r="W27" s="1">
        <v>27</v>
      </c>
      <c r="X27" s="13" t="s">
        <v>67</v>
      </c>
      <c r="Y27" t="s">
        <v>70</v>
      </c>
    </row>
    <row r="28" spans="1:25">
      <c r="A28" t="s">
        <v>147</v>
      </c>
      <c r="W28" s="1">
        <v>28</v>
      </c>
    </row>
    <row r="29" spans="1:25">
      <c r="A29" t="s">
        <v>148</v>
      </c>
      <c r="W29" s="1">
        <v>29</v>
      </c>
    </row>
    <row r="30" spans="1:25">
      <c r="A30" t="s">
        <v>149</v>
      </c>
      <c r="W30" s="1">
        <v>30</v>
      </c>
    </row>
    <row r="31" spans="1:25">
      <c r="W31" s="1">
        <v>31</v>
      </c>
    </row>
    <row r="32" spans="1:25">
      <c r="W32" s="1">
        <v>32</v>
      </c>
    </row>
    <row r="33" spans="23:23">
      <c r="W33" s="1">
        <v>33</v>
      </c>
    </row>
    <row r="34" spans="23:23">
      <c r="W34" s="1">
        <v>34</v>
      </c>
    </row>
    <row r="35" spans="23:23">
      <c r="W35" s="1">
        <v>35</v>
      </c>
    </row>
    <row r="36" spans="23:23">
      <c r="W36" s="1">
        <v>36</v>
      </c>
    </row>
    <row r="37" spans="23:23">
      <c r="W37" s="1">
        <v>37</v>
      </c>
    </row>
    <row r="38" spans="23:23">
      <c r="W38" s="1">
        <v>38</v>
      </c>
    </row>
    <row r="39" spans="23:23">
      <c r="W39" s="1">
        <v>39</v>
      </c>
    </row>
    <row r="40" spans="23:23">
      <c r="W40" s="1">
        <v>40</v>
      </c>
    </row>
    <row r="41" spans="23:23">
      <c r="W41" s="1">
        <v>41</v>
      </c>
    </row>
    <row r="42" spans="23:23">
      <c r="W42" s="1">
        <v>42</v>
      </c>
    </row>
    <row r="43" spans="23:23">
      <c r="W43" s="1">
        <v>43</v>
      </c>
    </row>
    <row r="44" spans="23:23">
      <c r="W44" s="1">
        <v>44</v>
      </c>
    </row>
    <row r="45" spans="23:23">
      <c r="W45" s="1">
        <v>45</v>
      </c>
    </row>
    <row r="46" spans="23:23">
      <c r="W46" s="1">
        <v>46</v>
      </c>
    </row>
    <row r="47" spans="23:23">
      <c r="W47" s="1">
        <v>47</v>
      </c>
    </row>
    <row r="48" spans="23:23">
      <c r="W48" s="1">
        <v>48</v>
      </c>
    </row>
    <row r="49" spans="23:23">
      <c r="W49" s="1">
        <v>49</v>
      </c>
    </row>
    <row r="50" spans="23:23">
      <c r="W50" s="1">
        <v>50</v>
      </c>
    </row>
    <row r="51" spans="23:23">
      <c r="W51" s="1">
        <v>51</v>
      </c>
    </row>
    <row r="52" spans="23:23">
      <c r="W52" s="1">
        <v>52</v>
      </c>
    </row>
    <row r="53" spans="23:23">
      <c r="W53" s="1">
        <v>53</v>
      </c>
    </row>
    <row r="54" spans="23:23">
      <c r="W54" s="1">
        <v>54</v>
      </c>
    </row>
    <row r="55" spans="23:23">
      <c r="W55" s="1">
        <v>55</v>
      </c>
    </row>
    <row r="56" spans="23:23">
      <c r="W56" s="1">
        <v>56</v>
      </c>
    </row>
    <row r="57" spans="23:23">
      <c r="W57" s="1">
        <v>57</v>
      </c>
    </row>
    <row r="58" spans="23:23">
      <c r="W58" s="1">
        <v>58</v>
      </c>
    </row>
    <row r="59" spans="23:23">
      <c r="W59" s="1">
        <v>59</v>
      </c>
    </row>
    <row r="60" spans="23:23">
      <c r="W60" s="1">
        <v>60</v>
      </c>
    </row>
    <row r="61" spans="23:23">
      <c r="W61" s="1">
        <v>61</v>
      </c>
    </row>
    <row r="62" spans="23:23">
      <c r="W62" s="1">
        <v>62</v>
      </c>
    </row>
    <row r="63" spans="23:23">
      <c r="W63" s="1">
        <v>63</v>
      </c>
    </row>
    <row r="64" spans="23:23">
      <c r="W64" s="1">
        <v>64</v>
      </c>
    </row>
    <row r="65" spans="23:23">
      <c r="W65" s="1">
        <v>65</v>
      </c>
    </row>
    <row r="66" spans="23:23">
      <c r="W66" s="1">
        <v>66</v>
      </c>
    </row>
    <row r="67" spans="23:23">
      <c r="W67" s="1">
        <v>67</v>
      </c>
    </row>
    <row r="68" spans="23:23">
      <c r="W68" s="1">
        <v>68</v>
      </c>
    </row>
    <row r="69" spans="23:23">
      <c r="W69" s="1">
        <v>69</v>
      </c>
    </row>
    <row r="70" spans="23:23">
      <c r="W70" s="1">
        <v>70</v>
      </c>
    </row>
    <row r="71" spans="23:23">
      <c r="W71" s="1">
        <v>71</v>
      </c>
    </row>
    <row r="72" spans="23:23">
      <c r="W72" s="1">
        <v>72</v>
      </c>
    </row>
    <row r="73" spans="23:23">
      <c r="W73" s="1">
        <v>73</v>
      </c>
    </row>
    <row r="74" spans="23:23">
      <c r="W74" s="1">
        <v>74</v>
      </c>
    </row>
    <row r="75" spans="23:23">
      <c r="W75" s="1">
        <v>75</v>
      </c>
    </row>
    <row r="76" spans="23:23">
      <c r="W76" s="1">
        <v>76</v>
      </c>
    </row>
    <row r="77" spans="23:23">
      <c r="W77" s="1">
        <v>77</v>
      </c>
    </row>
    <row r="78" spans="23:23">
      <c r="W78" s="1">
        <v>78</v>
      </c>
    </row>
    <row r="79" spans="23:23">
      <c r="W79" s="1">
        <v>79</v>
      </c>
    </row>
    <row r="80" spans="23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sortState ref="I1:N99">
    <sortCondition descending="1" ref="J1:J99"/>
    <sortCondition descending="1" ref="K1:K99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99"/>
  <sheetViews>
    <sheetView zoomScale="73" zoomScaleNormal="73" workbookViewId="0">
      <selection activeCell="W7" sqref="W7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4.85546875" style="1" customWidth="1"/>
    <col min="29" max="29" width="2.140625" style="8" customWidth="1"/>
    <col min="30" max="31" width="4.85546875" style="1" customWidth="1"/>
    <col min="32" max="32" width="2.140625" style="8" customWidth="1"/>
    <col min="33" max="33" width="4.85546875" style="18" customWidth="1"/>
    <col min="34" max="34" width="2.140625" style="8" customWidth="1"/>
    <col min="35" max="35" width="9.7109375" customWidth="1"/>
    <col min="36" max="37" width="4.28515625" style="1" customWidth="1"/>
  </cols>
  <sheetData>
    <row r="1" spans="1:37">
      <c r="A1" s="4" t="s">
        <v>125</v>
      </c>
      <c r="B1" s="4" t="s">
        <v>90</v>
      </c>
      <c r="C1" s="5">
        <v>1</v>
      </c>
      <c r="D1" s="5">
        <v>4</v>
      </c>
      <c r="E1" s="1">
        <f t="shared" ref="E1:E8" si="0">C1-D1</f>
        <v>-3</v>
      </c>
      <c r="F1" s="1">
        <f t="shared" ref="F1:F8" si="1">D1-C1</f>
        <v>3</v>
      </c>
      <c r="G1" s="10"/>
      <c r="H1" s="17"/>
      <c r="I1" t="s">
        <v>90</v>
      </c>
      <c r="J1" s="2">
        <f t="shared" ref="J1:J21" si="2">(L1/N1)*IF(N1&gt;5,1,IF(N1=5,0.9,IF(N1=4,0.8,0.7)))</f>
        <v>1.6333333333333333</v>
      </c>
      <c r="K1" s="2">
        <f t="shared" ref="K1:K21" si="3">M1/N1</f>
        <v>1.6666666666666667</v>
      </c>
      <c r="L1" s="1">
        <f>0+1+3+3</f>
        <v>7</v>
      </c>
      <c r="M1" s="1">
        <f>0+0+2+3</f>
        <v>5</v>
      </c>
      <c r="N1" s="1">
        <f>0+1+1+1</f>
        <v>3</v>
      </c>
      <c r="W1" s="1">
        <v>1</v>
      </c>
      <c r="X1" s="12" t="s">
        <v>145</v>
      </c>
      <c r="Y1" s="4" t="s">
        <v>73</v>
      </c>
      <c r="AA1" s="18" t="s">
        <v>118</v>
      </c>
      <c r="AB1" s="18" t="s">
        <v>111</v>
      </c>
      <c r="AD1" s="18"/>
      <c r="AE1" s="18"/>
      <c r="AG1" s="18" t="s">
        <v>111</v>
      </c>
      <c r="AI1" s="12"/>
      <c r="AJ1" s="1" t="s">
        <v>150</v>
      </c>
    </row>
    <row r="2" spans="1:37">
      <c r="A2" s="4" t="s">
        <v>137</v>
      </c>
      <c r="B2" s="4" t="s">
        <v>138</v>
      </c>
      <c r="C2" s="5">
        <v>1</v>
      </c>
      <c r="D2" s="5">
        <v>1</v>
      </c>
      <c r="E2" s="1">
        <f t="shared" si="0"/>
        <v>0</v>
      </c>
      <c r="F2" s="1">
        <f t="shared" si="1"/>
        <v>0</v>
      </c>
      <c r="G2" s="10"/>
      <c r="H2" s="17"/>
      <c r="I2" t="s">
        <v>85</v>
      </c>
      <c r="J2" s="2">
        <f t="shared" si="2"/>
        <v>1.1666666666666667</v>
      </c>
      <c r="K2" s="2">
        <f t="shared" si="3"/>
        <v>0.66666666666666663</v>
      </c>
      <c r="L2" s="1">
        <f>0+1+3+1</f>
        <v>5</v>
      </c>
      <c r="M2" s="1">
        <f>0+0+2+0</f>
        <v>2</v>
      </c>
      <c r="N2" s="1">
        <f>0+1+1+1</f>
        <v>3</v>
      </c>
      <c r="W2" s="1">
        <v>2</v>
      </c>
      <c r="X2" s="12" t="s">
        <v>64</v>
      </c>
      <c r="Y2" s="4" t="s">
        <v>143</v>
      </c>
      <c r="AA2" s="18" t="s">
        <v>128</v>
      </c>
      <c r="AB2" s="18" t="s">
        <v>113</v>
      </c>
      <c r="AD2" s="18"/>
      <c r="AE2" s="18"/>
      <c r="AG2" s="18" t="s">
        <v>119</v>
      </c>
      <c r="AI2" s="12"/>
      <c r="AK2" s="1" t="s">
        <v>153</v>
      </c>
    </row>
    <row r="3" spans="1:37">
      <c r="A3" s="4"/>
      <c r="B3" s="4"/>
      <c r="C3" s="5"/>
      <c r="D3" s="5"/>
      <c r="E3" s="1">
        <f t="shared" si="0"/>
        <v>0</v>
      </c>
      <c r="F3" s="1">
        <f t="shared" si="1"/>
        <v>0</v>
      </c>
      <c r="G3" s="10"/>
      <c r="H3" s="17"/>
      <c r="I3" t="s">
        <v>86</v>
      </c>
      <c r="J3" s="2">
        <f t="shared" si="2"/>
        <v>0.7</v>
      </c>
      <c r="K3" s="2">
        <f t="shared" si="3"/>
        <v>0</v>
      </c>
      <c r="L3" s="1">
        <f>0+1+1+1</f>
        <v>3</v>
      </c>
      <c r="M3" s="1">
        <f>0+0+0+0</f>
        <v>0</v>
      </c>
      <c r="N3" s="1">
        <f>0+1+1+1</f>
        <v>3</v>
      </c>
      <c r="W3" s="1">
        <v>3</v>
      </c>
      <c r="X3" s="12"/>
      <c r="Y3" s="4"/>
      <c r="AA3" s="18"/>
      <c r="AB3" s="18"/>
      <c r="AD3" s="18"/>
      <c r="AE3" s="18"/>
      <c r="AG3" s="18" t="s">
        <v>131</v>
      </c>
      <c r="AI3" s="12" t="s">
        <v>142</v>
      </c>
      <c r="AK3" s="1" t="s">
        <v>153</v>
      </c>
    </row>
    <row r="4" spans="1:37">
      <c r="A4" s="4" t="s">
        <v>139</v>
      </c>
      <c r="B4" s="4" t="s">
        <v>140</v>
      </c>
      <c r="C4" s="5">
        <v>2</v>
      </c>
      <c r="D4" s="5">
        <v>0</v>
      </c>
      <c r="E4" s="1">
        <f t="shared" si="0"/>
        <v>2</v>
      </c>
      <c r="F4" s="1">
        <f t="shared" si="1"/>
        <v>-2</v>
      </c>
      <c r="G4" s="10"/>
      <c r="H4" s="17"/>
      <c r="I4" t="s">
        <v>95</v>
      </c>
      <c r="J4" s="2">
        <f t="shared" si="2"/>
        <v>1.0499999999999998</v>
      </c>
      <c r="K4" s="2">
        <f t="shared" si="3"/>
        <v>2</v>
      </c>
      <c r="L4" s="1">
        <f>0+0+3</f>
        <v>3</v>
      </c>
      <c r="M4" s="1">
        <f>0+-1+5</f>
        <v>4</v>
      </c>
      <c r="N4" s="1">
        <f>0+1+1</f>
        <v>2</v>
      </c>
      <c r="W4" s="1">
        <v>4</v>
      </c>
      <c r="X4" s="12" t="s">
        <v>127</v>
      </c>
      <c r="Y4" s="4" t="s">
        <v>144</v>
      </c>
      <c r="AA4" s="18" t="s">
        <v>118</v>
      </c>
      <c r="AB4" s="18" t="s">
        <v>146</v>
      </c>
      <c r="AD4" s="18"/>
      <c r="AE4" s="18"/>
      <c r="AG4" s="18" t="s">
        <v>111</v>
      </c>
      <c r="AI4" s="12"/>
    </row>
    <row r="5" spans="1:37">
      <c r="A5" s="4"/>
      <c r="B5" s="4"/>
      <c r="C5" s="5"/>
      <c r="D5" s="5"/>
      <c r="E5" s="1">
        <f t="shared" si="0"/>
        <v>0</v>
      </c>
      <c r="F5" s="1">
        <f t="shared" si="1"/>
        <v>0</v>
      </c>
      <c r="G5" s="10"/>
      <c r="H5" s="17"/>
      <c r="I5" s="3" t="s">
        <v>132</v>
      </c>
      <c r="J5" s="2">
        <f t="shared" si="2"/>
        <v>1.0499999999999998</v>
      </c>
      <c r="K5" s="2">
        <f t="shared" si="3"/>
        <v>0</v>
      </c>
      <c r="L5" s="1">
        <f>0+3+0</f>
        <v>3</v>
      </c>
      <c r="M5" s="1">
        <f>0+1+-1</f>
        <v>0</v>
      </c>
      <c r="N5" s="1">
        <f>0+1+1</f>
        <v>2</v>
      </c>
      <c r="W5" s="1">
        <v>5</v>
      </c>
      <c r="X5" s="12"/>
      <c r="Y5" s="4"/>
      <c r="AA5" s="18"/>
      <c r="AB5" s="18"/>
      <c r="AD5" s="18"/>
      <c r="AE5" s="18"/>
      <c r="AG5" s="18" t="s">
        <v>113</v>
      </c>
      <c r="AI5" s="12"/>
    </row>
    <row r="6" spans="1:37">
      <c r="A6" s="4"/>
      <c r="B6" s="4"/>
      <c r="C6" s="5"/>
      <c r="D6" s="5"/>
      <c r="E6" s="1">
        <f t="shared" si="0"/>
        <v>0</v>
      </c>
      <c r="F6" s="1">
        <f t="shared" si="1"/>
        <v>0</v>
      </c>
      <c r="G6" s="10"/>
      <c r="H6" s="17"/>
      <c r="I6" t="s">
        <v>91</v>
      </c>
      <c r="J6" s="2">
        <f t="shared" si="2"/>
        <v>1.0499999999999998</v>
      </c>
      <c r="K6" s="2">
        <f t="shared" si="3"/>
        <v>0</v>
      </c>
      <c r="L6" s="1">
        <f>0+0+3</f>
        <v>3</v>
      </c>
      <c r="M6" s="1">
        <f>0+-1+1</f>
        <v>0</v>
      </c>
      <c r="N6" s="1">
        <f>0+1+1</f>
        <v>2</v>
      </c>
      <c r="W6" s="1">
        <v>6</v>
      </c>
      <c r="X6" s="12"/>
      <c r="Y6" s="4"/>
      <c r="AA6" s="18"/>
      <c r="AB6" s="18"/>
      <c r="AD6" s="18"/>
      <c r="AE6" s="18"/>
      <c r="AG6" s="18" t="s">
        <v>120</v>
      </c>
      <c r="AI6" s="12"/>
    </row>
    <row r="7" spans="1:37">
      <c r="A7" s="4"/>
      <c r="B7" s="4"/>
      <c r="C7" s="5"/>
      <c r="D7" s="5"/>
      <c r="E7" s="1">
        <f t="shared" si="0"/>
        <v>0</v>
      </c>
      <c r="F7" s="1">
        <f t="shared" si="1"/>
        <v>0</v>
      </c>
      <c r="G7" s="10"/>
      <c r="H7" s="17"/>
      <c r="I7" t="s">
        <v>125</v>
      </c>
      <c r="J7" s="2">
        <f t="shared" si="2"/>
        <v>0</v>
      </c>
      <c r="K7" s="2">
        <f t="shared" si="3"/>
        <v>-2</v>
      </c>
      <c r="L7" s="1">
        <f>0+0+0</f>
        <v>0</v>
      </c>
      <c r="M7" s="1">
        <f>0+-1+-3</f>
        <v>-4</v>
      </c>
      <c r="N7" s="1">
        <f>0+1+1</f>
        <v>2</v>
      </c>
      <c r="W7" s="1">
        <v>7</v>
      </c>
      <c r="X7" s="12"/>
      <c r="Y7" s="4"/>
      <c r="AA7" s="18"/>
      <c r="AB7" s="18"/>
      <c r="AD7" s="18"/>
      <c r="AE7" s="18"/>
      <c r="AG7" s="18" t="s">
        <v>113</v>
      </c>
      <c r="AI7" s="12"/>
    </row>
    <row r="8" spans="1:37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10"/>
      <c r="H8" s="17"/>
      <c r="I8" t="s">
        <v>114</v>
      </c>
      <c r="J8" s="2">
        <f t="shared" si="2"/>
        <v>0</v>
      </c>
      <c r="K8" s="2">
        <f t="shared" si="3"/>
        <v>-3.5</v>
      </c>
      <c r="L8" s="1">
        <f>0+0+0</f>
        <v>0</v>
      </c>
      <c r="M8" s="1">
        <f>0+-2+-5</f>
        <v>-7</v>
      </c>
      <c r="N8" s="1">
        <f>0+1+1</f>
        <v>2</v>
      </c>
      <c r="W8" s="1">
        <v>8</v>
      </c>
      <c r="X8" s="12"/>
      <c r="Y8" s="4"/>
      <c r="AA8" s="18"/>
      <c r="AB8" s="18"/>
      <c r="AD8" s="18"/>
      <c r="AE8" s="18"/>
      <c r="AG8" s="18" t="s">
        <v>130</v>
      </c>
      <c r="AI8" s="12"/>
    </row>
    <row r="9" spans="1:37">
      <c r="A9" t="s">
        <v>6</v>
      </c>
      <c r="C9"/>
      <c r="D9"/>
      <c r="E9"/>
      <c r="F9"/>
      <c r="G9" s="15"/>
      <c r="H9" s="7"/>
      <c r="I9" t="s">
        <v>139</v>
      </c>
      <c r="J9" s="2">
        <f t="shared" si="2"/>
        <v>2.0999999999999996</v>
      </c>
      <c r="K9" s="2">
        <f t="shared" si="3"/>
        <v>2</v>
      </c>
      <c r="L9" s="1">
        <f>0+3</f>
        <v>3</v>
      </c>
      <c r="M9" s="1">
        <f>0+2</f>
        <v>2</v>
      </c>
      <c r="N9" s="1">
        <f t="shared" ref="N9:N21" si="4">0+1</f>
        <v>1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 t="s">
        <v>151</v>
      </c>
      <c r="AE9" s="3" t="s">
        <v>152</v>
      </c>
      <c r="AG9" s="18" t="s">
        <v>113</v>
      </c>
      <c r="AI9" s="16" t="s">
        <v>141</v>
      </c>
    </row>
    <row r="10" spans="1:37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I10" t="s">
        <v>83</v>
      </c>
      <c r="J10" s="2">
        <f t="shared" si="2"/>
        <v>2.0999999999999996</v>
      </c>
      <c r="K10" s="2">
        <f t="shared" si="3"/>
        <v>1</v>
      </c>
      <c r="L10" s="1">
        <f>0+3</f>
        <v>3</v>
      </c>
      <c r="M10" s="1">
        <f>0+1</f>
        <v>1</v>
      </c>
      <c r="N10" s="1">
        <f t="shared" si="4"/>
        <v>1</v>
      </c>
      <c r="W10" s="1">
        <v>10</v>
      </c>
      <c r="X10" s="13" t="s">
        <v>54</v>
      </c>
      <c r="Y10" t="s">
        <v>38</v>
      </c>
      <c r="AG10" s="18" t="s">
        <v>111</v>
      </c>
    </row>
    <row r="11" spans="1:37">
      <c r="A11" t="s">
        <v>7</v>
      </c>
      <c r="C11"/>
      <c r="D11"/>
      <c r="E11"/>
      <c r="F11"/>
      <c r="I11" t="s">
        <v>94</v>
      </c>
      <c r="J11" s="2">
        <f t="shared" si="2"/>
        <v>2.0999999999999996</v>
      </c>
      <c r="K11" s="2">
        <f t="shared" si="3"/>
        <v>1</v>
      </c>
      <c r="L11" s="1">
        <f>0+3</f>
        <v>3</v>
      </c>
      <c r="M11" s="1">
        <f>0+1</f>
        <v>1</v>
      </c>
      <c r="N11" s="1">
        <f t="shared" si="4"/>
        <v>1</v>
      </c>
      <c r="W11" s="1">
        <v>11</v>
      </c>
      <c r="X11" s="13" t="s">
        <v>55</v>
      </c>
      <c r="Y11" t="s">
        <v>39</v>
      </c>
      <c r="AG11" s="18" t="s">
        <v>131</v>
      </c>
    </row>
    <row r="12" spans="1:37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I12" t="s">
        <v>124</v>
      </c>
      <c r="J12" s="2">
        <f t="shared" si="2"/>
        <v>2.0999999999999996</v>
      </c>
      <c r="K12" s="2">
        <f t="shared" si="3"/>
        <v>1</v>
      </c>
      <c r="L12" s="1">
        <f>0+3</f>
        <v>3</v>
      </c>
      <c r="M12" s="1">
        <f>0+1</f>
        <v>1</v>
      </c>
      <c r="N12" s="1">
        <f t="shared" si="4"/>
        <v>1</v>
      </c>
      <c r="W12" s="1">
        <v>12</v>
      </c>
      <c r="X12" s="13" t="s">
        <v>25</v>
      </c>
      <c r="Y12" t="s">
        <v>40</v>
      </c>
      <c r="AG12" s="18" t="s">
        <v>119</v>
      </c>
    </row>
    <row r="13" spans="1:37">
      <c r="A13" t="s">
        <v>15</v>
      </c>
      <c r="C13"/>
      <c r="D13"/>
      <c r="E13"/>
      <c r="F13"/>
      <c r="I13" t="s">
        <v>89</v>
      </c>
      <c r="J13" s="2">
        <f t="shared" si="2"/>
        <v>0.7</v>
      </c>
      <c r="K13" s="2">
        <f t="shared" si="3"/>
        <v>0</v>
      </c>
      <c r="L13" s="1">
        <f t="shared" ref="L13:L18" si="5">0+1</f>
        <v>1</v>
      </c>
      <c r="M13" s="1">
        <f t="shared" ref="M13:M18" si="6">0+0</f>
        <v>0</v>
      </c>
      <c r="N13" s="1">
        <f t="shared" si="4"/>
        <v>1</v>
      </c>
      <c r="W13" s="1">
        <v>13</v>
      </c>
      <c r="X13" s="13" t="s">
        <v>29</v>
      </c>
      <c r="Y13" t="s">
        <v>45</v>
      </c>
      <c r="AG13" s="18" t="s">
        <v>130</v>
      </c>
    </row>
    <row r="14" spans="1:37">
      <c r="A14" s="3" t="s">
        <v>30</v>
      </c>
      <c r="C14"/>
      <c r="D14"/>
      <c r="E14"/>
      <c r="F14"/>
      <c r="I14" t="s">
        <v>96</v>
      </c>
      <c r="J14" s="2">
        <f t="shared" si="2"/>
        <v>0.7</v>
      </c>
      <c r="K14" s="2">
        <f t="shared" si="3"/>
        <v>0</v>
      </c>
      <c r="L14" s="1">
        <f t="shared" si="5"/>
        <v>1</v>
      </c>
      <c r="M14" s="1">
        <f t="shared" si="6"/>
        <v>0</v>
      </c>
      <c r="N14" s="1">
        <f t="shared" si="4"/>
        <v>1</v>
      </c>
      <c r="W14" s="1">
        <v>14</v>
      </c>
      <c r="X14" s="13" t="s">
        <v>56</v>
      </c>
      <c r="Y14" t="s">
        <v>42</v>
      </c>
      <c r="AG14" s="18" t="s">
        <v>112</v>
      </c>
    </row>
    <row r="15" spans="1:37">
      <c r="A15" t="s">
        <v>133</v>
      </c>
      <c r="C15"/>
      <c r="D15"/>
      <c r="E15"/>
      <c r="F15"/>
      <c r="I15" t="s">
        <v>123</v>
      </c>
      <c r="J15" s="2">
        <f t="shared" si="2"/>
        <v>0.7</v>
      </c>
      <c r="K15" s="2">
        <f t="shared" si="3"/>
        <v>0</v>
      </c>
      <c r="L15" s="1">
        <f t="shared" si="5"/>
        <v>1</v>
      </c>
      <c r="M15" s="1">
        <f t="shared" si="6"/>
        <v>0</v>
      </c>
      <c r="N15" s="1">
        <f t="shared" si="4"/>
        <v>1</v>
      </c>
      <c r="W15" s="1">
        <v>15</v>
      </c>
      <c r="X15" s="13" t="s">
        <v>57</v>
      </c>
      <c r="Y15" t="s">
        <v>43</v>
      </c>
      <c r="AG15" s="18" t="s">
        <v>120</v>
      </c>
    </row>
    <row r="16" spans="1:37">
      <c r="A16" t="s">
        <v>23</v>
      </c>
      <c r="C16"/>
      <c r="D16"/>
      <c r="E16"/>
      <c r="F16"/>
      <c r="I16" t="s">
        <v>126</v>
      </c>
      <c r="J16" s="2">
        <f t="shared" si="2"/>
        <v>0.7</v>
      </c>
      <c r="K16" s="2">
        <f t="shared" si="3"/>
        <v>0</v>
      </c>
      <c r="L16" s="1">
        <f t="shared" si="5"/>
        <v>1</v>
      </c>
      <c r="M16" s="1">
        <f t="shared" si="6"/>
        <v>0</v>
      </c>
      <c r="N16" s="1">
        <f t="shared" si="4"/>
        <v>1</v>
      </c>
      <c r="W16" s="1">
        <v>16</v>
      </c>
      <c r="X16" s="13" t="s">
        <v>58</v>
      </c>
      <c r="Y16" t="s">
        <v>44</v>
      </c>
      <c r="AG16" s="18" t="s">
        <v>111</v>
      </c>
    </row>
    <row r="17" spans="1:33">
      <c r="A17" t="s">
        <v>134</v>
      </c>
      <c r="I17" t="s">
        <v>137</v>
      </c>
      <c r="J17" s="2">
        <f t="shared" si="2"/>
        <v>0.7</v>
      </c>
      <c r="K17" s="2">
        <f t="shared" si="3"/>
        <v>0</v>
      </c>
      <c r="L17" s="1">
        <f t="shared" si="5"/>
        <v>1</v>
      </c>
      <c r="M17" s="1">
        <f t="shared" si="6"/>
        <v>0</v>
      </c>
      <c r="N17" s="1">
        <f t="shared" si="4"/>
        <v>1</v>
      </c>
      <c r="W17" s="1">
        <v>17</v>
      </c>
      <c r="X17" s="13" t="s">
        <v>59</v>
      </c>
      <c r="Y17" t="s">
        <v>46</v>
      </c>
      <c r="AG17" s="18" t="s">
        <v>111</v>
      </c>
    </row>
    <row r="18" spans="1:33">
      <c r="A18" t="s">
        <v>33</v>
      </c>
      <c r="C18"/>
      <c r="D18"/>
      <c r="E18"/>
      <c r="F18"/>
      <c r="I18" t="s">
        <v>138</v>
      </c>
      <c r="J18" s="2">
        <f t="shared" si="2"/>
        <v>0.7</v>
      </c>
      <c r="K18" s="2">
        <f t="shared" si="3"/>
        <v>0</v>
      </c>
      <c r="L18" s="1">
        <f t="shared" si="5"/>
        <v>1</v>
      </c>
      <c r="M18" s="1">
        <f t="shared" si="6"/>
        <v>0</v>
      </c>
      <c r="N18" s="1">
        <f t="shared" si="4"/>
        <v>1</v>
      </c>
      <c r="W18" s="1">
        <v>18</v>
      </c>
      <c r="X18" s="13" t="s">
        <v>60</v>
      </c>
      <c r="Y18" t="s">
        <v>47</v>
      </c>
      <c r="AG18" s="18" t="s">
        <v>113</v>
      </c>
    </row>
    <row r="19" spans="1:33">
      <c r="A19" t="s">
        <v>135</v>
      </c>
      <c r="I19" t="s">
        <v>84</v>
      </c>
      <c r="J19" s="2">
        <f t="shared" si="2"/>
        <v>0</v>
      </c>
      <c r="K19" s="2">
        <f t="shared" si="3"/>
        <v>-1</v>
      </c>
      <c r="L19" s="1">
        <f>0+0</f>
        <v>0</v>
      </c>
      <c r="M19" s="1">
        <f>0-1</f>
        <v>-1</v>
      </c>
      <c r="N19" s="1">
        <f t="shared" si="4"/>
        <v>1</v>
      </c>
      <c r="W19" s="1">
        <v>19</v>
      </c>
      <c r="X19" s="13" t="s">
        <v>26</v>
      </c>
      <c r="Y19" t="s">
        <v>48</v>
      </c>
      <c r="AG19" s="18" t="s">
        <v>113</v>
      </c>
    </row>
    <row r="20" spans="1:33">
      <c r="A20" t="s">
        <v>19</v>
      </c>
      <c r="I20" t="s">
        <v>93</v>
      </c>
      <c r="J20" s="2">
        <f t="shared" si="2"/>
        <v>0</v>
      </c>
      <c r="K20" s="2">
        <f t="shared" si="3"/>
        <v>-2</v>
      </c>
      <c r="L20" s="1">
        <f>0+0</f>
        <v>0</v>
      </c>
      <c r="M20" s="1">
        <f>0+-2</f>
        <v>-2</v>
      </c>
      <c r="N20" s="1">
        <f t="shared" si="4"/>
        <v>1</v>
      </c>
      <c r="W20" s="1">
        <v>20</v>
      </c>
      <c r="X20" s="13" t="s">
        <v>61</v>
      </c>
      <c r="Y20" t="s">
        <v>49</v>
      </c>
      <c r="AG20" s="18" t="s">
        <v>120</v>
      </c>
    </row>
    <row r="21" spans="1:33">
      <c r="B21" t="s">
        <v>20</v>
      </c>
      <c r="I21" t="s">
        <v>140</v>
      </c>
      <c r="J21" s="2">
        <f t="shared" si="2"/>
        <v>0</v>
      </c>
      <c r="K21" s="2">
        <f t="shared" si="3"/>
        <v>-2</v>
      </c>
      <c r="L21" s="1">
        <f>0+0</f>
        <v>0</v>
      </c>
      <c r="M21" s="1">
        <f>0+-2</f>
        <v>-2</v>
      </c>
      <c r="N21" s="1">
        <f t="shared" si="4"/>
        <v>1</v>
      </c>
      <c r="W21" s="1">
        <v>21</v>
      </c>
      <c r="X21" s="13" t="s">
        <v>62</v>
      </c>
      <c r="Y21" t="s">
        <v>50</v>
      </c>
      <c r="AG21" s="18" t="s">
        <v>146</v>
      </c>
    </row>
    <row r="22" spans="1:33">
      <c r="B22" t="s">
        <v>88</v>
      </c>
      <c r="W22" s="1">
        <v>22</v>
      </c>
      <c r="X22" s="13" t="s">
        <v>63</v>
      </c>
      <c r="Y22" t="s">
        <v>51</v>
      </c>
    </row>
    <row r="23" spans="1:33">
      <c r="A23" t="s">
        <v>16</v>
      </c>
      <c r="C23"/>
      <c r="D23"/>
      <c r="E23"/>
      <c r="F23"/>
      <c r="W23" s="1">
        <v>23</v>
      </c>
      <c r="X23" s="13" t="s">
        <v>28</v>
      </c>
      <c r="Y23" t="s">
        <v>52</v>
      </c>
    </row>
    <row r="24" spans="1:33">
      <c r="A24" t="s">
        <v>17</v>
      </c>
      <c r="B24" s="2" t="e">
        <f t="shared" ref="B24" si="7">(D24/F24)*IF(F24&gt;5,1,IF(F24=5,0.9,IF(F24=4,0.8,0.7)))</f>
        <v>#DIV/0!</v>
      </c>
      <c r="C24" s="2" t="e">
        <f t="shared" ref="C24" si="8">E24/F24</f>
        <v>#DIV/0!</v>
      </c>
      <c r="D24" s="1">
        <f>0</f>
        <v>0</v>
      </c>
      <c r="E24" s="1">
        <f>0</f>
        <v>0</v>
      </c>
      <c r="F24" s="1">
        <f>0</f>
        <v>0</v>
      </c>
      <c r="W24" s="1">
        <v>24</v>
      </c>
      <c r="X24" s="13" t="s">
        <v>64</v>
      </c>
      <c r="Y24" t="s">
        <v>53</v>
      </c>
    </row>
    <row r="25" spans="1:33">
      <c r="A25" t="s">
        <v>18</v>
      </c>
      <c r="B25" t="s">
        <v>136</v>
      </c>
      <c r="W25" s="1">
        <v>25</v>
      </c>
      <c r="X25" s="13" t="s">
        <v>65</v>
      </c>
      <c r="Y25" t="s">
        <v>68</v>
      </c>
    </row>
    <row r="26" spans="1:33">
      <c r="A26" t="s">
        <v>14</v>
      </c>
      <c r="W26" s="1">
        <v>26</v>
      </c>
      <c r="X26" s="13" t="s">
        <v>66</v>
      </c>
      <c r="Y26" t="s">
        <v>69</v>
      </c>
    </row>
    <row r="27" spans="1:33">
      <c r="A27" t="s">
        <v>21</v>
      </c>
      <c r="W27" s="1">
        <v>27</v>
      </c>
      <c r="X27" s="13" t="s">
        <v>67</v>
      </c>
      <c r="Y27" t="s">
        <v>70</v>
      </c>
    </row>
    <row r="28" spans="1:33">
      <c r="A28" t="s">
        <v>147</v>
      </c>
      <c r="W28" s="1">
        <v>28</v>
      </c>
    </row>
    <row r="29" spans="1:33">
      <c r="A29" t="s">
        <v>148</v>
      </c>
      <c r="W29" s="1">
        <v>29</v>
      </c>
    </row>
    <row r="30" spans="1:33">
      <c r="A30" t="s">
        <v>149</v>
      </c>
      <c r="W30" s="1">
        <v>30</v>
      </c>
    </row>
    <row r="31" spans="1:33">
      <c r="W31" s="1">
        <v>31</v>
      </c>
    </row>
    <row r="32" spans="1:33">
      <c r="W32" s="1">
        <v>32</v>
      </c>
    </row>
    <row r="33" spans="23:23">
      <c r="W33" s="1">
        <v>33</v>
      </c>
    </row>
    <row r="34" spans="23:23">
      <c r="W34" s="1">
        <v>34</v>
      </c>
    </row>
    <row r="35" spans="23:23">
      <c r="W35" s="1">
        <v>35</v>
      </c>
    </row>
    <row r="36" spans="23:23">
      <c r="W36" s="1">
        <v>36</v>
      </c>
    </row>
    <row r="37" spans="23:23">
      <c r="W37" s="1">
        <v>37</v>
      </c>
    </row>
    <row r="38" spans="23:23">
      <c r="W38" s="1">
        <v>38</v>
      </c>
    </row>
    <row r="39" spans="23:23">
      <c r="W39" s="1">
        <v>39</v>
      </c>
    </row>
    <row r="40" spans="23:23">
      <c r="W40" s="1">
        <v>40</v>
      </c>
    </row>
    <row r="41" spans="23:23">
      <c r="W41" s="1">
        <v>41</v>
      </c>
    </row>
    <row r="42" spans="23:23">
      <c r="W42" s="1">
        <v>42</v>
      </c>
    </row>
    <row r="43" spans="23:23">
      <c r="W43" s="1">
        <v>43</v>
      </c>
    </row>
    <row r="44" spans="23:23">
      <c r="W44" s="1">
        <v>44</v>
      </c>
    </row>
    <row r="45" spans="23:23">
      <c r="W45" s="1">
        <v>45</v>
      </c>
    </row>
    <row r="46" spans="23:23">
      <c r="W46" s="1">
        <v>46</v>
      </c>
    </row>
    <row r="47" spans="23:23">
      <c r="W47" s="1">
        <v>47</v>
      </c>
    </row>
    <row r="48" spans="23:23">
      <c r="W48" s="1">
        <v>48</v>
      </c>
    </row>
    <row r="49" spans="23:23">
      <c r="W49" s="1">
        <v>49</v>
      </c>
    </row>
    <row r="50" spans="23:23">
      <c r="W50" s="1">
        <v>50</v>
      </c>
    </row>
    <row r="51" spans="23:23">
      <c r="W51" s="1">
        <v>51</v>
      </c>
    </row>
    <row r="52" spans="23:23">
      <c r="W52" s="1">
        <v>52</v>
      </c>
    </row>
    <row r="53" spans="23:23">
      <c r="W53" s="1">
        <v>53</v>
      </c>
    </row>
    <row r="54" spans="23:23">
      <c r="W54" s="1">
        <v>54</v>
      </c>
    </row>
    <row r="55" spans="23:23">
      <c r="W55" s="1">
        <v>55</v>
      </c>
    </row>
    <row r="56" spans="23:23">
      <c r="W56" s="1">
        <v>56</v>
      </c>
    </row>
    <row r="57" spans="23:23">
      <c r="W57" s="1">
        <v>57</v>
      </c>
    </row>
    <row r="58" spans="23:23">
      <c r="W58" s="1">
        <v>58</v>
      </c>
    </row>
    <row r="59" spans="23:23">
      <c r="W59" s="1">
        <v>59</v>
      </c>
    </row>
    <row r="60" spans="23:23">
      <c r="W60" s="1">
        <v>60</v>
      </c>
    </row>
    <row r="61" spans="23:23">
      <c r="W61" s="1">
        <v>61</v>
      </c>
    </row>
    <row r="62" spans="23:23">
      <c r="W62" s="1">
        <v>62</v>
      </c>
    </row>
    <row r="63" spans="23:23">
      <c r="W63" s="1">
        <v>63</v>
      </c>
    </row>
    <row r="64" spans="23:23">
      <c r="W64" s="1">
        <v>64</v>
      </c>
    </row>
    <row r="65" spans="23:23">
      <c r="W65" s="1">
        <v>65</v>
      </c>
    </row>
    <row r="66" spans="23:23">
      <c r="W66" s="1">
        <v>66</v>
      </c>
    </row>
    <row r="67" spans="23:23">
      <c r="W67" s="1">
        <v>67</v>
      </c>
    </row>
    <row r="68" spans="23:23">
      <c r="W68" s="1">
        <v>68</v>
      </c>
    </row>
    <row r="69" spans="23:23">
      <c r="W69" s="1">
        <v>69</v>
      </c>
    </row>
    <row r="70" spans="23:23">
      <c r="W70" s="1">
        <v>70</v>
      </c>
    </row>
    <row r="71" spans="23:23">
      <c r="W71" s="1">
        <v>71</v>
      </c>
    </row>
    <row r="72" spans="23:23">
      <c r="W72" s="1">
        <v>72</v>
      </c>
    </row>
    <row r="73" spans="23:23">
      <c r="W73" s="1">
        <v>73</v>
      </c>
    </row>
    <row r="74" spans="23:23">
      <c r="W74" s="1">
        <v>74</v>
      </c>
    </row>
    <row r="75" spans="23:23">
      <c r="W75" s="1">
        <v>75</v>
      </c>
    </row>
    <row r="76" spans="23:23">
      <c r="W76" s="1">
        <v>76</v>
      </c>
    </row>
    <row r="77" spans="23:23">
      <c r="W77" s="1">
        <v>77</v>
      </c>
    </row>
    <row r="78" spans="23:23">
      <c r="W78" s="1">
        <v>78</v>
      </c>
    </row>
    <row r="79" spans="23:23">
      <c r="W79" s="1">
        <v>79</v>
      </c>
    </row>
    <row r="80" spans="23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K99"/>
  <sheetViews>
    <sheetView zoomScale="73" zoomScaleNormal="73" workbookViewId="0">
      <selection activeCell="R25" sqref="R25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4.85546875" style="1" customWidth="1"/>
    <col min="29" max="29" width="2.140625" style="8" customWidth="1"/>
    <col min="30" max="31" width="4.85546875" style="1" customWidth="1"/>
    <col min="32" max="32" width="2.140625" style="8" customWidth="1"/>
    <col min="33" max="33" width="4.85546875" style="18" customWidth="1"/>
    <col min="34" max="34" width="2.140625" style="8" customWidth="1"/>
    <col min="35" max="35" width="9.7109375" customWidth="1"/>
    <col min="36" max="37" width="4.28515625" style="1" customWidth="1"/>
  </cols>
  <sheetData>
    <row r="1" spans="1:35">
      <c r="A1" s="4" t="s">
        <v>155</v>
      </c>
      <c r="B1" s="4" t="s">
        <v>156</v>
      </c>
      <c r="C1" s="5">
        <v>1</v>
      </c>
      <c r="D1" s="5">
        <v>1</v>
      </c>
      <c r="E1" s="1">
        <f t="shared" ref="E1:E8" si="0">C1-D1</f>
        <v>0</v>
      </c>
      <c r="F1" s="1">
        <f t="shared" ref="F1:F8" si="1">D1-C1</f>
        <v>0</v>
      </c>
      <c r="G1" s="10">
        <v>0.78125</v>
      </c>
      <c r="H1" s="17"/>
      <c r="I1" t="s">
        <v>90</v>
      </c>
      <c r="J1" s="2">
        <f t="shared" ref="J1:J28" si="2">(L1/N1)*IF(N1&gt;5,1,IF(N1=5,0.9,IF(N1=4,0.8,0.7)))</f>
        <v>2</v>
      </c>
      <c r="K1" s="2">
        <f t="shared" ref="K1:K28" si="3">M1/N1</f>
        <v>2</v>
      </c>
      <c r="L1" s="1">
        <f>0+1+3+3+3</f>
        <v>10</v>
      </c>
      <c r="M1" s="1">
        <f>0+0+2+3+3</f>
        <v>8</v>
      </c>
      <c r="N1" s="1">
        <f>0+1+1+1+1</f>
        <v>4</v>
      </c>
      <c r="W1" s="1">
        <v>1</v>
      </c>
      <c r="X1" s="12" t="s">
        <v>56</v>
      </c>
      <c r="Y1" s="4" t="s">
        <v>38</v>
      </c>
      <c r="AA1" s="18"/>
      <c r="AB1" s="18"/>
      <c r="AD1" s="18"/>
      <c r="AE1" s="18"/>
      <c r="AI1" s="12"/>
    </row>
    <row r="2" spans="1:35">
      <c r="A2" s="4" t="s">
        <v>157</v>
      </c>
      <c r="B2" s="4" t="s">
        <v>90</v>
      </c>
      <c r="C2" s="5">
        <v>0</v>
      </c>
      <c r="D2" s="5">
        <v>3</v>
      </c>
      <c r="E2" s="1">
        <f t="shared" si="0"/>
        <v>-3</v>
      </c>
      <c r="F2" s="1">
        <f t="shared" si="1"/>
        <v>3</v>
      </c>
      <c r="G2" s="10">
        <v>0.875</v>
      </c>
      <c r="H2" s="17"/>
      <c r="I2" t="s">
        <v>85</v>
      </c>
      <c r="J2" s="2">
        <f t="shared" si="2"/>
        <v>1.6</v>
      </c>
      <c r="K2" s="2">
        <f t="shared" si="3"/>
        <v>0.75</v>
      </c>
      <c r="L2" s="1">
        <f>0+1+3+1+3</f>
        <v>8</v>
      </c>
      <c r="M2" s="1">
        <f>0+0+2+0+1</f>
        <v>3</v>
      </c>
      <c r="N2" s="1">
        <f>0+1+1+1+1</f>
        <v>4</v>
      </c>
      <c r="W2" s="1">
        <v>2</v>
      </c>
      <c r="X2" s="12" t="s">
        <v>56</v>
      </c>
      <c r="Y2" s="4" t="s">
        <v>38</v>
      </c>
      <c r="AA2" s="18"/>
      <c r="AB2" s="18"/>
      <c r="AD2" s="18"/>
      <c r="AE2" s="18"/>
      <c r="AI2" s="12"/>
    </row>
    <row r="3" spans="1:35">
      <c r="A3" s="4" t="s">
        <v>85</v>
      </c>
      <c r="B3" s="4" t="s">
        <v>158</v>
      </c>
      <c r="C3" s="5">
        <v>1</v>
      </c>
      <c r="D3" s="5">
        <v>0</v>
      </c>
      <c r="E3" s="1">
        <f t="shared" si="0"/>
        <v>1</v>
      </c>
      <c r="F3" s="1">
        <f t="shared" si="1"/>
        <v>-1</v>
      </c>
      <c r="G3" s="10">
        <v>0.875</v>
      </c>
      <c r="H3" s="17"/>
      <c r="I3" t="s">
        <v>86</v>
      </c>
      <c r="J3" s="2">
        <f t="shared" si="2"/>
        <v>0.8</v>
      </c>
      <c r="K3" s="2">
        <f t="shared" si="3"/>
        <v>0</v>
      </c>
      <c r="L3" s="1">
        <f>0+1+1+1+1</f>
        <v>4</v>
      </c>
      <c r="M3" s="1">
        <f>0+0+0+0+0</f>
        <v>0</v>
      </c>
      <c r="N3" s="1">
        <f>0+1+1+1+1</f>
        <v>4</v>
      </c>
      <c r="W3" s="1">
        <v>3</v>
      </c>
      <c r="X3" s="12" t="s">
        <v>56</v>
      </c>
      <c r="Y3" s="4" t="s">
        <v>38</v>
      </c>
      <c r="AA3" s="18"/>
      <c r="AB3" s="18"/>
      <c r="AD3" s="18"/>
      <c r="AE3" s="18"/>
      <c r="AI3" s="12"/>
    </row>
    <row r="4" spans="1:35">
      <c r="A4" s="4" t="s">
        <v>159</v>
      </c>
      <c r="B4" s="4" t="s">
        <v>160</v>
      </c>
      <c r="C4" s="5">
        <v>0</v>
      </c>
      <c r="D4" s="5">
        <v>0</v>
      </c>
      <c r="E4" s="1">
        <f t="shared" si="0"/>
        <v>0</v>
      </c>
      <c r="F4" s="1">
        <f t="shared" si="1"/>
        <v>0</v>
      </c>
      <c r="G4" s="10">
        <v>0.875</v>
      </c>
      <c r="H4" s="17"/>
      <c r="I4" t="s">
        <v>83</v>
      </c>
      <c r="J4" s="2">
        <f t="shared" si="2"/>
        <v>1.4</v>
      </c>
      <c r="K4" s="2">
        <f t="shared" si="3"/>
        <v>0.5</v>
      </c>
      <c r="L4" s="1">
        <f>0+3+1</f>
        <v>4</v>
      </c>
      <c r="M4" s="1">
        <f>0+1+0</f>
        <v>1</v>
      </c>
      <c r="N4" s="1">
        <f t="shared" ref="N4:N10" si="4">0+1+1</f>
        <v>2</v>
      </c>
      <c r="W4" s="1">
        <v>4</v>
      </c>
      <c r="X4" s="12" t="s">
        <v>56</v>
      </c>
      <c r="Y4" s="4" t="s">
        <v>38</v>
      </c>
      <c r="AA4" s="18"/>
      <c r="AB4" s="18"/>
      <c r="AD4" s="18"/>
      <c r="AE4" s="18"/>
      <c r="AI4" s="12"/>
    </row>
    <row r="5" spans="1:35">
      <c r="A5" s="4" t="s">
        <v>83</v>
      </c>
      <c r="B5" s="4" t="s">
        <v>124</v>
      </c>
      <c r="C5" s="5">
        <v>0</v>
      </c>
      <c r="D5" s="5">
        <v>0</v>
      </c>
      <c r="E5" s="1">
        <f t="shared" si="0"/>
        <v>0</v>
      </c>
      <c r="F5" s="1">
        <f t="shared" si="1"/>
        <v>0</v>
      </c>
      <c r="G5" s="10">
        <v>0.875</v>
      </c>
      <c r="H5" s="17"/>
      <c r="I5" t="s">
        <v>124</v>
      </c>
      <c r="J5" s="2">
        <f t="shared" si="2"/>
        <v>1.4</v>
      </c>
      <c r="K5" s="2">
        <f t="shared" si="3"/>
        <v>0.5</v>
      </c>
      <c r="L5" s="1">
        <f>0+3+1</f>
        <v>4</v>
      </c>
      <c r="M5" s="1">
        <f>0+1+0</f>
        <v>1</v>
      </c>
      <c r="N5" s="1">
        <f t="shared" si="4"/>
        <v>2</v>
      </c>
      <c r="W5" s="1">
        <v>5</v>
      </c>
      <c r="X5" s="12" t="s">
        <v>56</v>
      </c>
      <c r="Y5" s="4" t="s">
        <v>38</v>
      </c>
      <c r="AA5" s="18"/>
      <c r="AB5" s="18"/>
      <c r="AD5" s="18"/>
      <c r="AE5" s="18"/>
      <c r="AI5" s="12"/>
    </row>
    <row r="6" spans="1:35">
      <c r="A6" s="4" t="s">
        <v>86</v>
      </c>
      <c r="B6" s="4" t="s">
        <v>161</v>
      </c>
      <c r="C6" s="5">
        <v>2</v>
      </c>
      <c r="D6" s="5">
        <v>2</v>
      </c>
      <c r="E6" s="1">
        <f t="shared" si="0"/>
        <v>0</v>
      </c>
      <c r="F6" s="1">
        <f t="shared" si="1"/>
        <v>0</v>
      </c>
      <c r="G6" s="10">
        <v>0.875</v>
      </c>
      <c r="H6" s="17"/>
      <c r="I6" t="s">
        <v>95</v>
      </c>
      <c r="J6" s="2">
        <f t="shared" si="2"/>
        <v>1.0499999999999998</v>
      </c>
      <c r="K6" s="2">
        <f t="shared" si="3"/>
        <v>2</v>
      </c>
      <c r="L6" s="1">
        <f>0+0+3</f>
        <v>3</v>
      </c>
      <c r="M6" s="1">
        <f>0+-1+5</f>
        <v>4</v>
      </c>
      <c r="N6" s="1">
        <f t="shared" si="4"/>
        <v>2</v>
      </c>
      <c r="W6" s="1">
        <v>6</v>
      </c>
      <c r="X6" s="12" t="s">
        <v>56</v>
      </c>
      <c r="Y6" s="4" t="s">
        <v>38</v>
      </c>
      <c r="AA6" s="18"/>
      <c r="AB6" s="18"/>
      <c r="AD6" s="18"/>
      <c r="AE6" s="18"/>
      <c r="AI6" s="12"/>
    </row>
    <row r="7" spans="1:35">
      <c r="A7" s="4"/>
      <c r="B7" s="4"/>
      <c r="C7" s="5"/>
      <c r="D7" s="5"/>
      <c r="E7" s="1">
        <f t="shared" si="0"/>
        <v>0</v>
      </c>
      <c r="F7" s="1">
        <f t="shared" si="1"/>
        <v>0</v>
      </c>
      <c r="G7" s="10"/>
      <c r="H7" s="17"/>
      <c r="I7" s="3" t="s">
        <v>132</v>
      </c>
      <c r="J7" s="2">
        <f t="shared" si="2"/>
        <v>1.0499999999999998</v>
      </c>
      <c r="K7" s="2">
        <f t="shared" si="3"/>
        <v>0</v>
      </c>
      <c r="L7" s="1">
        <f>0+3+0</f>
        <v>3</v>
      </c>
      <c r="M7" s="1">
        <f>0+1+-1</f>
        <v>0</v>
      </c>
      <c r="N7" s="1">
        <f t="shared" si="4"/>
        <v>2</v>
      </c>
      <c r="W7" s="1">
        <v>7</v>
      </c>
      <c r="X7" s="12"/>
      <c r="Y7" s="4"/>
      <c r="AA7" s="18"/>
      <c r="AB7" s="18"/>
      <c r="AD7" s="18"/>
      <c r="AE7" s="18"/>
      <c r="AI7" s="12"/>
    </row>
    <row r="8" spans="1:35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10"/>
      <c r="H8" s="17"/>
      <c r="I8" t="s">
        <v>91</v>
      </c>
      <c r="J8" s="2">
        <f t="shared" si="2"/>
        <v>1.0499999999999998</v>
      </c>
      <c r="K8" s="2">
        <f t="shared" si="3"/>
        <v>0</v>
      </c>
      <c r="L8" s="1">
        <f>0+0+3</f>
        <v>3</v>
      </c>
      <c r="M8" s="1">
        <f>0+-1+1</f>
        <v>0</v>
      </c>
      <c r="N8" s="1">
        <f t="shared" si="4"/>
        <v>2</v>
      </c>
      <c r="W8" s="1">
        <v>8</v>
      </c>
      <c r="X8" s="12"/>
      <c r="Y8" s="4"/>
      <c r="AA8" s="18"/>
      <c r="AB8" s="18"/>
      <c r="AD8" s="18"/>
      <c r="AE8" s="18"/>
      <c r="AI8" s="12"/>
    </row>
    <row r="9" spans="1:35">
      <c r="A9" t="s">
        <v>6</v>
      </c>
      <c r="C9"/>
      <c r="D9"/>
      <c r="E9"/>
      <c r="F9"/>
      <c r="G9" s="15"/>
      <c r="H9" s="7"/>
      <c r="I9" t="s">
        <v>125</v>
      </c>
      <c r="J9" s="2">
        <f t="shared" si="2"/>
        <v>0</v>
      </c>
      <c r="K9" s="2">
        <f t="shared" si="3"/>
        <v>-2</v>
      </c>
      <c r="L9" s="1">
        <f>0+0+0</f>
        <v>0</v>
      </c>
      <c r="M9" s="1">
        <f>0+-1+-3</f>
        <v>-4</v>
      </c>
      <c r="N9" s="1">
        <f t="shared" si="4"/>
        <v>2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 t="s">
        <v>151</v>
      </c>
      <c r="AE9" s="3" t="s">
        <v>152</v>
      </c>
      <c r="AI9" s="16" t="s">
        <v>154</v>
      </c>
    </row>
    <row r="10" spans="1:35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I10" t="s">
        <v>114</v>
      </c>
      <c r="J10" s="2">
        <f t="shared" si="2"/>
        <v>0</v>
      </c>
      <c r="K10" s="2">
        <f t="shared" si="3"/>
        <v>-3.5</v>
      </c>
      <c r="L10" s="1">
        <f>0+0+0</f>
        <v>0</v>
      </c>
      <c r="M10" s="1">
        <f>0+-2+-5</f>
        <v>-7</v>
      </c>
      <c r="N10" s="1">
        <f t="shared" si="4"/>
        <v>2</v>
      </c>
      <c r="W10" s="1">
        <v>10</v>
      </c>
      <c r="X10" s="13" t="s">
        <v>54</v>
      </c>
      <c r="Y10" t="s">
        <v>38</v>
      </c>
    </row>
    <row r="11" spans="1:35">
      <c r="A11" t="s">
        <v>7</v>
      </c>
      <c r="C11"/>
      <c r="D11"/>
      <c r="E11"/>
      <c r="F11"/>
      <c r="I11" t="s">
        <v>139</v>
      </c>
      <c r="J11" s="2">
        <f t="shared" si="2"/>
        <v>2.0999999999999996</v>
      </c>
      <c r="K11" s="2">
        <f t="shared" si="3"/>
        <v>2</v>
      </c>
      <c r="L11" s="1">
        <f>0+3</f>
        <v>3</v>
      </c>
      <c r="M11" s="1">
        <f>0+2</f>
        <v>2</v>
      </c>
      <c r="N11" s="1">
        <f t="shared" ref="N11:N28" si="5">0+1</f>
        <v>1</v>
      </c>
      <c r="W11" s="1">
        <v>11</v>
      </c>
      <c r="X11" s="13" t="s">
        <v>55</v>
      </c>
      <c r="Y11" t="s">
        <v>39</v>
      </c>
    </row>
    <row r="12" spans="1:35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I12" t="s">
        <v>94</v>
      </c>
      <c r="J12" s="2">
        <f t="shared" si="2"/>
        <v>2.0999999999999996</v>
      </c>
      <c r="K12" s="2">
        <f t="shared" si="3"/>
        <v>1</v>
      </c>
      <c r="L12" s="1">
        <f>0+3</f>
        <v>3</v>
      </c>
      <c r="M12" s="1">
        <f>0+1</f>
        <v>1</v>
      </c>
      <c r="N12" s="1">
        <f t="shared" si="5"/>
        <v>1</v>
      </c>
      <c r="W12" s="1">
        <v>12</v>
      </c>
      <c r="X12" s="13" t="s">
        <v>25</v>
      </c>
      <c r="Y12" t="s">
        <v>40</v>
      </c>
    </row>
    <row r="13" spans="1:35">
      <c r="A13" t="s">
        <v>15</v>
      </c>
      <c r="C13"/>
      <c r="D13"/>
      <c r="E13"/>
      <c r="F13"/>
      <c r="I13" t="s">
        <v>89</v>
      </c>
      <c r="J13" s="2">
        <f t="shared" si="2"/>
        <v>0.7</v>
      </c>
      <c r="K13" s="2">
        <f t="shared" si="3"/>
        <v>0</v>
      </c>
      <c r="L13" s="1">
        <f t="shared" ref="L13:L23" si="6">0+1</f>
        <v>1</v>
      </c>
      <c r="M13" s="1">
        <f t="shared" ref="M13:M23" si="7">0+0</f>
        <v>0</v>
      </c>
      <c r="N13" s="1">
        <f t="shared" si="5"/>
        <v>1</v>
      </c>
      <c r="W13" s="1">
        <v>13</v>
      </c>
      <c r="X13" s="13" t="s">
        <v>29</v>
      </c>
      <c r="Y13" t="s">
        <v>45</v>
      </c>
    </row>
    <row r="14" spans="1:35">
      <c r="A14" s="3" t="s">
        <v>30</v>
      </c>
      <c r="C14"/>
      <c r="D14"/>
      <c r="E14"/>
      <c r="F14"/>
      <c r="I14" t="s">
        <v>96</v>
      </c>
      <c r="J14" s="2">
        <f t="shared" si="2"/>
        <v>0.7</v>
      </c>
      <c r="K14" s="2">
        <f t="shared" si="3"/>
        <v>0</v>
      </c>
      <c r="L14" s="1">
        <f t="shared" si="6"/>
        <v>1</v>
      </c>
      <c r="M14" s="1">
        <f t="shared" si="7"/>
        <v>0</v>
      </c>
      <c r="N14" s="1">
        <f t="shared" si="5"/>
        <v>1</v>
      </c>
      <c r="W14" s="1">
        <v>14</v>
      </c>
      <c r="X14" s="13" t="s">
        <v>56</v>
      </c>
      <c r="Y14" t="s">
        <v>42</v>
      </c>
    </row>
    <row r="15" spans="1:35">
      <c r="A15" t="s">
        <v>133</v>
      </c>
      <c r="C15"/>
      <c r="D15"/>
      <c r="E15"/>
      <c r="F15"/>
      <c r="I15" t="s">
        <v>123</v>
      </c>
      <c r="J15" s="2">
        <f t="shared" si="2"/>
        <v>0.7</v>
      </c>
      <c r="K15" s="2">
        <f t="shared" si="3"/>
        <v>0</v>
      </c>
      <c r="L15" s="1">
        <f t="shared" si="6"/>
        <v>1</v>
      </c>
      <c r="M15" s="1">
        <f t="shared" si="7"/>
        <v>0</v>
      </c>
      <c r="N15" s="1">
        <f t="shared" si="5"/>
        <v>1</v>
      </c>
      <c r="W15" s="1">
        <v>15</v>
      </c>
      <c r="X15" s="13" t="s">
        <v>57</v>
      </c>
      <c r="Y15" t="s">
        <v>43</v>
      </c>
    </row>
    <row r="16" spans="1:35">
      <c r="A16" t="s">
        <v>23</v>
      </c>
      <c r="C16"/>
      <c r="D16"/>
      <c r="E16"/>
      <c r="F16"/>
      <c r="I16" t="s">
        <v>126</v>
      </c>
      <c r="J16" s="2">
        <f t="shared" si="2"/>
        <v>0.7</v>
      </c>
      <c r="K16" s="2">
        <f t="shared" si="3"/>
        <v>0</v>
      </c>
      <c r="L16" s="1">
        <f t="shared" si="6"/>
        <v>1</v>
      </c>
      <c r="M16" s="1">
        <f t="shared" si="7"/>
        <v>0</v>
      </c>
      <c r="N16" s="1">
        <f t="shared" si="5"/>
        <v>1</v>
      </c>
      <c r="W16" s="1">
        <v>16</v>
      </c>
      <c r="X16" s="13" t="s">
        <v>58</v>
      </c>
      <c r="Y16" t="s">
        <v>44</v>
      </c>
    </row>
    <row r="17" spans="1:25">
      <c r="A17" t="s">
        <v>134</v>
      </c>
      <c r="I17" t="s">
        <v>137</v>
      </c>
      <c r="J17" s="2">
        <f t="shared" si="2"/>
        <v>0.7</v>
      </c>
      <c r="K17" s="2">
        <f t="shared" si="3"/>
        <v>0</v>
      </c>
      <c r="L17" s="1">
        <f t="shared" si="6"/>
        <v>1</v>
      </c>
      <c r="M17" s="1">
        <f t="shared" si="7"/>
        <v>0</v>
      </c>
      <c r="N17" s="1">
        <f t="shared" si="5"/>
        <v>1</v>
      </c>
      <c r="W17" s="1">
        <v>17</v>
      </c>
      <c r="X17" s="13" t="s">
        <v>59</v>
      </c>
      <c r="Y17" t="s">
        <v>46</v>
      </c>
    </row>
    <row r="18" spans="1:25">
      <c r="A18" t="s">
        <v>33</v>
      </c>
      <c r="C18"/>
      <c r="D18"/>
      <c r="E18"/>
      <c r="F18"/>
      <c r="I18" t="s">
        <v>138</v>
      </c>
      <c r="J18" s="2">
        <f t="shared" si="2"/>
        <v>0.7</v>
      </c>
      <c r="K18" s="2">
        <f t="shared" si="3"/>
        <v>0</v>
      </c>
      <c r="L18" s="1">
        <f t="shared" si="6"/>
        <v>1</v>
      </c>
      <c r="M18" s="1">
        <f t="shared" si="7"/>
        <v>0</v>
      </c>
      <c r="N18" s="1">
        <f t="shared" si="5"/>
        <v>1</v>
      </c>
      <c r="W18" s="1">
        <v>18</v>
      </c>
      <c r="X18" s="13" t="s">
        <v>60</v>
      </c>
      <c r="Y18" t="s">
        <v>47</v>
      </c>
    </row>
    <row r="19" spans="1:25">
      <c r="A19" t="s">
        <v>135</v>
      </c>
      <c r="I19" t="s">
        <v>155</v>
      </c>
      <c r="J19" s="2">
        <f t="shared" si="2"/>
        <v>0.7</v>
      </c>
      <c r="K19" s="2">
        <f t="shared" si="3"/>
        <v>0</v>
      </c>
      <c r="L19" s="1">
        <f t="shared" si="6"/>
        <v>1</v>
      </c>
      <c r="M19" s="1">
        <f t="shared" si="7"/>
        <v>0</v>
      </c>
      <c r="N19" s="1">
        <f t="shared" si="5"/>
        <v>1</v>
      </c>
      <c r="W19" s="1">
        <v>19</v>
      </c>
      <c r="X19" s="13" t="s">
        <v>26</v>
      </c>
      <c r="Y19" t="s">
        <v>48</v>
      </c>
    </row>
    <row r="20" spans="1:25">
      <c r="A20" t="s">
        <v>19</v>
      </c>
      <c r="I20" t="s">
        <v>159</v>
      </c>
      <c r="J20" s="2">
        <f t="shared" si="2"/>
        <v>0.7</v>
      </c>
      <c r="K20" s="2">
        <f t="shared" si="3"/>
        <v>0</v>
      </c>
      <c r="L20" s="1">
        <f t="shared" si="6"/>
        <v>1</v>
      </c>
      <c r="M20" s="1">
        <f t="shared" si="7"/>
        <v>0</v>
      </c>
      <c r="N20" s="1">
        <f t="shared" si="5"/>
        <v>1</v>
      </c>
      <c r="W20" s="1">
        <v>20</v>
      </c>
      <c r="X20" s="13" t="s">
        <v>61</v>
      </c>
      <c r="Y20" t="s">
        <v>49</v>
      </c>
    </row>
    <row r="21" spans="1:25">
      <c r="B21" t="s">
        <v>20</v>
      </c>
      <c r="I21" t="s">
        <v>156</v>
      </c>
      <c r="J21" s="2">
        <f t="shared" si="2"/>
        <v>0.7</v>
      </c>
      <c r="K21" s="2">
        <f t="shared" si="3"/>
        <v>0</v>
      </c>
      <c r="L21" s="1">
        <f t="shared" si="6"/>
        <v>1</v>
      </c>
      <c r="M21" s="1">
        <f t="shared" si="7"/>
        <v>0</v>
      </c>
      <c r="N21" s="1">
        <f t="shared" si="5"/>
        <v>1</v>
      </c>
      <c r="W21" s="1">
        <v>21</v>
      </c>
      <c r="X21" s="13" t="s">
        <v>62</v>
      </c>
      <c r="Y21" t="s">
        <v>50</v>
      </c>
    </row>
    <row r="22" spans="1:25">
      <c r="B22" t="s">
        <v>88</v>
      </c>
      <c r="I22" t="s">
        <v>160</v>
      </c>
      <c r="J22" s="2">
        <f t="shared" si="2"/>
        <v>0.7</v>
      </c>
      <c r="K22" s="2">
        <f t="shared" si="3"/>
        <v>0</v>
      </c>
      <c r="L22" s="1">
        <f t="shared" si="6"/>
        <v>1</v>
      </c>
      <c r="M22" s="1">
        <f t="shared" si="7"/>
        <v>0</v>
      </c>
      <c r="N22" s="1">
        <f t="shared" si="5"/>
        <v>1</v>
      </c>
      <c r="W22" s="1">
        <v>22</v>
      </c>
      <c r="X22" s="13" t="s">
        <v>63</v>
      </c>
      <c r="Y22" t="s">
        <v>51</v>
      </c>
    </row>
    <row r="23" spans="1:25">
      <c r="A23" t="s">
        <v>16</v>
      </c>
      <c r="C23"/>
      <c r="D23"/>
      <c r="E23"/>
      <c r="F23"/>
      <c r="I23" t="s">
        <v>161</v>
      </c>
      <c r="J23" s="2">
        <f t="shared" si="2"/>
        <v>0.7</v>
      </c>
      <c r="K23" s="2">
        <f t="shared" si="3"/>
        <v>0</v>
      </c>
      <c r="L23" s="1">
        <f t="shared" si="6"/>
        <v>1</v>
      </c>
      <c r="M23" s="1">
        <f t="shared" si="7"/>
        <v>0</v>
      </c>
      <c r="N23" s="1">
        <f t="shared" si="5"/>
        <v>1</v>
      </c>
      <c r="W23" s="1">
        <v>23</v>
      </c>
      <c r="X23" s="13" t="s">
        <v>28</v>
      </c>
      <c r="Y23" t="s">
        <v>52</v>
      </c>
    </row>
    <row r="24" spans="1:25">
      <c r="A24" t="s">
        <v>17</v>
      </c>
      <c r="B24" s="2" t="e">
        <f t="shared" ref="B24" si="8">(D24/F24)*IF(F24&gt;5,1,IF(F24=5,0.9,IF(F24=4,0.8,0.7)))</f>
        <v>#DIV/0!</v>
      </c>
      <c r="C24" s="2" t="e">
        <f t="shared" ref="C24" si="9">E24/F24</f>
        <v>#DIV/0!</v>
      </c>
      <c r="D24" s="1">
        <f>0</f>
        <v>0</v>
      </c>
      <c r="E24" s="1">
        <f>0</f>
        <v>0</v>
      </c>
      <c r="F24" s="1">
        <f>0</f>
        <v>0</v>
      </c>
      <c r="I24" t="s">
        <v>84</v>
      </c>
      <c r="J24" s="2">
        <f t="shared" si="2"/>
        <v>0</v>
      </c>
      <c r="K24" s="2">
        <f t="shared" si="3"/>
        <v>-1</v>
      </c>
      <c r="L24" s="1">
        <f>0+0</f>
        <v>0</v>
      </c>
      <c r="M24" s="1">
        <f>0-1</f>
        <v>-1</v>
      </c>
      <c r="N24" s="1">
        <f t="shared" si="5"/>
        <v>1</v>
      </c>
      <c r="W24" s="1">
        <v>24</v>
      </c>
      <c r="X24" s="13" t="s">
        <v>64</v>
      </c>
      <c r="Y24" t="s">
        <v>53</v>
      </c>
    </row>
    <row r="25" spans="1:25">
      <c r="A25" t="s">
        <v>18</v>
      </c>
      <c r="B25" t="s">
        <v>136</v>
      </c>
      <c r="I25" t="s">
        <v>158</v>
      </c>
      <c r="J25" s="2">
        <f t="shared" si="2"/>
        <v>0</v>
      </c>
      <c r="K25" s="2">
        <f t="shared" si="3"/>
        <v>-1</v>
      </c>
      <c r="L25" s="1">
        <f>0+0</f>
        <v>0</v>
      </c>
      <c r="M25" s="1">
        <f>0+-1</f>
        <v>-1</v>
      </c>
      <c r="N25" s="1">
        <f t="shared" si="5"/>
        <v>1</v>
      </c>
      <c r="W25" s="1">
        <v>25</v>
      </c>
      <c r="X25" s="13" t="s">
        <v>65</v>
      </c>
      <c r="Y25" t="s">
        <v>68</v>
      </c>
    </row>
    <row r="26" spans="1:25">
      <c r="A26" t="s">
        <v>14</v>
      </c>
      <c r="I26" t="s">
        <v>93</v>
      </c>
      <c r="J26" s="2">
        <f t="shared" si="2"/>
        <v>0</v>
      </c>
      <c r="K26" s="2">
        <f t="shared" si="3"/>
        <v>-2</v>
      </c>
      <c r="L26" s="1">
        <f>0+0</f>
        <v>0</v>
      </c>
      <c r="M26" s="1">
        <f>0+-2</f>
        <v>-2</v>
      </c>
      <c r="N26" s="1">
        <f t="shared" si="5"/>
        <v>1</v>
      </c>
      <c r="W26" s="1">
        <v>26</v>
      </c>
      <c r="X26" s="13" t="s">
        <v>66</v>
      </c>
      <c r="Y26" t="s">
        <v>69</v>
      </c>
    </row>
    <row r="27" spans="1:25">
      <c r="A27" t="s">
        <v>21</v>
      </c>
      <c r="I27" t="s">
        <v>140</v>
      </c>
      <c r="J27" s="2">
        <f t="shared" si="2"/>
        <v>0</v>
      </c>
      <c r="K27" s="2">
        <f t="shared" si="3"/>
        <v>-2</v>
      </c>
      <c r="L27" s="1">
        <f>0+0</f>
        <v>0</v>
      </c>
      <c r="M27" s="1">
        <f>0+-2</f>
        <v>-2</v>
      </c>
      <c r="N27" s="1">
        <f t="shared" si="5"/>
        <v>1</v>
      </c>
      <c r="W27" s="1">
        <v>27</v>
      </c>
      <c r="X27" s="13" t="s">
        <v>67</v>
      </c>
      <c r="Y27" t="s">
        <v>70</v>
      </c>
    </row>
    <row r="28" spans="1:25">
      <c r="A28" t="s">
        <v>147</v>
      </c>
      <c r="I28" t="s">
        <v>157</v>
      </c>
      <c r="J28" s="2">
        <f t="shared" si="2"/>
        <v>0</v>
      </c>
      <c r="K28" s="2">
        <f t="shared" si="3"/>
        <v>-3</v>
      </c>
      <c r="L28" s="1">
        <f>0+0</f>
        <v>0</v>
      </c>
      <c r="M28" s="1">
        <f>0+-3</f>
        <v>-3</v>
      </c>
      <c r="N28" s="1">
        <f t="shared" si="5"/>
        <v>1</v>
      </c>
      <c r="W28" s="1">
        <v>28</v>
      </c>
    </row>
    <row r="29" spans="1:25">
      <c r="A29" t="s">
        <v>148</v>
      </c>
      <c r="W29" s="1">
        <v>29</v>
      </c>
    </row>
    <row r="30" spans="1:25">
      <c r="A30" t="s">
        <v>149</v>
      </c>
      <c r="W30" s="1">
        <v>30</v>
      </c>
    </row>
    <row r="31" spans="1:25">
      <c r="W31" s="1">
        <v>31</v>
      </c>
    </row>
    <row r="32" spans="1:25">
      <c r="W32" s="1">
        <v>32</v>
      </c>
    </row>
    <row r="33" spans="23:23">
      <c r="W33" s="1">
        <v>33</v>
      </c>
    </row>
    <row r="34" spans="23:23">
      <c r="W34" s="1">
        <v>34</v>
      </c>
    </row>
    <row r="35" spans="23:23">
      <c r="W35" s="1">
        <v>35</v>
      </c>
    </row>
    <row r="36" spans="23:23">
      <c r="W36" s="1">
        <v>36</v>
      </c>
    </row>
    <row r="37" spans="23:23">
      <c r="W37" s="1">
        <v>37</v>
      </c>
    </row>
    <row r="38" spans="23:23">
      <c r="W38" s="1">
        <v>38</v>
      </c>
    </row>
    <row r="39" spans="23:23">
      <c r="W39" s="1">
        <v>39</v>
      </c>
    </row>
    <row r="40" spans="23:23">
      <c r="W40" s="1">
        <v>40</v>
      </c>
    </row>
    <row r="41" spans="23:23">
      <c r="W41" s="1">
        <v>41</v>
      </c>
    </row>
    <row r="42" spans="23:23">
      <c r="W42" s="1">
        <v>42</v>
      </c>
    </row>
    <row r="43" spans="23:23">
      <c r="W43" s="1">
        <v>43</v>
      </c>
    </row>
    <row r="44" spans="23:23">
      <c r="W44" s="1">
        <v>44</v>
      </c>
    </row>
    <row r="45" spans="23:23">
      <c r="W45" s="1">
        <v>45</v>
      </c>
    </row>
    <row r="46" spans="23:23">
      <c r="W46" s="1">
        <v>46</v>
      </c>
    </row>
    <row r="47" spans="23:23">
      <c r="W47" s="1">
        <v>47</v>
      </c>
    </row>
    <row r="48" spans="23:23">
      <c r="W48" s="1">
        <v>48</v>
      </c>
    </row>
    <row r="49" spans="23:23">
      <c r="W49" s="1">
        <v>49</v>
      </c>
    </row>
    <row r="50" spans="23:23">
      <c r="W50" s="1">
        <v>50</v>
      </c>
    </row>
    <row r="51" spans="23:23">
      <c r="W51" s="1">
        <v>51</v>
      </c>
    </row>
    <row r="52" spans="23:23">
      <c r="W52" s="1">
        <v>52</v>
      </c>
    </row>
    <row r="53" spans="23:23">
      <c r="W53" s="1">
        <v>53</v>
      </c>
    </row>
    <row r="54" spans="23:23">
      <c r="W54" s="1">
        <v>54</v>
      </c>
    </row>
    <row r="55" spans="23:23">
      <c r="W55" s="1">
        <v>55</v>
      </c>
    </row>
    <row r="56" spans="23:23">
      <c r="W56" s="1">
        <v>56</v>
      </c>
    </row>
    <row r="57" spans="23:23">
      <c r="W57" s="1">
        <v>57</v>
      </c>
    </row>
    <row r="58" spans="23:23">
      <c r="W58" s="1">
        <v>58</v>
      </c>
    </row>
    <row r="59" spans="23:23">
      <c r="W59" s="1">
        <v>59</v>
      </c>
    </row>
    <row r="60" spans="23:23">
      <c r="W60" s="1">
        <v>60</v>
      </c>
    </row>
    <row r="61" spans="23:23">
      <c r="W61" s="1">
        <v>61</v>
      </c>
    </row>
    <row r="62" spans="23:23">
      <c r="W62" s="1">
        <v>62</v>
      </c>
    </row>
    <row r="63" spans="23:23">
      <c r="W63" s="1">
        <v>63</v>
      </c>
    </row>
    <row r="64" spans="23:23">
      <c r="W64" s="1">
        <v>64</v>
      </c>
    </row>
    <row r="65" spans="23:23">
      <c r="W65" s="1">
        <v>65</v>
      </c>
    </row>
    <row r="66" spans="23:23">
      <c r="W66" s="1">
        <v>66</v>
      </c>
    </row>
    <row r="67" spans="23:23">
      <c r="W67" s="1">
        <v>67</v>
      </c>
    </row>
    <row r="68" spans="23:23">
      <c r="W68" s="1">
        <v>68</v>
      </c>
    </row>
    <row r="69" spans="23:23">
      <c r="W69" s="1">
        <v>69</v>
      </c>
    </row>
    <row r="70" spans="23:23">
      <c r="W70" s="1">
        <v>70</v>
      </c>
    </row>
    <row r="71" spans="23:23">
      <c r="W71" s="1">
        <v>71</v>
      </c>
    </row>
    <row r="72" spans="23:23">
      <c r="W72" s="1">
        <v>72</v>
      </c>
    </row>
    <row r="73" spans="23:23">
      <c r="W73" s="1">
        <v>73</v>
      </c>
    </row>
    <row r="74" spans="23:23">
      <c r="W74" s="1">
        <v>74</v>
      </c>
    </row>
    <row r="75" spans="23:23">
      <c r="W75" s="1">
        <v>75</v>
      </c>
    </row>
    <row r="76" spans="23:23">
      <c r="W76" s="1">
        <v>76</v>
      </c>
    </row>
    <row r="77" spans="23:23">
      <c r="W77" s="1">
        <v>77</v>
      </c>
    </row>
    <row r="78" spans="23:23">
      <c r="W78" s="1">
        <v>78</v>
      </c>
    </row>
    <row r="79" spans="23:23">
      <c r="W79" s="1">
        <v>79</v>
      </c>
    </row>
    <row r="80" spans="23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sortState ref="I1:N99">
    <sortCondition descending="1" ref="J1:J99"/>
    <sortCondition descending="1" ref="K1:K99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K99"/>
  <sheetViews>
    <sheetView zoomScale="73" zoomScaleNormal="73" workbookViewId="0">
      <selection activeCell="W5" sqref="W5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4.85546875" style="1" customWidth="1"/>
    <col min="29" max="29" width="2.140625" style="8" customWidth="1"/>
    <col min="30" max="31" width="4.85546875" style="1" customWidth="1"/>
    <col min="32" max="32" width="2.140625" style="8" customWidth="1"/>
    <col min="33" max="33" width="4.85546875" style="18" customWidth="1"/>
    <col min="34" max="34" width="2.140625" style="8" customWidth="1"/>
    <col min="35" max="35" width="9.7109375" customWidth="1"/>
    <col min="36" max="37" width="4.28515625" style="1" customWidth="1"/>
  </cols>
  <sheetData>
    <row r="1" spans="1:37">
      <c r="A1" s="4" t="s">
        <v>126</v>
      </c>
      <c r="B1" s="4" t="s">
        <v>138</v>
      </c>
      <c r="C1" s="5">
        <v>0</v>
      </c>
      <c r="D1" s="5">
        <v>0</v>
      </c>
      <c r="E1" s="1">
        <f t="shared" ref="E1:E8" si="0">C1-D1</f>
        <v>0</v>
      </c>
      <c r="F1" s="1">
        <f t="shared" ref="F1:F8" si="1">D1-C1</f>
        <v>0</v>
      </c>
      <c r="G1" s="10">
        <v>0.875</v>
      </c>
      <c r="H1" s="17"/>
      <c r="I1" t="s">
        <v>90</v>
      </c>
      <c r="J1" s="2">
        <f t="shared" ref="J1:J31" si="2">(L1/N1)*IF(N1&gt;5,1,IF(N1=5,0.9,IF(N1=4,0.8,0.7)))</f>
        <v>2</v>
      </c>
      <c r="K1" s="2">
        <f t="shared" ref="K1:K31" si="3">M1/N1</f>
        <v>2</v>
      </c>
      <c r="L1" s="1">
        <f>0+1+3+3+3</f>
        <v>10</v>
      </c>
      <c r="M1" s="1">
        <f>0+0+2+3+3</f>
        <v>8</v>
      </c>
      <c r="N1" s="1">
        <f>0+1+1+1+1</f>
        <v>4</v>
      </c>
      <c r="W1" s="1">
        <v>1</v>
      </c>
      <c r="X1" s="12" t="s">
        <v>56</v>
      </c>
      <c r="Y1" s="4" t="s">
        <v>38</v>
      </c>
      <c r="AA1" s="18" t="s">
        <v>128</v>
      </c>
      <c r="AB1" s="18" t="s">
        <v>113</v>
      </c>
      <c r="AD1" s="18"/>
      <c r="AE1" s="18"/>
      <c r="AG1" s="18" t="s">
        <v>111</v>
      </c>
      <c r="AI1" s="12"/>
    </row>
    <row r="2" spans="1:37">
      <c r="A2" s="4" t="s">
        <v>162</v>
      </c>
      <c r="B2" s="4" t="s">
        <v>163</v>
      </c>
      <c r="C2" s="5">
        <v>0</v>
      </c>
      <c r="D2" s="5">
        <v>1</v>
      </c>
      <c r="E2" s="1">
        <f t="shared" si="0"/>
        <v>-1</v>
      </c>
      <c r="F2" s="1">
        <f t="shared" si="1"/>
        <v>1</v>
      </c>
      <c r="G2" s="10">
        <v>0.875</v>
      </c>
      <c r="H2" s="17"/>
      <c r="I2" t="s">
        <v>85</v>
      </c>
      <c r="J2" s="2">
        <f t="shared" si="2"/>
        <v>1.6</v>
      </c>
      <c r="K2" s="2">
        <f t="shared" si="3"/>
        <v>0.75</v>
      </c>
      <c r="L2" s="1">
        <f>0+1+3+1+3</f>
        <v>8</v>
      </c>
      <c r="M2" s="1">
        <f>0+0+2+0+1</f>
        <v>3</v>
      </c>
      <c r="N2" s="1">
        <f>0+1+1+1+1</f>
        <v>4</v>
      </c>
      <c r="W2" s="1">
        <v>2</v>
      </c>
      <c r="X2" s="12" t="s">
        <v>56</v>
      </c>
      <c r="Y2" s="4" t="s">
        <v>38</v>
      </c>
      <c r="AA2" s="18" t="s">
        <v>128</v>
      </c>
      <c r="AB2" s="18" t="s">
        <v>113</v>
      </c>
      <c r="AD2" s="18"/>
      <c r="AE2" s="18"/>
      <c r="AG2" s="18" t="s">
        <v>119</v>
      </c>
      <c r="AI2" s="12"/>
    </row>
    <row r="3" spans="1:37">
      <c r="A3" s="4" t="s">
        <v>123</v>
      </c>
      <c r="B3" s="4" t="s">
        <v>139</v>
      </c>
      <c r="C3" s="5">
        <v>3</v>
      </c>
      <c r="D3" s="5">
        <v>2</v>
      </c>
      <c r="E3" s="1">
        <f t="shared" si="0"/>
        <v>1</v>
      </c>
      <c r="F3" s="1">
        <f t="shared" si="1"/>
        <v>-1</v>
      </c>
      <c r="G3" s="10">
        <v>0.875</v>
      </c>
      <c r="H3" s="17"/>
      <c r="I3" t="s">
        <v>95</v>
      </c>
      <c r="J3" s="2">
        <f t="shared" si="2"/>
        <v>1.4</v>
      </c>
      <c r="K3" s="2">
        <f t="shared" si="3"/>
        <v>2.3333333333333335</v>
      </c>
      <c r="L3" s="1">
        <f>0+0+3+3</f>
        <v>6</v>
      </c>
      <c r="M3" s="1">
        <f>0+-1+5+3</f>
        <v>7</v>
      </c>
      <c r="N3" s="1">
        <f>0+1+1+1</f>
        <v>3</v>
      </c>
      <c r="W3" s="1">
        <v>3</v>
      </c>
      <c r="X3" s="12" t="s">
        <v>56</v>
      </c>
      <c r="Y3" s="4" t="s">
        <v>38</v>
      </c>
      <c r="AA3" s="18" t="s">
        <v>110</v>
      </c>
      <c r="AB3" s="18" t="s">
        <v>113</v>
      </c>
      <c r="AD3" s="18"/>
      <c r="AE3" s="18"/>
      <c r="AG3" s="18" t="s">
        <v>111</v>
      </c>
      <c r="AI3" s="12"/>
      <c r="AJ3" s="1" t="s">
        <v>150</v>
      </c>
    </row>
    <row r="4" spans="1:37">
      <c r="A4" s="4" t="s">
        <v>95</v>
      </c>
      <c r="B4" s="4" t="s">
        <v>125</v>
      </c>
      <c r="C4" s="5">
        <v>6</v>
      </c>
      <c r="D4" s="5">
        <v>3</v>
      </c>
      <c r="E4" s="1">
        <f t="shared" si="0"/>
        <v>3</v>
      </c>
      <c r="F4" s="1">
        <f t="shared" si="1"/>
        <v>-3</v>
      </c>
      <c r="G4" s="10">
        <v>0.875</v>
      </c>
      <c r="H4" s="17"/>
      <c r="I4" t="s">
        <v>86</v>
      </c>
      <c r="J4" s="2">
        <f t="shared" si="2"/>
        <v>0.8</v>
      </c>
      <c r="K4" s="2">
        <f t="shared" si="3"/>
        <v>0</v>
      </c>
      <c r="L4" s="1">
        <f>0+1+1+1+1</f>
        <v>4</v>
      </c>
      <c r="M4" s="1">
        <f>0+0+0+0+0</f>
        <v>0</v>
      </c>
      <c r="N4" s="1">
        <f>0+1+1+1+1</f>
        <v>4</v>
      </c>
      <c r="W4" s="1">
        <v>4</v>
      </c>
      <c r="X4" s="12" t="s">
        <v>56</v>
      </c>
      <c r="Y4" s="4" t="s">
        <v>38</v>
      </c>
      <c r="AA4" s="18" t="s">
        <v>128</v>
      </c>
      <c r="AB4" s="18" t="s">
        <v>113</v>
      </c>
      <c r="AD4" s="18"/>
      <c r="AE4" s="18"/>
      <c r="AG4" s="18" t="s">
        <v>131</v>
      </c>
      <c r="AI4" s="12"/>
      <c r="AK4" s="1" t="s">
        <v>153</v>
      </c>
    </row>
    <row r="5" spans="1:37">
      <c r="A5" s="4" t="s">
        <v>137</v>
      </c>
      <c r="B5" s="4" t="s">
        <v>164</v>
      </c>
      <c r="C5" s="5">
        <v>1</v>
      </c>
      <c r="D5" s="5">
        <v>5</v>
      </c>
      <c r="E5" s="1">
        <f t="shared" si="0"/>
        <v>-4</v>
      </c>
      <c r="F5" s="1">
        <f t="shared" si="1"/>
        <v>4</v>
      </c>
      <c r="G5" s="10">
        <v>0.875</v>
      </c>
      <c r="H5" s="17"/>
      <c r="I5" t="s">
        <v>125</v>
      </c>
      <c r="J5" s="2">
        <f t="shared" si="2"/>
        <v>0</v>
      </c>
      <c r="K5" s="2">
        <f t="shared" si="3"/>
        <v>-2.3333333333333335</v>
      </c>
      <c r="L5" s="1">
        <f>0+0+0+0</f>
        <v>0</v>
      </c>
      <c r="M5" s="1">
        <f>0+-1+-3+-3</f>
        <v>-7</v>
      </c>
      <c r="N5" s="1">
        <f>0+1+1+1</f>
        <v>3</v>
      </c>
      <c r="W5" s="1">
        <v>5</v>
      </c>
      <c r="X5" s="12" t="s">
        <v>56</v>
      </c>
      <c r="Y5" s="4" t="s">
        <v>38</v>
      </c>
      <c r="AA5" s="18" t="s">
        <v>128</v>
      </c>
      <c r="AB5" s="18" t="s">
        <v>111</v>
      </c>
      <c r="AD5" s="18"/>
      <c r="AE5" s="18"/>
      <c r="AG5" s="18" t="s">
        <v>113</v>
      </c>
      <c r="AI5" s="12"/>
      <c r="AJ5" s="1" t="s">
        <v>150</v>
      </c>
    </row>
    <row r="6" spans="1:37">
      <c r="A6" s="4"/>
      <c r="B6" s="4"/>
      <c r="C6" s="5"/>
      <c r="D6" s="5"/>
      <c r="E6" s="1">
        <f t="shared" si="0"/>
        <v>0</v>
      </c>
      <c r="F6" s="1">
        <f t="shared" si="1"/>
        <v>0</v>
      </c>
      <c r="G6" s="10"/>
      <c r="H6" s="17"/>
      <c r="I6" t="s">
        <v>83</v>
      </c>
      <c r="J6" s="2">
        <f t="shared" si="2"/>
        <v>1.4</v>
      </c>
      <c r="K6" s="2">
        <f t="shared" si="3"/>
        <v>0.5</v>
      </c>
      <c r="L6" s="1">
        <f>0+3+1</f>
        <v>4</v>
      </c>
      <c r="M6" s="1">
        <f>0+1+0</f>
        <v>1</v>
      </c>
      <c r="N6" s="1">
        <f t="shared" ref="N6:N15" si="4">0+1+1</f>
        <v>2</v>
      </c>
      <c r="W6" s="1">
        <v>6</v>
      </c>
      <c r="X6" s="12"/>
      <c r="Y6" s="4"/>
      <c r="AA6" s="18"/>
      <c r="AB6" s="18"/>
      <c r="AD6" s="18"/>
      <c r="AE6" s="18"/>
      <c r="AG6" s="18" t="s">
        <v>111</v>
      </c>
      <c r="AI6" s="12"/>
    </row>
    <row r="7" spans="1:37">
      <c r="A7" s="4"/>
      <c r="B7" s="4"/>
      <c r="C7" s="5"/>
      <c r="D7" s="5"/>
      <c r="E7" s="1">
        <f t="shared" si="0"/>
        <v>0</v>
      </c>
      <c r="F7" s="1">
        <f t="shared" si="1"/>
        <v>0</v>
      </c>
      <c r="G7" s="10"/>
      <c r="H7" s="17"/>
      <c r="I7" t="s">
        <v>124</v>
      </c>
      <c r="J7" s="2">
        <f t="shared" si="2"/>
        <v>1.4</v>
      </c>
      <c r="K7" s="2">
        <f t="shared" si="3"/>
        <v>0.5</v>
      </c>
      <c r="L7" s="1">
        <f>0+3+1</f>
        <v>4</v>
      </c>
      <c r="M7" s="1">
        <f>0+1+0</f>
        <v>1</v>
      </c>
      <c r="N7" s="1">
        <f t="shared" si="4"/>
        <v>2</v>
      </c>
      <c r="W7" s="1">
        <v>7</v>
      </c>
      <c r="X7" s="12"/>
      <c r="Y7" s="4"/>
      <c r="AA7" s="18"/>
      <c r="AB7" s="18"/>
      <c r="AD7" s="18"/>
      <c r="AE7" s="18"/>
      <c r="AG7" s="18" t="s">
        <v>119</v>
      </c>
      <c r="AI7" s="12"/>
    </row>
    <row r="8" spans="1:37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10"/>
      <c r="H8" s="17"/>
      <c r="I8" t="s">
        <v>123</v>
      </c>
      <c r="J8" s="2">
        <f t="shared" si="2"/>
        <v>1.4</v>
      </c>
      <c r="K8" s="2">
        <f t="shared" si="3"/>
        <v>0.5</v>
      </c>
      <c r="L8" s="1">
        <f>0+1+3</f>
        <v>4</v>
      </c>
      <c r="M8" s="1">
        <f>0+0+1</f>
        <v>1</v>
      </c>
      <c r="N8" s="1">
        <f t="shared" si="4"/>
        <v>2</v>
      </c>
      <c r="W8" s="1">
        <v>8</v>
      </c>
      <c r="X8" s="12"/>
      <c r="Y8" s="4"/>
      <c r="AA8" s="18"/>
      <c r="AB8" s="18"/>
      <c r="AD8" s="18"/>
      <c r="AE8" s="18"/>
      <c r="AG8" s="18" t="s">
        <v>120</v>
      </c>
      <c r="AI8" s="12"/>
    </row>
    <row r="9" spans="1:37">
      <c r="A9" t="s">
        <v>6</v>
      </c>
      <c r="C9"/>
      <c r="D9"/>
      <c r="E9"/>
      <c r="F9"/>
      <c r="G9" s="15"/>
      <c r="H9" s="7"/>
      <c r="I9" t="s">
        <v>139</v>
      </c>
      <c r="J9" s="2">
        <f t="shared" si="2"/>
        <v>1.0499999999999998</v>
      </c>
      <c r="K9" s="2">
        <f t="shared" si="3"/>
        <v>0.5</v>
      </c>
      <c r="L9" s="1">
        <f>0+3+0</f>
        <v>3</v>
      </c>
      <c r="M9" s="1">
        <f>0+2+-1</f>
        <v>1</v>
      </c>
      <c r="N9" s="1">
        <f t="shared" si="4"/>
        <v>2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/>
      <c r="AE9" s="3"/>
      <c r="AG9" s="18" t="s">
        <v>113</v>
      </c>
      <c r="AI9" s="16" t="s">
        <v>165</v>
      </c>
    </row>
    <row r="10" spans="1:37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I10" s="3" t="s">
        <v>132</v>
      </c>
      <c r="J10" s="2">
        <f t="shared" si="2"/>
        <v>1.0499999999999998</v>
      </c>
      <c r="K10" s="2">
        <f t="shared" si="3"/>
        <v>0</v>
      </c>
      <c r="L10" s="1">
        <f>0+3+0</f>
        <v>3</v>
      </c>
      <c r="M10" s="1">
        <f>0+1+-1</f>
        <v>0</v>
      </c>
      <c r="N10" s="1">
        <f t="shared" si="4"/>
        <v>2</v>
      </c>
      <c r="W10" s="1">
        <v>10</v>
      </c>
      <c r="X10" s="13" t="s">
        <v>54</v>
      </c>
      <c r="Y10" t="s">
        <v>38</v>
      </c>
      <c r="AG10" s="18" t="s">
        <v>113</v>
      </c>
    </row>
    <row r="11" spans="1:37">
      <c r="A11" t="s">
        <v>7</v>
      </c>
      <c r="C11"/>
      <c r="D11"/>
      <c r="E11"/>
      <c r="F11"/>
      <c r="I11" t="s">
        <v>91</v>
      </c>
      <c r="J11" s="2">
        <f t="shared" si="2"/>
        <v>1.0499999999999998</v>
      </c>
      <c r="K11" s="2">
        <f t="shared" si="3"/>
        <v>0</v>
      </c>
      <c r="L11" s="1">
        <f>0+0+3</f>
        <v>3</v>
      </c>
      <c r="M11" s="1">
        <f>0+-1+1</f>
        <v>0</v>
      </c>
      <c r="N11" s="1">
        <f t="shared" si="4"/>
        <v>2</v>
      </c>
      <c r="W11" s="1">
        <v>11</v>
      </c>
      <c r="X11" s="13" t="s">
        <v>55</v>
      </c>
      <c r="Y11" t="s">
        <v>39</v>
      </c>
      <c r="AG11" s="18" t="s">
        <v>120</v>
      </c>
    </row>
    <row r="12" spans="1:37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I12" t="s">
        <v>126</v>
      </c>
      <c r="J12" s="2">
        <f t="shared" si="2"/>
        <v>0.7</v>
      </c>
      <c r="K12" s="2">
        <f t="shared" si="3"/>
        <v>0</v>
      </c>
      <c r="L12" s="1">
        <f>0+1+1</f>
        <v>2</v>
      </c>
      <c r="M12" s="1">
        <f>0+0+0</f>
        <v>0</v>
      </c>
      <c r="N12" s="1">
        <f t="shared" si="4"/>
        <v>2</v>
      </c>
      <c r="W12" s="1">
        <v>12</v>
      </c>
      <c r="X12" s="13" t="s">
        <v>25</v>
      </c>
      <c r="Y12" t="s">
        <v>40</v>
      </c>
      <c r="AG12" s="18" t="s">
        <v>111</v>
      </c>
    </row>
    <row r="13" spans="1:37">
      <c r="A13" t="s">
        <v>15</v>
      </c>
      <c r="C13"/>
      <c r="D13"/>
      <c r="E13"/>
      <c r="F13"/>
      <c r="I13" t="s">
        <v>138</v>
      </c>
      <c r="J13" s="2">
        <f t="shared" si="2"/>
        <v>0.7</v>
      </c>
      <c r="K13" s="2">
        <f t="shared" si="3"/>
        <v>0</v>
      </c>
      <c r="L13" s="1">
        <f>0+1+1</f>
        <v>2</v>
      </c>
      <c r="M13" s="1">
        <f>0+0+0</f>
        <v>0</v>
      </c>
      <c r="N13" s="1">
        <f t="shared" si="4"/>
        <v>2</v>
      </c>
      <c r="W13" s="1">
        <v>13</v>
      </c>
      <c r="X13" s="13" t="s">
        <v>29</v>
      </c>
      <c r="Y13" t="s">
        <v>45</v>
      </c>
      <c r="AG13" s="18" t="s">
        <v>113</v>
      </c>
    </row>
    <row r="14" spans="1:37">
      <c r="A14" s="3" t="s">
        <v>30</v>
      </c>
      <c r="C14"/>
      <c r="D14"/>
      <c r="E14"/>
      <c r="F14"/>
      <c r="I14" t="s">
        <v>137</v>
      </c>
      <c r="J14" s="2">
        <f t="shared" si="2"/>
        <v>0.35</v>
      </c>
      <c r="K14" s="2">
        <f t="shared" si="3"/>
        <v>-2</v>
      </c>
      <c r="L14" s="1">
        <f>0+1+0</f>
        <v>1</v>
      </c>
      <c r="M14" s="1">
        <f>0+0+-4</f>
        <v>-4</v>
      </c>
      <c r="N14" s="1">
        <f t="shared" si="4"/>
        <v>2</v>
      </c>
      <c r="W14" s="1">
        <v>14</v>
      </c>
      <c r="X14" s="13" t="s">
        <v>56</v>
      </c>
      <c r="Y14" t="s">
        <v>42</v>
      </c>
      <c r="AG14" s="18" t="s">
        <v>111</v>
      </c>
    </row>
    <row r="15" spans="1:37">
      <c r="A15" t="s">
        <v>133</v>
      </c>
      <c r="C15"/>
      <c r="D15"/>
      <c r="E15"/>
      <c r="F15"/>
      <c r="I15" t="s">
        <v>114</v>
      </c>
      <c r="J15" s="2">
        <f t="shared" si="2"/>
        <v>0</v>
      </c>
      <c r="K15" s="2">
        <f t="shared" si="3"/>
        <v>-3.5</v>
      </c>
      <c r="L15" s="1">
        <f>0+0+0</f>
        <v>0</v>
      </c>
      <c r="M15" s="1">
        <f>0+-2+-5</f>
        <v>-7</v>
      </c>
      <c r="N15" s="1">
        <f t="shared" si="4"/>
        <v>2</v>
      </c>
      <c r="W15" s="1">
        <v>15</v>
      </c>
      <c r="X15" s="13" t="s">
        <v>57</v>
      </c>
      <c r="Y15" t="s">
        <v>43</v>
      </c>
      <c r="AG15" s="18" t="s">
        <v>130</v>
      </c>
    </row>
    <row r="16" spans="1:37">
      <c r="A16" t="s">
        <v>23</v>
      </c>
      <c r="C16"/>
      <c r="D16"/>
      <c r="E16"/>
      <c r="F16"/>
      <c r="I16" t="s">
        <v>164</v>
      </c>
      <c r="J16" s="2">
        <f t="shared" si="2"/>
        <v>2.0999999999999996</v>
      </c>
      <c r="K16" s="2">
        <f t="shared" si="3"/>
        <v>4</v>
      </c>
      <c r="L16" s="1">
        <f>0+3</f>
        <v>3</v>
      </c>
      <c r="M16" s="1">
        <f>0+4</f>
        <v>4</v>
      </c>
      <c r="N16" s="1">
        <f t="shared" ref="N16:N31" si="5">0+1</f>
        <v>1</v>
      </c>
      <c r="W16" s="1">
        <v>16</v>
      </c>
      <c r="X16" s="13" t="s">
        <v>58</v>
      </c>
      <c r="Y16" t="s">
        <v>44</v>
      </c>
      <c r="AG16" s="18" t="s">
        <v>111</v>
      </c>
    </row>
    <row r="17" spans="1:33">
      <c r="A17" t="s">
        <v>134</v>
      </c>
      <c r="I17" t="s">
        <v>94</v>
      </c>
      <c r="J17" s="2">
        <f t="shared" si="2"/>
        <v>2.0999999999999996</v>
      </c>
      <c r="K17" s="2">
        <f t="shared" si="3"/>
        <v>1</v>
      </c>
      <c r="L17" s="1">
        <f>0+3</f>
        <v>3</v>
      </c>
      <c r="M17" s="1">
        <f>0+1</f>
        <v>1</v>
      </c>
      <c r="N17" s="1">
        <f t="shared" si="5"/>
        <v>1</v>
      </c>
      <c r="W17" s="1">
        <v>17</v>
      </c>
      <c r="X17" s="13" t="s">
        <v>59</v>
      </c>
      <c r="Y17" t="s">
        <v>46</v>
      </c>
      <c r="AG17" s="18" t="s">
        <v>131</v>
      </c>
    </row>
    <row r="18" spans="1:33">
      <c r="A18" t="s">
        <v>33</v>
      </c>
      <c r="C18"/>
      <c r="D18"/>
      <c r="E18"/>
      <c r="F18"/>
      <c r="I18" t="s">
        <v>163</v>
      </c>
      <c r="J18" s="2">
        <f t="shared" si="2"/>
        <v>2.0999999999999996</v>
      </c>
      <c r="K18" s="2">
        <f t="shared" si="3"/>
        <v>1</v>
      </c>
      <c r="L18" s="1">
        <f>0+3</f>
        <v>3</v>
      </c>
      <c r="M18" s="1">
        <f>0+1</f>
        <v>1</v>
      </c>
      <c r="N18" s="1">
        <f t="shared" si="5"/>
        <v>1</v>
      </c>
      <c r="W18" s="1">
        <v>18</v>
      </c>
      <c r="X18" s="13" t="s">
        <v>60</v>
      </c>
      <c r="Y18" t="s">
        <v>47</v>
      </c>
      <c r="AG18" s="18" t="s">
        <v>113</v>
      </c>
    </row>
    <row r="19" spans="1:33">
      <c r="A19" t="s">
        <v>135</v>
      </c>
      <c r="I19" t="s">
        <v>89</v>
      </c>
      <c r="J19" s="2">
        <f t="shared" si="2"/>
        <v>0.7</v>
      </c>
      <c r="K19" s="2">
        <f t="shared" si="3"/>
        <v>0</v>
      </c>
      <c r="L19" s="1">
        <f t="shared" ref="L19:L25" si="6">0+1</f>
        <v>1</v>
      </c>
      <c r="M19" s="1">
        <f t="shared" ref="M19:M25" si="7">0+0</f>
        <v>0</v>
      </c>
      <c r="N19" s="1">
        <f t="shared" si="5"/>
        <v>1</v>
      </c>
      <c r="W19" s="1">
        <v>19</v>
      </c>
      <c r="X19" s="13" t="s">
        <v>26</v>
      </c>
      <c r="Y19" t="s">
        <v>48</v>
      </c>
      <c r="AG19" s="18" t="s">
        <v>130</v>
      </c>
    </row>
    <row r="20" spans="1:33">
      <c r="A20" t="s">
        <v>19</v>
      </c>
      <c r="I20" t="s">
        <v>96</v>
      </c>
      <c r="J20" s="2">
        <f t="shared" si="2"/>
        <v>0.7</v>
      </c>
      <c r="K20" s="2">
        <f t="shared" si="3"/>
        <v>0</v>
      </c>
      <c r="L20" s="1">
        <f t="shared" si="6"/>
        <v>1</v>
      </c>
      <c r="M20" s="1">
        <f t="shared" si="7"/>
        <v>0</v>
      </c>
      <c r="N20" s="1">
        <f t="shared" si="5"/>
        <v>1</v>
      </c>
      <c r="W20" s="1">
        <v>20</v>
      </c>
      <c r="X20" s="13" t="s">
        <v>61</v>
      </c>
      <c r="Y20" t="s">
        <v>49</v>
      </c>
      <c r="AG20" s="18" t="s">
        <v>112</v>
      </c>
    </row>
    <row r="21" spans="1:33">
      <c r="B21" t="s">
        <v>20</v>
      </c>
      <c r="I21" t="s">
        <v>155</v>
      </c>
      <c r="J21" s="2">
        <f t="shared" si="2"/>
        <v>0.7</v>
      </c>
      <c r="K21" s="2">
        <f t="shared" si="3"/>
        <v>0</v>
      </c>
      <c r="L21" s="1">
        <f t="shared" si="6"/>
        <v>1</v>
      </c>
      <c r="M21" s="1">
        <f t="shared" si="7"/>
        <v>0</v>
      </c>
      <c r="N21" s="1">
        <f t="shared" si="5"/>
        <v>1</v>
      </c>
      <c r="W21" s="1">
        <v>21</v>
      </c>
      <c r="X21" s="13" t="s">
        <v>62</v>
      </c>
      <c r="Y21" t="s">
        <v>50</v>
      </c>
      <c r="AG21" s="18" t="s">
        <v>119</v>
      </c>
    </row>
    <row r="22" spans="1:33">
      <c r="B22" t="s">
        <v>88</v>
      </c>
      <c r="I22" t="s">
        <v>159</v>
      </c>
      <c r="J22" s="2">
        <f t="shared" si="2"/>
        <v>0.7</v>
      </c>
      <c r="K22" s="2">
        <f t="shared" si="3"/>
        <v>0</v>
      </c>
      <c r="L22" s="1">
        <f t="shared" si="6"/>
        <v>1</v>
      </c>
      <c r="M22" s="1">
        <f t="shared" si="7"/>
        <v>0</v>
      </c>
      <c r="N22" s="1">
        <f t="shared" si="5"/>
        <v>1</v>
      </c>
      <c r="W22" s="1">
        <v>22</v>
      </c>
      <c r="X22" s="13" t="s">
        <v>63</v>
      </c>
      <c r="Y22" t="s">
        <v>51</v>
      </c>
      <c r="AG22" s="18" t="s">
        <v>111</v>
      </c>
    </row>
    <row r="23" spans="1:33">
      <c r="A23" t="s">
        <v>16</v>
      </c>
      <c r="C23"/>
      <c r="D23"/>
      <c r="E23"/>
      <c r="F23"/>
      <c r="I23" t="s">
        <v>156</v>
      </c>
      <c r="J23" s="2">
        <f t="shared" si="2"/>
        <v>0.7</v>
      </c>
      <c r="K23" s="2">
        <f t="shared" si="3"/>
        <v>0</v>
      </c>
      <c r="L23" s="1">
        <f t="shared" si="6"/>
        <v>1</v>
      </c>
      <c r="M23" s="1">
        <f t="shared" si="7"/>
        <v>0</v>
      </c>
      <c r="N23" s="1">
        <f t="shared" si="5"/>
        <v>1</v>
      </c>
      <c r="W23" s="1">
        <v>23</v>
      </c>
      <c r="X23" s="13" t="s">
        <v>28</v>
      </c>
      <c r="Y23" t="s">
        <v>52</v>
      </c>
      <c r="AG23" s="18" t="s">
        <v>111</v>
      </c>
    </row>
    <row r="24" spans="1:33">
      <c r="A24" t="s">
        <v>17</v>
      </c>
      <c r="B24" s="2" t="e">
        <f t="shared" ref="B24" si="8">(D24/F24)*IF(F24&gt;5,1,IF(F24=5,0.9,IF(F24=4,0.8,0.7)))</f>
        <v>#DIV/0!</v>
      </c>
      <c r="C24" s="2" t="e">
        <f t="shared" ref="C24" si="9">E24/F24</f>
        <v>#DIV/0!</v>
      </c>
      <c r="D24" s="1">
        <f>0</f>
        <v>0</v>
      </c>
      <c r="E24" s="1">
        <f>0</f>
        <v>0</v>
      </c>
      <c r="F24" s="1">
        <f>0</f>
        <v>0</v>
      </c>
      <c r="I24" t="s">
        <v>160</v>
      </c>
      <c r="J24" s="2">
        <f t="shared" si="2"/>
        <v>0.7</v>
      </c>
      <c r="K24" s="2">
        <f t="shared" si="3"/>
        <v>0</v>
      </c>
      <c r="L24" s="1">
        <f t="shared" si="6"/>
        <v>1</v>
      </c>
      <c r="M24" s="1">
        <f t="shared" si="7"/>
        <v>0</v>
      </c>
      <c r="N24" s="1">
        <f t="shared" si="5"/>
        <v>1</v>
      </c>
      <c r="W24" s="1">
        <v>24</v>
      </c>
      <c r="X24" s="13" t="s">
        <v>64</v>
      </c>
      <c r="Y24" t="s">
        <v>53</v>
      </c>
      <c r="AG24" s="18" t="s">
        <v>120</v>
      </c>
    </row>
    <row r="25" spans="1:33">
      <c r="A25" t="s">
        <v>18</v>
      </c>
      <c r="B25" t="s">
        <v>136</v>
      </c>
      <c r="I25" t="s">
        <v>161</v>
      </c>
      <c r="J25" s="2">
        <f t="shared" si="2"/>
        <v>0.7</v>
      </c>
      <c r="K25" s="2">
        <f t="shared" si="3"/>
        <v>0</v>
      </c>
      <c r="L25" s="1">
        <f t="shared" si="6"/>
        <v>1</v>
      </c>
      <c r="M25" s="1">
        <f t="shared" si="7"/>
        <v>0</v>
      </c>
      <c r="N25" s="1">
        <f t="shared" si="5"/>
        <v>1</v>
      </c>
      <c r="W25" s="1">
        <v>25</v>
      </c>
      <c r="X25" s="13" t="s">
        <v>65</v>
      </c>
      <c r="Y25" t="s">
        <v>68</v>
      </c>
      <c r="AG25" s="18" t="s">
        <v>120</v>
      </c>
    </row>
    <row r="26" spans="1:33">
      <c r="A26" t="s">
        <v>14</v>
      </c>
      <c r="I26" t="s">
        <v>84</v>
      </c>
      <c r="J26" s="2">
        <f t="shared" si="2"/>
        <v>0</v>
      </c>
      <c r="K26" s="2">
        <f t="shared" si="3"/>
        <v>-1</v>
      </c>
      <c r="L26" s="1">
        <f t="shared" ref="L26:L31" si="10">0+0</f>
        <v>0</v>
      </c>
      <c r="M26" s="1">
        <f>0-1</f>
        <v>-1</v>
      </c>
      <c r="N26" s="1">
        <f t="shared" si="5"/>
        <v>1</v>
      </c>
      <c r="W26" s="1">
        <v>26</v>
      </c>
      <c r="X26" s="13" t="s">
        <v>66</v>
      </c>
      <c r="Y26" t="s">
        <v>69</v>
      </c>
    </row>
    <row r="27" spans="1:33">
      <c r="A27" t="s">
        <v>21</v>
      </c>
      <c r="I27" t="s">
        <v>158</v>
      </c>
      <c r="J27" s="2">
        <f t="shared" si="2"/>
        <v>0</v>
      </c>
      <c r="K27" s="2">
        <f t="shared" si="3"/>
        <v>-1</v>
      </c>
      <c r="L27" s="1">
        <f t="shared" si="10"/>
        <v>0</v>
      </c>
      <c r="M27" s="1">
        <f>0+-1</f>
        <v>-1</v>
      </c>
      <c r="N27" s="1">
        <f t="shared" si="5"/>
        <v>1</v>
      </c>
      <c r="W27" s="1">
        <v>27</v>
      </c>
      <c r="X27" s="13" t="s">
        <v>67</v>
      </c>
      <c r="Y27" t="s">
        <v>70</v>
      </c>
    </row>
    <row r="28" spans="1:33">
      <c r="A28" t="s">
        <v>147</v>
      </c>
      <c r="I28" t="s">
        <v>162</v>
      </c>
      <c r="J28" s="2">
        <f t="shared" si="2"/>
        <v>0</v>
      </c>
      <c r="K28" s="2">
        <f t="shared" si="3"/>
        <v>-1</v>
      </c>
      <c r="L28" s="1">
        <f t="shared" si="10"/>
        <v>0</v>
      </c>
      <c r="M28" s="1">
        <f>0+-1</f>
        <v>-1</v>
      </c>
      <c r="N28" s="1">
        <f t="shared" si="5"/>
        <v>1</v>
      </c>
      <c r="W28" s="1">
        <v>28</v>
      </c>
    </row>
    <row r="29" spans="1:33">
      <c r="A29" t="s">
        <v>148</v>
      </c>
      <c r="I29" t="s">
        <v>93</v>
      </c>
      <c r="J29" s="2">
        <f t="shared" si="2"/>
        <v>0</v>
      </c>
      <c r="K29" s="2">
        <f t="shared" si="3"/>
        <v>-2</v>
      </c>
      <c r="L29" s="1">
        <f t="shared" si="10"/>
        <v>0</v>
      </c>
      <c r="M29" s="1">
        <f>0+-2</f>
        <v>-2</v>
      </c>
      <c r="N29" s="1">
        <f t="shared" si="5"/>
        <v>1</v>
      </c>
      <c r="W29" s="1">
        <v>29</v>
      </c>
    </row>
    <row r="30" spans="1:33">
      <c r="A30" t="s">
        <v>149</v>
      </c>
      <c r="I30" t="s">
        <v>140</v>
      </c>
      <c r="J30" s="2">
        <f t="shared" si="2"/>
        <v>0</v>
      </c>
      <c r="K30" s="2">
        <f t="shared" si="3"/>
        <v>-2</v>
      </c>
      <c r="L30" s="1">
        <f t="shared" si="10"/>
        <v>0</v>
      </c>
      <c r="M30" s="1">
        <f>0+-2</f>
        <v>-2</v>
      </c>
      <c r="N30" s="1">
        <f t="shared" si="5"/>
        <v>1</v>
      </c>
      <c r="W30" s="1">
        <v>30</v>
      </c>
    </row>
    <row r="31" spans="1:33">
      <c r="I31" t="s">
        <v>157</v>
      </c>
      <c r="J31" s="2">
        <f t="shared" si="2"/>
        <v>0</v>
      </c>
      <c r="K31" s="2">
        <f t="shared" si="3"/>
        <v>-3</v>
      </c>
      <c r="L31" s="1">
        <f t="shared" si="10"/>
        <v>0</v>
      </c>
      <c r="M31" s="1">
        <f>0+-3</f>
        <v>-3</v>
      </c>
      <c r="N31" s="1">
        <f t="shared" si="5"/>
        <v>1</v>
      </c>
      <c r="W31" s="1">
        <v>31</v>
      </c>
    </row>
    <row r="32" spans="1:33">
      <c r="W32" s="1">
        <v>32</v>
      </c>
    </row>
    <row r="33" spans="23:23">
      <c r="W33" s="1">
        <v>33</v>
      </c>
    </row>
    <row r="34" spans="23:23">
      <c r="W34" s="1">
        <v>34</v>
      </c>
    </row>
    <row r="35" spans="23:23">
      <c r="W35" s="1">
        <v>35</v>
      </c>
    </row>
    <row r="36" spans="23:23">
      <c r="W36" s="1">
        <v>36</v>
      </c>
    </row>
    <row r="37" spans="23:23">
      <c r="W37" s="1">
        <v>37</v>
      </c>
    </row>
    <row r="38" spans="23:23">
      <c r="W38" s="1">
        <v>38</v>
      </c>
    </row>
    <row r="39" spans="23:23">
      <c r="W39" s="1">
        <v>39</v>
      </c>
    </row>
    <row r="40" spans="23:23">
      <c r="W40" s="1">
        <v>40</v>
      </c>
    </row>
    <row r="41" spans="23:23">
      <c r="W41" s="1">
        <v>41</v>
      </c>
    </row>
    <row r="42" spans="23:23">
      <c r="W42" s="1">
        <v>42</v>
      </c>
    </row>
    <row r="43" spans="23:23">
      <c r="W43" s="1">
        <v>43</v>
      </c>
    </row>
    <row r="44" spans="23:23">
      <c r="W44" s="1">
        <v>44</v>
      </c>
    </row>
    <row r="45" spans="23:23">
      <c r="W45" s="1">
        <v>45</v>
      </c>
    </row>
    <row r="46" spans="23:23">
      <c r="W46" s="1">
        <v>46</v>
      </c>
    </row>
    <row r="47" spans="23:23">
      <c r="W47" s="1">
        <v>47</v>
      </c>
    </row>
    <row r="48" spans="23:23">
      <c r="W48" s="1">
        <v>48</v>
      </c>
    </row>
    <row r="49" spans="23:23">
      <c r="W49" s="1">
        <v>49</v>
      </c>
    </row>
    <row r="50" spans="23:23">
      <c r="W50" s="1">
        <v>50</v>
      </c>
    </row>
    <row r="51" spans="23:23">
      <c r="W51" s="1">
        <v>51</v>
      </c>
    </row>
    <row r="52" spans="23:23">
      <c r="W52" s="1">
        <v>52</v>
      </c>
    </row>
    <row r="53" spans="23:23">
      <c r="W53" s="1">
        <v>53</v>
      </c>
    </row>
    <row r="54" spans="23:23">
      <c r="W54" s="1">
        <v>54</v>
      </c>
    </row>
    <row r="55" spans="23:23">
      <c r="W55" s="1">
        <v>55</v>
      </c>
    </row>
    <row r="56" spans="23:23">
      <c r="W56" s="1">
        <v>56</v>
      </c>
    </row>
    <row r="57" spans="23:23">
      <c r="W57" s="1">
        <v>57</v>
      </c>
    </row>
    <row r="58" spans="23:23">
      <c r="W58" s="1">
        <v>58</v>
      </c>
    </row>
    <row r="59" spans="23:23">
      <c r="W59" s="1">
        <v>59</v>
      </c>
    </row>
    <row r="60" spans="23:23">
      <c r="W60" s="1">
        <v>60</v>
      </c>
    </row>
    <row r="61" spans="23:23">
      <c r="W61" s="1">
        <v>61</v>
      </c>
    </row>
    <row r="62" spans="23:23">
      <c r="W62" s="1">
        <v>62</v>
      </c>
    </row>
    <row r="63" spans="23:23">
      <c r="W63" s="1">
        <v>63</v>
      </c>
    </row>
    <row r="64" spans="23:23">
      <c r="W64" s="1">
        <v>64</v>
      </c>
    </row>
    <row r="65" spans="23:23">
      <c r="W65" s="1">
        <v>65</v>
      </c>
    </row>
    <row r="66" spans="23:23">
      <c r="W66" s="1">
        <v>66</v>
      </c>
    </row>
    <row r="67" spans="23:23">
      <c r="W67" s="1">
        <v>67</v>
      </c>
    </row>
    <row r="68" spans="23:23">
      <c r="W68" s="1">
        <v>68</v>
      </c>
    </row>
    <row r="69" spans="23:23">
      <c r="W69" s="1">
        <v>69</v>
      </c>
    </row>
    <row r="70" spans="23:23">
      <c r="W70" s="1">
        <v>70</v>
      </c>
    </row>
    <row r="71" spans="23:23">
      <c r="W71" s="1">
        <v>71</v>
      </c>
    </row>
    <row r="72" spans="23:23">
      <c r="W72" s="1">
        <v>72</v>
      </c>
    </row>
    <row r="73" spans="23:23">
      <c r="W73" s="1">
        <v>73</v>
      </c>
    </row>
    <row r="74" spans="23:23">
      <c r="W74" s="1">
        <v>74</v>
      </c>
    </row>
    <row r="75" spans="23:23">
      <c r="W75" s="1">
        <v>75</v>
      </c>
    </row>
    <row r="76" spans="23:23">
      <c r="W76" s="1">
        <v>76</v>
      </c>
    </row>
    <row r="77" spans="23:23">
      <c r="W77" s="1">
        <v>77</v>
      </c>
    </row>
    <row r="78" spans="23:23">
      <c r="W78" s="1">
        <v>78</v>
      </c>
    </row>
    <row r="79" spans="23:23">
      <c r="W79" s="1">
        <v>79</v>
      </c>
    </row>
    <row r="80" spans="23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sortState ref="I1:N99">
    <sortCondition descending="1" ref="J1:J99"/>
    <sortCondition descending="1" ref="K1:K99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K99"/>
  <sheetViews>
    <sheetView zoomScale="73" zoomScaleNormal="73" workbookViewId="0">
      <selection activeCell="Q25" sqref="Q25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4.85546875" style="1" customWidth="1"/>
    <col min="29" max="29" width="2.140625" style="8" customWidth="1"/>
    <col min="30" max="31" width="4.85546875" style="1" customWidth="1"/>
    <col min="32" max="32" width="2.140625" style="8" customWidth="1"/>
    <col min="33" max="33" width="4.85546875" style="18" customWidth="1"/>
    <col min="34" max="34" width="2.140625" style="8" customWidth="1"/>
    <col min="35" max="35" width="9.7109375" customWidth="1"/>
    <col min="36" max="37" width="4.28515625" style="1" customWidth="1"/>
  </cols>
  <sheetData>
    <row r="1" spans="1:37">
      <c r="A1" s="4" t="s">
        <v>94</v>
      </c>
      <c r="B1" s="4" t="s">
        <v>85</v>
      </c>
      <c r="C1" s="5">
        <v>0</v>
      </c>
      <c r="D1" s="5">
        <v>3</v>
      </c>
      <c r="E1" s="1">
        <f t="shared" ref="E1:E8" si="0">C1-D1</f>
        <v>-3</v>
      </c>
      <c r="F1" s="1">
        <f t="shared" ref="F1:F8" si="1">D1-C1</f>
        <v>3</v>
      </c>
      <c r="G1" s="10">
        <v>0.72916666666666663</v>
      </c>
      <c r="H1" s="17"/>
      <c r="I1" t="s">
        <v>90</v>
      </c>
      <c r="J1" s="2">
        <f t="shared" ref="J1:J32" si="2">(L1/N1)*IF(N1&gt;5,1,IF(N1=5,0.9,IF(N1=4,0.8,0.7)))</f>
        <v>2</v>
      </c>
      <c r="K1" s="2">
        <f t="shared" ref="K1:K32" si="3">M1/N1</f>
        <v>2</v>
      </c>
      <c r="L1" s="1">
        <f>0+1+3+3+3</f>
        <v>10</v>
      </c>
      <c r="M1" s="1">
        <f>0+0+2+3+3</f>
        <v>8</v>
      </c>
      <c r="N1" s="1">
        <f>0+1+1+1+1</f>
        <v>4</v>
      </c>
      <c r="W1" s="1">
        <v>1</v>
      </c>
      <c r="X1" s="12" t="s">
        <v>64</v>
      </c>
      <c r="Y1" s="4" t="s">
        <v>41</v>
      </c>
      <c r="AA1" s="18" t="s">
        <v>109</v>
      </c>
      <c r="AB1" s="18" t="s">
        <v>119</v>
      </c>
      <c r="AD1" s="18"/>
      <c r="AE1" s="1">
        <v>2</v>
      </c>
      <c r="AG1" s="18" t="s">
        <v>111</v>
      </c>
      <c r="AI1" s="12"/>
    </row>
    <row r="2" spans="1:37">
      <c r="A2" s="4" t="s">
        <v>167</v>
      </c>
      <c r="B2" s="4" t="s">
        <v>139</v>
      </c>
      <c r="C2" s="5">
        <v>1</v>
      </c>
      <c r="D2" s="5">
        <v>1</v>
      </c>
      <c r="E2" s="1">
        <f t="shared" si="0"/>
        <v>0</v>
      </c>
      <c r="F2" s="1">
        <f t="shared" si="1"/>
        <v>0</v>
      </c>
      <c r="G2" s="10">
        <v>0.86458333333333337</v>
      </c>
      <c r="H2" s="17"/>
      <c r="I2" t="s">
        <v>85</v>
      </c>
      <c r="J2" s="2">
        <f t="shared" si="2"/>
        <v>1.9800000000000002</v>
      </c>
      <c r="K2" s="2">
        <f t="shared" si="3"/>
        <v>1.2</v>
      </c>
      <c r="L2" s="1">
        <f>0+1+3+1+3+3</f>
        <v>11</v>
      </c>
      <c r="M2" s="1">
        <f>0+0+2+0+1+3</f>
        <v>6</v>
      </c>
      <c r="N2" s="1">
        <f>0+1+1+1+1+1</f>
        <v>5</v>
      </c>
      <c r="W2" s="1">
        <v>2</v>
      </c>
      <c r="X2" s="12" t="s">
        <v>145</v>
      </c>
      <c r="Y2" s="4" t="s">
        <v>144</v>
      </c>
      <c r="AA2" s="18" t="s">
        <v>129</v>
      </c>
      <c r="AB2" s="18" t="s">
        <v>113</v>
      </c>
      <c r="AD2" s="18"/>
      <c r="AE2" s="18"/>
      <c r="AG2" s="18" t="s">
        <v>119</v>
      </c>
      <c r="AI2" s="12"/>
    </row>
    <row r="3" spans="1:37">
      <c r="A3" s="4"/>
      <c r="B3" s="4"/>
      <c r="C3" s="5"/>
      <c r="D3" s="5"/>
      <c r="E3" s="1">
        <f t="shared" si="0"/>
        <v>0</v>
      </c>
      <c r="F3" s="1">
        <f t="shared" si="1"/>
        <v>0</v>
      </c>
      <c r="G3" s="10"/>
      <c r="H3" s="17"/>
      <c r="I3" t="s">
        <v>95</v>
      </c>
      <c r="J3" s="2">
        <f t="shared" si="2"/>
        <v>1.4</v>
      </c>
      <c r="K3" s="2">
        <f t="shared" si="3"/>
        <v>2.3333333333333335</v>
      </c>
      <c r="L3" s="1">
        <f>0+0+3+3</f>
        <v>6</v>
      </c>
      <c r="M3" s="1">
        <f>0+-1+5+3</f>
        <v>7</v>
      </c>
      <c r="N3" s="1">
        <f>0+1+1+1</f>
        <v>3</v>
      </c>
      <c r="W3" s="1">
        <v>3</v>
      </c>
      <c r="X3" s="12"/>
      <c r="Y3" s="4"/>
      <c r="AA3" s="18"/>
      <c r="AB3" s="18"/>
      <c r="AD3" s="18"/>
      <c r="AE3" s="18"/>
      <c r="AG3" s="18" t="s">
        <v>111</v>
      </c>
      <c r="AI3" s="12" t="s">
        <v>168</v>
      </c>
    </row>
    <row r="4" spans="1:37">
      <c r="A4" s="4" t="s">
        <v>157</v>
      </c>
      <c r="B4" s="4" t="s">
        <v>96</v>
      </c>
      <c r="C4" s="5">
        <v>1</v>
      </c>
      <c r="D4" s="5">
        <v>1</v>
      </c>
      <c r="E4" s="1">
        <f t="shared" si="0"/>
        <v>0</v>
      </c>
      <c r="F4" s="1">
        <f t="shared" si="1"/>
        <v>0</v>
      </c>
      <c r="G4" s="10">
        <v>0.875</v>
      </c>
      <c r="H4" s="17"/>
      <c r="I4" s="3" t="s">
        <v>132</v>
      </c>
      <c r="J4" s="2">
        <f t="shared" si="2"/>
        <v>1.4</v>
      </c>
      <c r="K4" s="2">
        <f t="shared" si="3"/>
        <v>1</v>
      </c>
      <c r="L4" s="1">
        <f>0+3+0+3</f>
        <v>6</v>
      </c>
      <c r="M4" s="1">
        <f>0+1+-1+3</f>
        <v>3</v>
      </c>
      <c r="N4" s="1">
        <f>0+1+1+1</f>
        <v>3</v>
      </c>
      <c r="W4" s="1">
        <v>4</v>
      </c>
      <c r="X4" s="12" t="s">
        <v>64</v>
      </c>
      <c r="Y4" s="4" t="s">
        <v>98</v>
      </c>
      <c r="AA4" s="18" t="s">
        <v>110</v>
      </c>
      <c r="AB4" s="18" t="s">
        <v>112</v>
      </c>
      <c r="AD4" s="18"/>
      <c r="AE4" s="18"/>
      <c r="AG4" s="18" t="s">
        <v>113</v>
      </c>
      <c r="AI4" s="12"/>
      <c r="AJ4" s="1" t="s">
        <v>150</v>
      </c>
    </row>
    <row r="5" spans="1:37">
      <c r="A5" s="4"/>
      <c r="B5" s="4"/>
      <c r="C5" s="5"/>
      <c r="D5" s="5"/>
      <c r="E5" s="1">
        <f t="shared" si="0"/>
        <v>0</v>
      </c>
      <c r="F5" s="1">
        <f t="shared" si="1"/>
        <v>0</v>
      </c>
      <c r="G5" s="10"/>
      <c r="H5" s="17"/>
      <c r="I5" t="s">
        <v>139</v>
      </c>
      <c r="J5" s="2">
        <f t="shared" si="2"/>
        <v>0.93333333333333324</v>
      </c>
      <c r="K5" s="2">
        <f t="shared" si="3"/>
        <v>0.33333333333333331</v>
      </c>
      <c r="L5" s="1">
        <f>0+3+0+1</f>
        <v>4</v>
      </c>
      <c r="M5" s="1">
        <f>0+2+-1+0</f>
        <v>1</v>
      </c>
      <c r="N5" s="1">
        <f>0+1+1+1</f>
        <v>3</v>
      </c>
      <c r="W5" s="1">
        <v>5</v>
      </c>
      <c r="X5" s="12"/>
      <c r="Y5" s="4"/>
      <c r="AA5" s="18"/>
      <c r="AB5" s="18"/>
      <c r="AD5" s="18"/>
      <c r="AE5" s="18"/>
      <c r="AG5" s="18" t="s">
        <v>113</v>
      </c>
      <c r="AI5" s="12" t="s">
        <v>169</v>
      </c>
      <c r="AJ5" s="1" t="s">
        <v>150</v>
      </c>
    </row>
    <row r="6" spans="1:37">
      <c r="A6" s="4" t="s">
        <v>132</v>
      </c>
      <c r="B6" s="4" t="s">
        <v>159</v>
      </c>
      <c r="C6" s="5">
        <v>3</v>
      </c>
      <c r="D6" s="5">
        <v>0</v>
      </c>
      <c r="E6" s="1">
        <f t="shared" si="0"/>
        <v>3</v>
      </c>
      <c r="F6" s="1">
        <f t="shared" si="1"/>
        <v>-3</v>
      </c>
      <c r="G6" s="10">
        <v>0.83333333333333337</v>
      </c>
      <c r="H6" s="17"/>
      <c r="I6" t="s">
        <v>86</v>
      </c>
      <c r="J6" s="2">
        <f t="shared" si="2"/>
        <v>0.8</v>
      </c>
      <c r="K6" s="2">
        <f t="shared" si="3"/>
        <v>0</v>
      </c>
      <c r="L6" s="1">
        <f>0+1+1+1+1</f>
        <v>4</v>
      </c>
      <c r="M6" s="1">
        <f>0+0+0+0+0</f>
        <v>0</v>
      </c>
      <c r="N6" s="1">
        <f>0+1+1+1+1</f>
        <v>4</v>
      </c>
      <c r="W6" s="1">
        <v>6</v>
      </c>
      <c r="X6" s="12" t="s">
        <v>29</v>
      </c>
      <c r="Y6" s="4" t="s">
        <v>170</v>
      </c>
      <c r="AA6" s="18" t="s">
        <v>118</v>
      </c>
      <c r="AB6" s="18" t="s">
        <v>111</v>
      </c>
      <c r="AD6" s="18"/>
      <c r="AE6" s="18"/>
      <c r="AG6" s="18" t="s">
        <v>131</v>
      </c>
      <c r="AI6" s="12"/>
      <c r="AK6" s="1" t="s">
        <v>153</v>
      </c>
    </row>
    <row r="7" spans="1:37">
      <c r="A7" s="4"/>
      <c r="B7" s="4"/>
      <c r="C7" s="5"/>
      <c r="D7" s="5"/>
      <c r="E7" s="1">
        <f t="shared" si="0"/>
        <v>0</v>
      </c>
      <c r="F7" s="1">
        <f t="shared" si="1"/>
        <v>0</v>
      </c>
      <c r="G7" s="10"/>
      <c r="H7" s="17"/>
      <c r="I7" t="s">
        <v>125</v>
      </c>
      <c r="J7" s="2">
        <f t="shared" si="2"/>
        <v>0</v>
      </c>
      <c r="K7" s="2">
        <f t="shared" si="3"/>
        <v>-2.3333333333333335</v>
      </c>
      <c r="L7" s="1">
        <f>0+0+0+0</f>
        <v>0</v>
      </c>
      <c r="M7" s="1">
        <f>0+-1+-3+-3</f>
        <v>-7</v>
      </c>
      <c r="N7" s="1">
        <f>0+1+1+1</f>
        <v>3</v>
      </c>
      <c r="W7" s="1">
        <v>7</v>
      </c>
      <c r="X7" s="12"/>
      <c r="Y7" s="4"/>
      <c r="AA7" s="18"/>
      <c r="AB7" s="18"/>
      <c r="AD7" s="18"/>
      <c r="AE7" s="18"/>
      <c r="AG7" s="18" t="s">
        <v>113</v>
      </c>
      <c r="AI7" s="12"/>
      <c r="AK7" s="1" t="s">
        <v>153</v>
      </c>
    </row>
    <row r="8" spans="1:37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10"/>
      <c r="H8" s="17"/>
      <c r="I8" t="s">
        <v>83</v>
      </c>
      <c r="J8" s="2">
        <f t="shared" si="2"/>
        <v>1.4</v>
      </c>
      <c r="K8" s="2">
        <f t="shared" si="3"/>
        <v>0.5</v>
      </c>
      <c r="L8" s="1">
        <f>0+3+1</f>
        <v>4</v>
      </c>
      <c r="M8" s="1">
        <f>0+1+0</f>
        <v>1</v>
      </c>
      <c r="N8" s="1">
        <f t="shared" ref="N8:N19" si="4">0+1+1</f>
        <v>2</v>
      </c>
      <c r="W8" s="1">
        <v>8</v>
      </c>
      <c r="X8" s="12"/>
      <c r="Y8" s="4"/>
      <c r="AA8" s="18"/>
      <c r="AB8" s="18"/>
      <c r="AD8" s="18"/>
      <c r="AE8" s="18"/>
      <c r="AG8" s="18" t="s">
        <v>111</v>
      </c>
      <c r="AI8" s="12"/>
    </row>
    <row r="9" spans="1:37">
      <c r="A9" t="s">
        <v>6</v>
      </c>
      <c r="C9"/>
      <c r="D9"/>
      <c r="E9"/>
      <c r="F9"/>
      <c r="G9" s="15"/>
      <c r="H9" s="7"/>
      <c r="I9" t="s">
        <v>124</v>
      </c>
      <c r="J9" s="2">
        <f t="shared" si="2"/>
        <v>1.4</v>
      </c>
      <c r="K9" s="2">
        <f t="shared" si="3"/>
        <v>0.5</v>
      </c>
      <c r="L9" s="1">
        <f>0+3+1</f>
        <v>4</v>
      </c>
      <c r="M9" s="1">
        <f>0+1+0</f>
        <v>1</v>
      </c>
      <c r="N9" s="1">
        <f t="shared" si="4"/>
        <v>2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/>
      <c r="AE9" s="3"/>
      <c r="AG9" s="18" t="s">
        <v>119</v>
      </c>
      <c r="AI9" s="16" t="s">
        <v>166</v>
      </c>
    </row>
    <row r="10" spans="1:37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I10" t="s">
        <v>123</v>
      </c>
      <c r="J10" s="2">
        <f t="shared" si="2"/>
        <v>1.4</v>
      </c>
      <c r="K10" s="2">
        <f t="shared" si="3"/>
        <v>0.5</v>
      </c>
      <c r="L10" s="1">
        <f>0+1+3</f>
        <v>4</v>
      </c>
      <c r="M10" s="1">
        <f>0+0+1</f>
        <v>1</v>
      </c>
      <c r="N10" s="1">
        <f t="shared" si="4"/>
        <v>2</v>
      </c>
      <c r="W10" s="1">
        <v>10</v>
      </c>
      <c r="X10" s="13" t="s">
        <v>54</v>
      </c>
      <c r="Y10" t="s">
        <v>38</v>
      </c>
      <c r="AG10" s="18" t="s">
        <v>120</v>
      </c>
    </row>
    <row r="11" spans="1:37">
      <c r="A11" t="s">
        <v>7</v>
      </c>
      <c r="C11"/>
      <c r="D11"/>
      <c r="E11"/>
      <c r="F11"/>
      <c r="I11" t="s">
        <v>91</v>
      </c>
      <c r="J11" s="2">
        <f t="shared" si="2"/>
        <v>1.0499999999999998</v>
      </c>
      <c r="K11" s="2">
        <f t="shared" si="3"/>
        <v>0</v>
      </c>
      <c r="L11" s="1">
        <f>0+0+3</f>
        <v>3</v>
      </c>
      <c r="M11" s="1">
        <f>0+-1+1</f>
        <v>0</v>
      </c>
      <c r="N11" s="1">
        <f t="shared" si="4"/>
        <v>2</v>
      </c>
      <c r="W11" s="1">
        <v>11</v>
      </c>
      <c r="X11" s="13" t="s">
        <v>55</v>
      </c>
      <c r="Y11" t="s">
        <v>39</v>
      </c>
      <c r="AG11" s="18" t="s">
        <v>120</v>
      </c>
    </row>
    <row r="12" spans="1:37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I12" t="s">
        <v>94</v>
      </c>
      <c r="J12" s="2">
        <f t="shared" si="2"/>
        <v>1.0499999999999998</v>
      </c>
      <c r="K12" s="2">
        <f t="shared" si="3"/>
        <v>-1</v>
      </c>
      <c r="L12" s="1">
        <f>0+3+0</f>
        <v>3</v>
      </c>
      <c r="M12" s="1">
        <f>0+1+-3</f>
        <v>-2</v>
      </c>
      <c r="N12" s="1">
        <f t="shared" si="4"/>
        <v>2</v>
      </c>
      <c r="W12" s="1">
        <v>12</v>
      </c>
      <c r="X12" s="13" t="s">
        <v>25</v>
      </c>
      <c r="Y12" t="s">
        <v>40</v>
      </c>
      <c r="AG12" s="18" t="s">
        <v>131</v>
      </c>
    </row>
    <row r="13" spans="1:37">
      <c r="A13" t="s">
        <v>15</v>
      </c>
      <c r="C13"/>
      <c r="D13"/>
      <c r="E13"/>
      <c r="F13"/>
      <c r="I13" t="s">
        <v>126</v>
      </c>
      <c r="J13" s="2">
        <f t="shared" si="2"/>
        <v>0.7</v>
      </c>
      <c r="K13" s="2">
        <f t="shared" si="3"/>
        <v>0</v>
      </c>
      <c r="L13" s="1">
        <f>0+1+1</f>
        <v>2</v>
      </c>
      <c r="M13" s="1">
        <f>0+0+0</f>
        <v>0</v>
      </c>
      <c r="N13" s="1">
        <f t="shared" si="4"/>
        <v>2</v>
      </c>
      <c r="W13" s="1">
        <v>13</v>
      </c>
      <c r="X13" s="13" t="s">
        <v>29</v>
      </c>
      <c r="Y13" t="s">
        <v>45</v>
      </c>
      <c r="AG13" s="18" t="s">
        <v>111</v>
      </c>
    </row>
    <row r="14" spans="1:37">
      <c r="A14" s="3" t="s">
        <v>30</v>
      </c>
      <c r="C14"/>
      <c r="D14"/>
      <c r="E14"/>
      <c r="F14"/>
      <c r="I14" t="s">
        <v>138</v>
      </c>
      <c r="J14" s="2">
        <f t="shared" si="2"/>
        <v>0.7</v>
      </c>
      <c r="K14" s="2">
        <f t="shared" si="3"/>
        <v>0</v>
      </c>
      <c r="L14" s="1">
        <f>0+1+1</f>
        <v>2</v>
      </c>
      <c r="M14" s="1">
        <f>0+0+0</f>
        <v>0</v>
      </c>
      <c r="N14" s="1">
        <f t="shared" si="4"/>
        <v>2</v>
      </c>
      <c r="W14" s="1">
        <v>14</v>
      </c>
      <c r="X14" s="13" t="s">
        <v>56</v>
      </c>
      <c r="Y14" t="s">
        <v>42</v>
      </c>
      <c r="AG14" s="18" t="s">
        <v>113</v>
      </c>
    </row>
    <row r="15" spans="1:37">
      <c r="A15" t="s">
        <v>133</v>
      </c>
      <c r="C15"/>
      <c r="D15"/>
      <c r="E15"/>
      <c r="F15"/>
      <c r="I15" t="s">
        <v>96</v>
      </c>
      <c r="J15" s="2">
        <f t="shared" si="2"/>
        <v>0.7</v>
      </c>
      <c r="K15" s="2">
        <f t="shared" si="3"/>
        <v>0</v>
      </c>
      <c r="L15" s="1">
        <f>0+1+1</f>
        <v>2</v>
      </c>
      <c r="M15" s="1">
        <f>0+0+0</f>
        <v>0</v>
      </c>
      <c r="N15" s="1">
        <f t="shared" si="4"/>
        <v>2</v>
      </c>
      <c r="W15" s="1">
        <v>15</v>
      </c>
      <c r="X15" s="13" t="s">
        <v>57</v>
      </c>
      <c r="Y15" t="s">
        <v>43</v>
      </c>
      <c r="AG15" s="18" t="s">
        <v>112</v>
      </c>
    </row>
    <row r="16" spans="1:37">
      <c r="A16" t="s">
        <v>23</v>
      </c>
      <c r="C16"/>
      <c r="D16"/>
      <c r="E16"/>
      <c r="F16"/>
      <c r="I16" t="s">
        <v>159</v>
      </c>
      <c r="J16" s="2">
        <f t="shared" si="2"/>
        <v>0.35</v>
      </c>
      <c r="K16" s="2">
        <f t="shared" si="3"/>
        <v>-1.5</v>
      </c>
      <c r="L16" s="1">
        <f>0+1+0</f>
        <v>1</v>
      </c>
      <c r="M16" s="1">
        <f>0+0+-3</f>
        <v>-3</v>
      </c>
      <c r="N16" s="1">
        <f t="shared" si="4"/>
        <v>2</v>
      </c>
      <c r="W16" s="1">
        <v>16</v>
      </c>
      <c r="X16" s="13" t="s">
        <v>58</v>
      </c>
      <c r="Y16" t="s">
        <v>44</v>
      </c>
      <c r="AG16" s="18" t="s">
        <v>111</v>
      </c>
    </row>
    <row r="17" spans="1:33">
      <c r="A17" t="s">
        <v>134</v>
      </c>
      <c r="I17" t="s">
        <v>157</v>
      </c>
      <c r="J17" s="2">
        <f t="shared" si="2"/>
        <v>0.35</v>
      </c>
      <c r="K17" s="2">
        <f t="shared" si="3"/>
        <v>-1.5</v>
      </c>
      <c r="L17" s="1">
        <f>0+0+1</f>
        <v>1</v>
      </c>
      <c r="M17" s="1">
        <f>0+-3+0</f>
        <v>-3</v>
      </c>
      <c r="N17" s="1">
        <f t="shared" si="4"/>
        <v>2</v>
      </c>
      <c r="W17" s="1">
        <v>17</v>
      </c>
      <c r="X17" s="13" t="s">
        <v>59</v>
      </c>
      <c r="Y17" t="s">
        <v>46</v>
      </c>
      <c r="AG17" s="18" t="s">
        <v>120</v>
      </c>
    </row>
    <row r="18" spans="1:33">
      <c r="A18" t="s">
        <v>33</v>
      </c>
      <c r="C18"/>
      <c r="D18"/>
      <c r="E18"/>
      <c r="F18"/>
      <c r="I18" t="s">
        <v>137</v>
      </c>
      <c r="J18" s="2">
        <f t="shared" si="2"/>
        <v>0.35</v>
      </c>
      <c r="K18" s="2">
        <f t="shared" si="3"/>
        <v>-2</v>
      </c>
      <c r="L18" s="1">
        <f>0+1+0</f>
        <v>1</v>
      </c>
      <c r="M18" s="1">
        <f>0+0+-4</f>
        <v>-4</v>
      </c>
      <c r="N18" s="1">
        <f t="shared" si="4"/>
        <v>2</v>
      </c>
      <c r="W18" s="1">
        <v>18</v>
      </c>
      <c r="X18" s="13" t="s">
        <v>60</v>
      </c>
      <c r="Y18" t="s">
        <v>47</v>
      </c>
      <c r="AG18" s="18" t="s">
        <v>111</v>
      </c>
    </row>
    <row r="19" spans="1:33">
      <c r="A19" t="s">
        <v>135</v>
      </c>
      <c r="I19" t="s">
        <v>114</v>
      </c>
      <c r="J19" s="2">
        <f t="shared" si="2"/>
        <v>0</v>
      </c>
      <c r="K19" s="2">
        <f t="shared" si="3"/>
        <v>-3.5</v>
      </c>
      <c r="L19" s="1">
        <f>0+0+0</f>
        <v>0</v>
      </c>
      <c r="M19" s="1">
        <f>0+-2+-5</f>
        <v>-7</v>
      </c>
      <c r="N19" s="1">
        <f t="shared" si="4"/>
        <v>2</v>
      </c>
      <c r="W19" s="1">
        <v>19</v>
      </c>
      <c r="X19" s="13" t="s">
        <v>26</v>
      </c>
      <c r="Y19" t="s">
        <v>48</v>
      </c>
      <c r="AG19" s="18" t="s">
        <v>130</v>
      </c>
    </row>
    <row r="20" spans="1:33">
      <c r="A20" t="s">
        <v>19</v>
      </c>
      <c r="I20" t="s">
        <v>164</v>
      </c>
      <c r="J20" s="2">
        <f t="shared" si="2"/>
        <v>2.0999999999999996</v>
      </c>
      <c r="K20" s="2">
        <f t="shared" si="3"/>
        <v>4</v>
      </c>
      <c r="L20" s="1">
        <f>0+3</f>
        <v>3</v>
      </c>
      <c r="M20" s="1">
        <f>0+4</f>
        <v>4</v>
      </c>
      <c r="N20" s="1">
        <f t="shared" ref="N20:N32" si="5">0+1</f>
        <v>1</v>
      </c>
      <c r="W20" s="1">
        <v>20</v>
      </c>
      <c r="X20" s="13" t="s">
        <v>61</v>
      </c>
      <c r="Y20" t="s">
        <v>49</v>
      </c>
      <c r="AG20" s="18" t="s">
        <v>111</v>
      </c>
    </row>
    <row r="21" spans="1:33">
      <c r="B21" t="s">
        <v>20</v>
      </c>
      <c r="I21" t="s">
        <v>163</v>
      </c>
      <c r="J21" s="2">
        <f t="shared" si="2"/>
        <v>2.0999999999999996</v>
      </c>
      <c r="K21" s="2">
        <f t="shared" si="3"/>
        <v>1</v>
      </c>
      <c r="L21" s="1">
        <f>0+3</f>
        <v>3</v>
      </c>
      <c r="M21" s="1">
        <f>0+1</f>
        <v>1</v>
      </c>
      <c r="N21" s="1">
        <f t="shared" si="5"/>
        <v>1</v>
      </c>
      <c r="W21" s="1">
        <v>21</v>
      </c>
      <c r="X21" s="13" t="s">
        <v>62</v>
      </c>
      <c r="Y21" t="s">
        <v>50</v>
      </c>
      <c r="AG21" s="18" t="s">
        <v>113</v>
      </c>
    </row>
    <row r="22" spans="1:33">
      <c r="B22" t="s">
        <v>88</v>
      </c>
      <c r="I22" t="s">
        <v>89</v>
      </c>
      <c r="J22" s="2">
        <f t="shared" si="2"/>
        <v>0.7</v>
      </c>
      <c r="K22" s="2">
        <f t="shared" si="3"/>
        <v>0</v>
      </c>
      <c r="L22" s="1">
        <f t="shared" ref="L22:L27" si="6">0+1</f>
        <v>1</v>
      </c>
      <c r="M22" s="1">
        <f t="shared" ref="M22:M27" si="7">0+0</f>
        <v>0</v>
      </c>
      <c r="N22" s="1">
        <f t="shared" si="5"/>
        <v>1</v>
      </c>
      <c r="W22" s="1">
        <v>22</v>
      </c>
      <c r="X22" s="13" t="s">
        <v>63</v>
      </c>
      <c r="Y22" t="s">
        <v>51</v>
      </c>
      <c r="AG22" s="18" t="s">
        <v>130</v>
      </c>
    </row>
    <row r="23" spans="1:33">
      <c r="A23" t="s">
        <v>16</v>
      </c>
      <c r="C23"/>
      <c r="D23"/>
      <c r="E23"/>
      <c r="F23"/>
      <c r="I23" t="s">
        <v>155</v>
      </c>
      <c r="J23" s="2">
        <f t="shared" si="2"/>
        <v>0.7</v>
      </c>
      <c r="K23" s="2">
        <f t="shared" si="3"/>
        <v>0</v>
      </c>
      <c r="L23" s="1">
        <f t="shared" si="6"/>
        <v>1</v>
      </c>
      <c r="M23" s="1">
        <f t="shared" si="7"/>
        <v>0</v>
      </c>
      <c r="N23" s="1">
        <f t="shared" si="5"/>
        <v>1</v>
      </c>
      <c r="W23" s="1">
        <v>23</v>
      </c>
      <c r="X23" s="13" t="s">
        <v>28</v>
      </c>
      <c r="Y23" t="s">
        <v>52</v>
      </c>
      <c r="AG23" s="18" t="s">
        <v>119</v>
      </c>
    </row>
    <row r="24" spans="1:33">
      <c r="A24" t="s">
        <v>17</v>
      </c>
      <c r="B24" s="2" t="e">
        <f t="shared" ref="B24" si="8">(D24/F24)*IF(F24&gt;5,1,IF(F24=5,0.9,IF(F24=4,0.8,0.7)))</f>
        <v>#DIV/0!</v>
      </c>
      <c r="C24" s="2" t="e">
        <f t="shared" ref="C24" si="9">E24/F24</f>
        <v>#DIV/0!</v>
      </c>
      <c r="D24" s="1">
        <f>0</f>
        <v>0</v>
      </c>
      <c r="E24" s="1">
        <f>0</f>
        <v>0</v>
      </c>
      <c r="F24" s="1">
        <f>0</f>
        <v>0</v>
      </c>
      <c r="I24" t="s">
        <v>156</v>
      </c>
      <c r="J24" s="2">
        <f t="shared" si="2"/>
        <v>0.7</v>
      </c>
      <c r="K24" s="2">
        <f t="shared" si="3"/>
        <v>0</v>
      </c>
      <c r="L24" s="1">
        <f t="shared" si="6"/>
        <v>1</v>
      </c>
      <c r="M24" s="1">
        <f t="shared" si="7"/>
        <v>0</v>
      </c>
      <c r="N24" s="1">
        <f t="shared" si="5"/>
        <v>1</v>
      </c>
      <c r="W24" s="1">
        <v>24</v>
      </c>
      <c r="X24" s="13" t="s">
        <v>64</v>
      </c>
      <c r="Y24" t="s">
        <v>53</v>
      </c>
      <c r="AG24" s="18" t="s">
        <v>111</v>
      </c>
    </row>
    <row r="25" spans="1:33">
      <c r="A25" t="s">
        <v>18</v>
      </c>
      <c r="B25" t="s">
        <v>136</v>
      </c>
      <c r="I25" t="s">
        <v>160</v>
      </c>
      <c r="J25" s="2">
        <f t="shared" si="2"/>
        <v>0.7</v>
      </c>
      <c r="K25" s="2">
        <f t="shared" si="3"/>
        <v>0</v>
      </c>
      <c r="L25" s="1">
        <f t="shared" si="6"/>
        <v>1</v>
      </c>
      <c r="M25" s="1">
        <f t="shared" si="7"/>
        <v>0</v>
      </c>
      <c r="N25" s="1">
        <f t="shared" si="5"/>
        <v>1</v>
      </c>
      <c r="W25" s="1">
        <v>25</v>
      </c>
      <c r="X25" s="13" t="s">
        <v>65</v>
      </c>
      <c r="Y25" t="s">
        <v>68</v>
      </c>
      <c r="AG25" s="18" t="s">
        <v>120</v>
      </c>
    </row>
    <row r="26" spans="1:33">
      <c r="A26" t="s">
        <v>14</v>
      </c>
      <c r="I26" t="s">
        <v>161</v>
      </c>
      <c r="J26" s="2">
        <f t="shared" si="2"/>
        <v>0.7</v>
      </c>
      <c r="K26" s="2">
        <f t="shared" si="3"/>
        <v>0</v>
      </c>
      <c r="L26" s="1">
        <f t="shared" si="6"/>
        <v>1</v>
      </c>
      <c r="M26" s="1">
        <f t="shared" si="7"/>
        <v>0</v>
      </c>
      <c r="N26" s="1">
        <f t="shared" si="5"/>
        <v>1</v>
      </c>
      <c r="W26" s="1">
        <v>26</v>
      </c>
      <c r="X26" s="13" t="s">
        <v>66</v>
      </c>
      <c r="Y26" t="s">
        <v>69</v>
      </c>
    </row>
    <row r="27" spans="1:33">
      <c r="A27" t="s">
        <v>21</v>
      </c>
      <c r="I27" t="s">
        <v>167</v>
      </c>
      <c r="J27" s="2">
        <f t="shared" si="2"/>
        <v>0.7</v>
      </c>
      <c r="K27" s="2">
        <f t="shared" si="3"/>
        <v>0</v>
      </c>
      <c r="L27" s="1">
        <f t="shared" si="6"/>
        <v>1</v>
      </c>
      <c r="M27" s="1">
        <f t="shared" si="7"/>
        <v>0</v>
      </c>
      <c r="N27" s="1">
        <f t="shared" si="5"/>
        <v>1</v>
      </c>
      <c r="W27" s="1">
        <v>27</v>
      </c>
      <c r="X27" s="13" t="s">
        <v>67</v>
      </c>
      <c r="Y27" t="s">
        <v>70</v>
      </c>
    </row>
    <row r="28" spans="1:33">
      <c r="A28" t="s">
        <v>147</v>
      </c>
      <c r="I28" t="s">
        <v>84</v>
      </c>
      <c r="J28" s="2">
        <f t="shared" si="2"/>
        <v>0</v>
      </c>
      <c r="K28" s="2">
        <f t="shared" si="3"/>
        <v>-1</v>
      </c>
      <c r="L28" s="1">
        <f>0+0</f>
        <v>0</v>
      </c>
      <c r="M28" s="1">
        <f>0-1</f>
        <v>-1</v>
      </c>
      <c r="N28" s="1">
        <f t="shared" si="5"/>
        <v>1</v>
      </c>
      <c r="W28" s="1">
        <v>28</v>
      </c>
    </row>
    <row r="29" spans="1:33">
      <c r="A29" t="s">
        <v>148</v>
      </c>
      <c r="I29" t="s">
        <v>158</v>
      </c>
      <c r="J29" s="2">
        <f t="shared" si="2"/>
        <v>0</v>
      </c>
      <c r="K29" s="2">
        <f t="shared" si="3"/>
        <v>-1</v>
      </c>
      <c r="L29" s="1">
        <f>0+0</f>
        <v>0</v>
      </c>
      <c r="M29" s="1">
        <f>0+-1</f>
        <v>-1</v>
      </c>
      <c r="N29" s="1">
        <f t="shared" si="5"/>
        <v>1</v>
      </c>
      <c r="W29" s="1">
        <v>29</v>
      </c>
    </row>
    <row r="30" spans="1:33">
      <c r="A30" t="s">
        <v>149</v>
      </c>
      <c r="I30" t="s">
        <v>162</v>
      </c>
      <c r="J30" s="2">
        <f t="shared" si="2"/>
        <v>0</v>
      </c>
      <c r="K30" s="2">
        <f t="shared" si="3"/>
        <v>-1</v>
      </c>
      <c r="L30" s="1">
        <f>0+0</f>
        <v>0</v>
      </c>
      <c r="M30" s="1">
        <f>0+-1</f>
        <v>-1</v>
      </c>
      <c r="N30" s="1">
        <f t="shared" si="5"/>
        <v>1</v>
      </c>
      <c r="W30" s="1">
        <v>30</v>
      </c>
    </row>
    <row r="31" spans="1:33">
      <c r="I31" t="s">
        <v>93</v>
      </c>
      <c r="J31" s="2">
        <f t="shared" si="2"/>
        <v>0</v>
      </c>
      <c r="K31" s="2">
        <f t="shared" si="3"/>
        <v>-2</v>
      </c>
      <c r="L31" s="1">
        <f>0+0</f>
        <v>0</v>
      </c>
      <c r="M31" s="1">
        <f>0+-2</f>
        <v>-2</v>
      </c>
      <c r="N31" s="1">
        <f t="shared" si="5"/>
        <v>1</v>
      </c>
      <c r="W31" s="1">
        <v>31</v>
      </c>
    </row>
    <row r="32" spans="1:33">
      <c r="I32" t="s">
        <v>140</v>
      </c>
      <c r="J32" s="2">
        <f t="shared" si="2"/>
        <v>0</v>
      </c>
      <c r="K32" s="2">
        <f t="shared" si="3"/>
        <v>-2</v>
      </c>
      <c r="L32" s="1">
        <f>0+0</f>
        <v>0</v>
      </c>
      <c r="M32" s="1">
        <f>0+-2</f>
        <v>-2</v>
      </c>
      <c r="N32" s="1">
        <f t="shared" si="5"/>
        <v>1</v>
      </c>
      <c r="W32" s="1">
        <v>32</v>
      </c>
    </row>
    <row r="33" spans="23:23">
      <c r="W33" s="1">
        <v>33</v>
      </c>
    </row>
    <row r="34" spans="23:23">
      <c r="W34" s="1">
        <v>34</v>
      </c>
    </row>
    <row r="35" spans="23:23">
      <c r="W35" s="1">
        <v>35</v>
      </c>
    </row>
    <row r="36" spans="23:23">
      <c r="W36" s="1">
        <v>36</v>
      </c>
    </row>
    <row r="37" spans="23:23">
      <c r="W37" s="1">
        <v>37</v>
      </c>
    </row>
    <row r="38" spans="23:23">
      <c r="W38" s="1">
        <v>38</v>
      </c>
    </row>
    <row r="39" spans="23:23">
      <c r="W39" s="1">
        <v>39</v>
      </c>
    </row>
    <row r="40" spans="23:23">
      <c r="W40" s="1">
        <v>40</v>
      </c>
    </row>
    <row r="41" spans="23:23">
      <c r="W41" s="1">
        <v>41</v>
      </c>
    </row>
    <row r="42" spans="23:23">
      <c r="W42" s="1">
        <v>42</v>
      </c>
    </row>
    <row r="43" spans="23:23">
      <c r="W43" s="1">
        <v>43</v>
      </c>
    </row>
    <row r="44" spans="23:23">
      <c r="W44" s="1">
        <v>44</v>
      </c>
    </row>
    <row r="45" spans="23:23">
      <c r="W45" s="1">
        <v>45</v>
      </c>
    </row>
    <row r="46" spans="23:23">
      <c r="W46" s="1">
        <v>46</v>
      </c>
    </row>
    <row r="47" spans="23:23">
      <c r="W47" s="1">
        <v>47</v>
      </c>
    </row>
    <row r="48" spans="23:23">
      <c r="W48" s="1">
        <v>48</v>
      </c>
    </row>
    <row r="49" spans="23:23">
      <c r="W49" s="1">
        <v>49</v>
      </c>
    </row>
    <row r="50" spans="23:23">
      <c r="W50" s="1">
        <v>50</v>
      </c>
    </row>
    <row r="51" spans="23:23">
      <c r="W51" s="1">
        <v>51</v>
      </c>
    </row>
    <row r="52" spans="23:23">
      <c r="W52" s="1">
        <v>52</v>
      </c>
    </row>
    <row r="53" spans="23:23">
      <c r="W53" s="1">
        <v>53</v>
      </c>
    </row>
    <row r="54" spans="23:23">
      <c r="W54" s="1">
        <v>54</v>
      </c>
    </row>
    <row r="55" spans="23:23">
      <c r="W55" s="1">
        <v>55</v>
      </c>
    </row>
    <row r="56" spans="23:23">
      <c r="W56" s="1">
        <v>56</v>
      </c>
    </row>
    <row r="57" spans="23:23">
      <c r="W57" s="1">
        <v>57</v>
      </c>
    </row>
    <row r="58" spans="23:23">
      <c r="W58" s="1">
        <v>58</v>
      </c>
    </row>
    <row r="59" spans="23:23">
      <c r="W59" s="1">
        <v>59</v>
      </c>
    </row>
    <row r="60" spans="23:23">
      <c r="W60" s="1">
        <v>60</v>
      </c>
    </row>
    <row r="61" spans="23:23">
      <c r="W61" s="1">
        <v>61</v>
      </c>
    </row>
    <row r="62" spans="23:23">
      <c r="W62" s="1">
        <v>62</v>
      </c>
    </row>
    <row r="63" spans="23:23">
      <c r="W63" s="1">
        <v>63</v>
      </c>
    </row>
    <row r="64" spans="23:23">
      <c r="W64" s="1">
        <v>64</v>
      </c>
    </row>
    <row r="65" spans="23:23">
      <c r="W65" s="1">
        <v>65</v>
      </c>
    </row>
    <row r="66" spans="23:23">
      <c r="W66" s="1">
        <v>66</v>
      </c>
    </row>
    <row r="67" spans="23:23">
      <c r="W67" s="1">
        <v>67</v>
      </c>
    </row>
    <row r="68" spans="23:23">
      <c r="W68" s="1">
        <v>68</v>
      </c>
    </row>
    <row r="69" spans="23:23">
      <c r="W69" s="1">
        <v>69</v>
      </c>
    </row>
    <row r="70" spans="23:23">
      <c r="W70" s="1">
        <v>70</v>
      </c>
    </row>
    <row r="71" spans="23:23">
      <c r="W71" s="1">
        <v>71</v>
      </c>
    </row>
    <row r="72" spans="23:23">
      <c r="W72" s="1">
        <v>72</v>
      </c>
    </row>
    <row r="73" spans="23:23">
      <c r="W73" s="1">
        <v>73</v>
      </c>
    </row>
    <row r="74" spans="23:23">
      <c r="W74" s="1">
        <v>74</v>
      </c>
    </row>
    <row r="75" spans="23:23">
      <c r="W75" s="1">
        <v>75</v>
      </c>
    </row>
    <row r="76" spans="23:23">
      <c r="W76" s="1">
        <v>76</v>
      </c>
    </row>
    <row r="77" spans="23:23">
      <c r="W77" s="1">
        <v>77</v>
      </c>
    </row>
    <row r="78" spans="23:23">
      <c r="W78" s="1">
        <v>78</v>
      </c>
    </row>
    <row r="79" spans="23:23">
      <c r="W79" s="1">
        <v>79</v>
      </c>
    </row>
    <row r="80" spans="23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sortState ref="I1:N99">
    <sortCondition descending="1" ref="J1:J99"/>
    <sortCondition descending="1" ref="K1:K99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K99"/>
  <sheetViews>
    <sheetView zoomScale="73" zoomScaleNormal="73" workbookViewId="0">
      <selection activeCell="W9" sqref="W9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4.85546875" style="1" customWidth="1"/>
    <col min="29" max="29" width="2.140625" style="8" customWidth="1"/>
    <col min="30" max="31" width="4.85546875" style="1" customWidth="1"/>
    <col min="32" max="32" width="2.140625" style="8" customWidth="1"/>
    <col min="33" max="33" width="4.85546875" style="18" customWidth="1"/>
    <col min="34" max="34" width="2.140625" style="8" customWidth="1"/>
    <col min="35" max="35" width="9.7109375" customWidth="1"/>
    <col min="36" max="37" width="4.28515625" style="1" customWidth="1"/>
  </cols>
  <sheetData>
    <row r="1" spans="1:37">
      <c r="A1" s="4" t="s">
        <v>85</v>
      </c>
      <c r="B1" s="4" t="s">
        <v>95</v>
      </c>
      <c r="C1" s="5">
        <v>0</v>
      </c>
      <c r="D1" s="5">
        <v>1</v>
      </c>
      <c r="E1" s="1">
        <f t="shared" ref="E1:E8" si="0">C1-D1</f>
        <v>-1</v>
      </c>
      <c r="F1" s="1">
        <f t="shared" ref="F1:F8" si="1">D1-C1</f>
        <v>1</v>
      </c>
      <c r="G1" s="10">
        <v>0.5625</v>
      </c>
      <c r="H1" s="17"/>
      <c r="I1" t="s">
        <v>90</v>
      </c>
      <c r="J1" s="2">
        <f t="shared" ref="J1:J33" si="2">(L1/N1)*IF(N1&gt;5,1,IF(N1=5,0.9,IF(N1=4,0.8,0.7)))</f>
        <v>2</v>
      </c>
      <c r="K1" s="2">
        <f t="shared" ref="K1:K33" si="3">M1/N1</f>
        <v>2</v>
      </c>
      <c r="L1" s="1">
        <f>0+1+3+3+3</f>
        <v>10</v>
      </c>
      <c r="M1" s="1">
        <f>0+0+2+3+3</f>
        <v>8</v>
      </c>
      <c r="N1" s="1">
        <f>0+1+1+1+1</f>
        <v>4</v>
      </c>
      <c r="W1" s="1">
        <v>1</v>
      </c>
      <c r="X1" s="12" t="s">
        <v>174</v>
      </c>
      <c r="Y1" s="4" t="s">
        <v>41</v>
      </c>
      <c r="AA1" s="18" t="s">
        <v>129</v>
      </c>
      <c r="AB1" s="18" t="s">
        <v>111</v>
      </c>
      <c r="AD1" s="1">
        <v>2</v>
      </c>
      <c r="AE1" s="1">
        <v>3</v>
      </c>
      <c r="AG1" s="18" t="s">
        <v>111</v>
      </c>
      <c r="AI1" s="12"/>
    </row>
    <row r="2" spans="1:37">
      <c r="A2" s="4" t="s">
        <v>162</v>
      </c>
      <c r="B2" s="4" t="s">
        <v>161</v>
      </c>
      <c r="C2" s="5">
        <v>2</v>
      </c>
      <c r="D2" s="5">
        <v>2</v>
      </c>
      <c r="E2" s="1">
        <f t="shared" si="0"/>
        <v>0</v>
      </c>
      <c r="F2" s="1">
        <f t="shared" si="1"/>
        <v>0</v>
      </c>
      <c r="G2" s="10">
        <v>0.75</v>
      </c>
      <c r="H2" s="17"/>
      <c r="I2" t="s">
        <v>85</v>
      </c>
      <c r="J2" s="2">
        <f t="shared" si="2"/>
        <v>1.8333333333333333</v>
      </c>
      <c r="K2" s="2">
        <f t="shared" si="3"/>
        <v>0.83333333333333337</v>
      </c>
      <c r="L2" s="1">
        <f>0+1+3+1+3+3+0</f>
        <v>11</v>
      </c>
      <c r="M2" s="1">
        <f>0+0+2+0+1+3+-1</f>
        <v>5</v>
      </c>
      <c r="N2" s="1">
        <f>0+1+1+1+1+1+1</f>
        <v>6</v>
      </c>
      <c r="W2" s="1">
        <v>2</v>
      </c>
      <c r="X2" s="12" t="s">
        <v>174</v>
      </c>
      <c r="Y2" s="4" t="s">
        <v>144</v>
      </c>
      <c r="AA2" s="18" t="s">
        <v>128</v>
      </c>
      <c r="AB2" s="18" t="s">
        <v>120</v>
      </c>
      <c r="AD2" s="18"/>
      <c r="AE2" s="18"/>
      <c r="AG2" s="18" t="s">
        <v>119</v>
      </c>
      <c r="AI2" s="12"/>
    </row>
    <row r="3" spans="1:37">
      <c r="A3" s="4" t="s">
        <v>89</v>
      </c>
      <c r="B3" s="4" t="s">
        <v>93</v>
      </c>
      <c r="C3" s="5">
        <v>1</v>
      </c>
      <c r="D3" s="5">
        <v>0</v>
      </c>
      <c r="E3" s="1">
        <f t="shared" si="0"/>
        <v>1</v>
      </c>
      <c r="F3" s="1">
        <f t="shared" si="1"/>
        <v>-1</v>
      </c>
      <c r="G3" s="10">
        <v>0.77083333333333337</v>
      </c>
      <c r="H3" s="17"/>
      <c r="I3" t="s">
        <v>95</v>
      </c>
      <c r="J3" s="2">
        <f t="shared" si="2"/>
        <v>1.8</v>
      </c>
      <c r="K3" s="2">
        <f t="shared" si="3"/>
        <v>2</v>
      </c>
      <c r="L3" s="1">
        <f>0+0+3+3+3</f>
        <v>9</v>
      </c>
      <c r="M3" s="1">
        <f>0+-1+5+3+1</f>
        <v>8</v>
      </c>
      <c r="N3" s="1">
        <f>0+1+1+1+1</f>
        <v>4</v>
      </c>
      <c r="W3" s="1">
        <v>3</v>
      </c>
      <c r="X3" s="12" t="s">
        <v>174</v>
      </c>
      <c r="Y3" s="4" t="s">
        <v>73</v>
      </c>
      <c r="AA3" s="18" t="s">
        <v>108</v>
      </c>
      <c r="AB3" s="18" t="s">
        <v>120</v>
      </c>
      <c r="AD3" s="18"/>
      <c r="AE3" s="18"/>
      <c r="AG3" s="18" t="s">
        <v>111</v>
      </c>
      <c r="AI3" s="12"/>
    </row>
    <row r="4" spans="1:37">
      <c r="A4" s="4" t="s">
        <v>163</v>
      </c>
      <c r="B4" s="4" t="s">
        <v>86</v>
      </c>
      <c r="C4" s="5">
        <v>0</v>
      </c>
      <c r="D4" s="5">
        <v>0</v>
      </c>
      <c r="E4" s="1">
        <f t="shared" si="0"/>
        <v>0</v>
      </c>
      <c r="F4" s="1">
        <f t="shared" si="1"/>
        <v>0</v>
      </c>
      <c r="G4" s="10">
        <v>0.875</v>
      </c>
      <c r="H4" s="17"/>
      <c r="I4" s="3" t="s">
        <v>132</v>
      </c>
      <c r="J4" s="2">
        <f t="shared" si="2"/>
        <v>1.4</v>
      </c>
      <c r="K4" s="2">
        <f t="shared" si="3"/>
        <v>1</v>
      </c>
      <c r="L4" s="1">
        <f>0+3+0+3</f>
        <v>6</v>
      </c>
      <c r="M4" s="1">
        <f>0+1+-1+3</f>
        <v>3</v>
      </c>
      <c r="N4" s="1">
        <f>0+1+1+1</f>
        <v>3</v>
      </c>
      <c r="W4" s="1">
        <v>4</v>
      </c>
      <c r="X4" s="12" t="s">
        <v>175</v>
      </c>
      <c r="Y4" s="4" t="s">
        <v>98</v>
      </c>
      <c r="AA4" s="18" t="s">
        <v>118</v>
      </c>
      <c r="AB4" s="18" t="s">
        <v>131</v>
      </c>
      <c r="AD4" s="18"/>
      <c r="AE4" s="1">
        <v>6</v>
      </c>
      <c r="AG4" s="18" t="s">
        <v>113</v>
      </c>
      <c r="AI4" s="12"/>
    </row>
    <row r="5" spans="1:37">
      <c r="A5" s="4"/>
      <c r="B5" s="4"/>
      <c r="C5" s="5"/>
      <c r="D5" s="5"/>
      <c r="E5" s="1">
        <f t="shared" si="0"/>
        <v>0</v>
      </c>
      <c r="F5" s="1">
        <f t="shared" si="1"/>
        <v>0</v>
      </c>
      <c r="G5" s="10"/>
      <c r="H5" s="17"/>
      <c r="I5" t="s">
        <v>139</v>
      </c>
      <c r="J5" s="2">
        <f t="shared" si="2"/>
        <v>0.93333333333333324</v>
      </c>
      <c r="K5" s="2">
        <f t="shared" si="3"/>
        <v>0.33333333333333331</v>
      </c>
      <c r="L5" s="1">
        <f>0+3+0+1</f>
        <v>4</v>
      </c>
      <c r="M5" s="1">
        <f>0+2+-1+0</f>
        <v>1</v>
      </c>
      <c r="N5" s="1">
        <f>0+1+1+1</f>
        <v>3</v>
      </c>
      <c r="W5" s="1">
        <v>5</v>
      </c>
      <c r="X5" s="12"/>
      <c r="Y5" s="4"/>
      <c r="AA5" s="18"/>
      <c r="AB5" s="18"/>
      <c r="AD5" s="18"/>
      <c r="AE5" s="18"/>
      <c r="AG5" s="18" t="s">
        <v>113</v>
      </c>
      <c r="AI5" s="12" t="s">
        <v>173</v>
      </c>
    </row>
    <row r="6" spans="1:37">
      <c r="A6" s="4" t="s">
        <v>114</v>
      </c>
      <c r="B6" s="4" t="s">
        <v>94</v>
      </c>
      <c r="C6" s="5">
        <v>3</v>
      </c>
      <c r="D6" s="5">
        <v>1</v>
      </c>
      <c r="E6" s="1">
        <f t="shared" si="0"/>
        <v>2</v>
      </c>
      <c r="F6" s="1">
        <f t="shared" si="1"/>
        <v>-2</v>
      </c>
      <c r="G6" s="10">
        <v>0.72916666666666663</v>
      </c>
      <c r="H6" s="17"/>
      <c r="I6" t="s">
        <v>86</v>
      </c>
      <c r="J6" s="2">
        <f t="shared" si="2"/>
        <v>0.9</v>
      </c>
      <c r="K6" s="2">
        <f t="shared" si="3"/>
        <v>0</v>
      </c>
      <c r="L6" s="1">
        <f>0+1+1+1+1+1</f>
        <v>5</v>
      </c>
      <c r="M6" s="1">
        <f>0+0+0+0+0+0</f>
        <v>0</v>
      </c>
      <c r="N6" s="1">
        <f>0+1+1+1+1+1</f>
        <v>5</v>
      </c>
      <c r="W6" s="1">
        <v>6</v>
      </c>
      <c r="X6" s="12" t="s">
        <v>174</v>
      </c>
      <c r="Y6" s="4" t="s">
        <v>41</v>
      </c>
      <c r="AA6" s="18" t="s">
        <v>108</v>
      </c>
      <c r="AB6" s="18" t="s">
        <v>131</v>
      </c>
      <c r="AD6" s="18"/>
      <c r="AE6" s="18"/>
      <c r="AG6" s="18" t="s">
        <v>131</v>
      </c>
      <c r="AI6" s="12"/>
    </row>
    <row r="7" spans="1:37">
      <c r="A7" s="4" t="s">
        <v>140</v>
      </c>
      <c r="B7" s="4" t="s">
        <v>171</v>
      </c>
      <c r="C7" s="5">
        <v>3</v>
      </c>
      <c r="D7" s="5">
        <v>2</v>
      </c>
      <c r="E7" s="1">
        <f t="shared" si="0"/>
        <v>1</v>
      </c>
      <c r="F7" s="1">
        <f t="shared" si="1"/>
        <v>-1</v>
      </c>
      <c r="G7" s="10">
        <v>0.75</v>
      </c>
      <c r="H7" s="17"/>
      <c r="I7" t="s">
        <v>94</v>
      </c>
      <c r="J7" s="2">
        <f t="shared" si="2"/>
        <v>0.7</v>
      </c>
      <c r="K7" s="2">
        <f t="shared" si="3"/>
        <v>-1.3333333333333333</v>
      </c>
      <c r="L7" s="1">
        <f>0+3+0+0</f>
        <v>3</v>
      </c>
      <c r="M7" s="1">
        <f>0+1+-3+-2</f>
        <v>-4</v>
      </c>
      <c r="N7" s="1">
        <f>0+1+1+1</f>
        <v>3</v>
      </c>
      <c r="W7" s="1">
        <v>7</v>
      </c>
      <c r="X7" s="12" t="s">
        <v>64</v>
      </c>
      <c r="Y7" s="4" t="s">
        <v>144</v>
      </c>
      <c r="AA7" s="18" t="s">
        <v>176</v>
      </c>
      <c r="AB7" s="18" t="s">
        <v>131</v>
      </c>
      <c r="AD7" s="18"/>
      <c r="AE7" s="18"/>
      <c r="AG7" s="18" t="s">
        <v>131</v>
      </c>
      <c r="AI7" s="12"/>
      <c r="AJ7" s="1" t="s">
        <v>150</v>
      </c>
    </row>
    <row r="8" spans="1:37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10"/>
      <c r="H8" s="17"/>
      <c r="I8" t="s">
        <v>114</v>
      </c>
      <c r="J8" s="2">
        <f t="shared" si="2"/>
        <v>0.7</v>
      </c>
      <c r="K8" s="2">
        <f t="shared" si="3"/>
        <v>-1.6666666666666667</v>
      </c>
      <c r="L8" s="1">
        <f>0+0+0+3</f>
        <v>3</v>
      </c>
      <c r="M8" s="1">
        <f>0+-2+-5+2</f>
        <v>-5</v>
      </c>
      <c r="N8" s="1">
        <f>0+1+1+1</f>
        <v>3</v>
      </c>
      <c r="W8" s="1">
        <v>8</v>
      </c>
      <c r="X8" s="12"/>
      <c r="Y8" s="4"/>
      <c r="AA8" s="18"/>
      <c r="AB8" s="18"/>
      <c r="AD8" s="18"/>
      <c r="AE8" s="18"/>
      <c r="AG8" s="18" t="s">
        <v>130</v>
      </c>
      <c r="AI8" s="12"/>
      <c r="AJ8" s="1" t="s">
        <v>150</v>
      </c>
    </row>
    <row r="9" spans="1:37">
      <c r="A9" t="s">
        <v>6</v>
      </c>
      <c r="C9"/>
      <c r="D9"/>
      <c r="E9"/>
      <c r="F9"/>
      <c r="G9" s="15"/>
      <c r="H9" s="7"/>
      <c r="I9" t="s">
        <v>125</v>
      </c>
      <c r="J9" s="2">
        <f t="shared" si="2"/>
        <v>0</v>
      </c>
      <c r="K9" s="2">
        <f t="shared" si="3"/>
        <v>-2.3333333333333335</v>
      </c>
      <c r="L9" s="1">
        <f>0+0+0+0</f>
        <v>0</v>
      </c>
      <c r="M9" s="1">
        <f>0+-1+-3+-3</f>
        <v>-7</v>
      </c>
      <c r="N9" s="1">
        <f>0+1+1+1</f>
        <v>3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/>
      <c r="AE9" s="3"/>
      <c r="AG9" s="18" t="s">
        <v>113</v>
      </c>
      <c r="AI9" s="16" t="s">
        <v>172</v>
      </c>
      <c r="AK9" s="1" t="s">
        <v>153</v>
      </c>
    </row>
    <row r="10" spans="1:37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I10" t="s">
        <v>163</v>
      </c>
      <c r="J10" s="2">
        <f t="shared" si="2"/>
        <v>1.4</v>
      </c>
      <c r="K10" s="2">
        <f t="shared" si="3"/>
        <v>0.5</v>
      </c>
      <c r="L10" s="1">
        <f>0+3+1</f>
        <v>4</v>
      </c>
      <c r="M10" s="1">
        <f>0+1+0</f>
        <v>1</v>
      </c>
      <c r="N10" s="1">
        <f t="shared" ref="N10:N25" si="4">0+1+1</f>
        <v>2</v>
      </c>
      <c r="W10" s="1">
        <v>10</v>
      </c>
      <c r="X10" s="13" t="s">
        <v>54</v>
      </c>
      <c r="Y10" t="s">
        <v>38</v>
      </c>
      <c r="AG10" s="18" t="s">
        <v>113</v>
      </c>
    </row>
    <row r="11" spans="1:37">
      <c r="A11" t="s">
        <v>7</v>
      </c>
      <c r="C11"/>
      <c r="D11"/>
      <c r="E11"/>
      <c r="F11"/>
      <c r="I11" t="s">
        <v>83</v>
      </c>
      <c r="J11" s="2">
        <f t="shared" si="2"/>
        <v>1.4</v>
      </c>
      <c r="K11" s="2">
        <f t="shared" si="3"/>
        <v>0.5</v>
      </c>
      <c r="L11" s="1">
        <f>0+3+1</f>
        <v>4</v>
      </c>
      <c r="M11" s="1">
        <f>0+1+0</f>
        <v>1</v>
      </c>
      <c r="N11" s="1">
        <f t="shared" si="4"/>
        <v>2</v>
      </c>
      <c r="W11" s="1">
        <v>11</v>
      </c>
      <c r="X11" s="13" t="s">
        <v>55</v>
      </c>
      <c r="Y11" t="s">
        <v>39</v>
      </c>
      <c r="AG11" s="18" t="s">
        <v>111</v>
      </c>
    </row>
    <row r="12" spans="1:37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I12" t="s">
        <v>124</v>
      </c>
      <c r="J12" s="2">
        <f t="shared" si="2"/>
        <v>1.4</v>
      </c>
      <c r="K12" s="2">
        <f t="shared" si="3"/>
        <v>0.5</v>
      </c>
      <c r="L12" s="1">
        <f>0+3+1</f>
        <v>4</v>
      </c>
      <c r="M12" s="1">
        <f>0+1+0</f>
        <v>1</v>
      </c>
      <c r="N12" s="1">
        <f t="shared" si="4"/>
        <v>2</v>
      </c>
      <c r="W12" s="1">
        <v>12</v>
      </c>
      <c r="X12" s="13" t="s">
        <v>25</v>
      </c>
      <c r="Y12" t="s">
        <v>40</v>
      </c>
      <c r="AG12" s="18" t="s">
        <v>119</v>
      </c>
    </row>
    <row r="13" spans="1:37">
      <c r="A13" t="s">
        <v>15</v>
      </c>
      <c r="C13"/>
      <c r="D13"/>
      <c r="E13"/>
      <c r="F13"/>
      <c r="I13" t="s">
        <v>123</v>
      </c>
      <c r="J13" s="2">
        <f t="shared" si="2"/>
        <v>1.4</v>
      </c>
      <c r="K13" s="2">
        <f t="shared" si="3"/>
        <v>0.5</v>
      </c>
      <c r="L13" s="1">
        <f>0+1+3</f>
        <v>4</v>
      </c>
      <c r="M13" s="1">
        <f>0+0+1</f>
        <v>1</v>
      </c>
      <c r="N13" s="1">
        <f t="shared" si="4"/>
        <v>2</v>
      </c>
      <c r="W13" s="1">
        <v>13</v>
      </c>
      <c r="X13" s="13" t="s">
        <v>29</v>
      </c>
      <c r="Y13" t="s">
        <v>45</v>
      </c>
      <c r="AG13" s="18" t="s">
        <v>120</v>
      </c>
    </row>
    <row r="14" spans="1:37">
      <c r="A14" s="3" t="s">
        <v>30</v>
      </c>
      <c r="C14"/>
      <c r="D14"/>
      <c r="E14"/>
      <c r="F14"/>
      <c r="I14" t="s">
        <v>89</v>
      </c>
      <c r="J14" s="2">
        <f t="shared" si="2"/>
        <v>1.4</v>
      </c>
      <c r="K14" s="2">
        <f t="shared" si="3"/>
        <v>0.5</v>
      </c>
      <c r="L14" s="1">
        <f>0+1+3</f>
        <v>4</v>
      </c>
      <c r="M14" s="1">
        <f>0+0+1</f>
        <v>1</v>
      </c>
      <c r="N14" s="1">
        <f t="shared" si="4"/>
        <v>2</v>
      </c>
      <c r="W14" s="1">
        <v>14</v>
      </c>
      <c r="X14" s="13" t="s">
        <v>56</v>
      </c>
      <c r="Y14" t="s">
        <v>42</v>
      </c>
      <c r="AG14" s="18" t="s">
        <v>130</v>
      </c>
    </row>
    <row r="15" spans="1:37">
      <c r="A15" t="s">
        <v>133</v>
      </c>
      <c r="C15"/>
      <c r="D15"/>
      <c r="E15"/>
      <c r="F15"/>
      <c r="I15" t="s">
        <v>91</v>
      </c>
      <c r="J15" s="2">
        <f t="shared" si="2"/>
        <v>1.0499999999999998</v>
      </c>
      <c r="K15" s="2">
        <f t="shared" si="3"/>
        <v>0</v>
      </c>
      <c r="L15" s="1">
        <f>0+0+3</f>
        <v>3</v>
      </c>
      <c r="M15" s="1">
        <f>0+-1+1</f>
        <v>0</v>
      </c>
      <c r="N15" s="1">
        <f t="shared" si="4"/>
        <v>2</v>
      </c>
      <c r="W15" s="1">
        <v>15</v>
      </c>
      <c r="X15" s="13" t="s">
        <v>57</v>
      </c>
      <c r="Y15" t="s">
        <v>43</v>
      </c>
      <c r="AG15" s="18" t="s">
        <v>120</v>
      </c>
    </row>
    <row r="16" spans="1:37">
      <c r="A16" t="s">
        <v>23</v>
      </c>
      <c r="C16"/>
      <c r="D16"/>
      <c r="E16"/>
      <c r="F16"/>
      <c r="I16" t="s">
        <v>140</v>
      </c>
      <c r="J16" s="2">
        <f t="shared" si="2"/>
        <v>1.0499999999999998</v>
      </c>
      <c r="K16" s="2">
        <f t="shared" si="3"/>
        <v>-0.5</v>
      </c>
      <c r="L16" s="1">
        <f>0+0+3</f>
        <v>3</v>
      </c>
      <c r="M16" s="1">
        <f>0+-2+1</f>
        <v>-1</v>
      </c>
      <c r="N16" s="1">
        <f t="shared" si="4"/>
        <v>2</v>
      </c>
      <c r="W16" s="1">
        <v>16</v>
      </c>
      <c r="X16" s="13" t="s">
        <v>58</v>
      </c>
      <c r="Y16" t="s">
        <v>44</v>
      </c>
      <c r="AG16" s="18" t="s">
        <v>146</v>
      </c>
    </row>
    <row r="17" spans="1:33">
      <c r="A17" t="s">
        <v>134</v>
      </c>
      <c r="I17" t="s">
        <v>126</v>
      </c>
      <c r="J17" s="2">
        <f t="shared" si="2"/>
        <v>0.7</v>
      </c>
      <c r="K17" s="2">
        <f t="shared" si="3"/>
        <v>0</v>
      </c>
      <c r="L17" s="1">
        <f>0+1+1</f>
        <v>2</v>
      </c>
      <c r="M17" s="1">
        <f>0+0+0</f>
        <v>0</v>
      </c>
      <c r="N17" s="1">
        <f t="shared" si="4"/>
        <v>2</v>
      </c>
      <c r="W17" s="1">
        <v>17</v>
      </c>
      <c r="X17" s="13" t="s">
        <v>59</v>
      </c>
      <c r="Y17" t="s">
        <v>46</v>
      </c>
      <c r="AG17" s="18" t="s">
        <v>111</v>
      </c>
    </row>
    <row r="18" spans="1:33">
      <c r="A18" t="s">
        <v>33</v>
      </c>
      <c r="C18"/>
      <c r="D18"/>
      <c r="E18"/>
      <c r="F18"/>
      <c r="I18" t="s">
        <v>138</v>
      </c>
      <c r="J18" s="2">
        <f t="shared" si="2"/>
        <v>0.7</v>
      </c>
      <c r="K18" s="2">
        <f t="shared" si="3"/>
        <v>0</v>
      </c>
      <c r="L18" s="1">
        <f>0+1+1</f>
        <v>2</v>
      </c>
      <c r="M18" s="1">
        <f>0+0+0</f>
        <v>0</v>
      </c>
      <c r="N18" s="1">
        <f t="shared" si="4"/>
        <v>2</v>
      </c>
      <c r="W18" s="1">
        <v>18</v>
      </c>
      <c r="X18" s="13" t="s">
        <v>60</v>
      </c>
      <c r="Y18" t="s">
        <v>47</v>
      </c>
      <c r="AG18" s="18" t="s">
        <v>113</v>
      </c>
    </row>
    <row r="19" spans="1:33">
      <c r="A19" t="s">
        <v>135</v>
      </c>
      <c r="I19" t="s">
        <v>96</v>
      </c>
      <c r="J19" s="2">
        <f t="shared" si="2"/>
        <v>0.7</v>
      </c>
      <c r="K19" s="2">
        <f t="shared" si="3"/>
        <v>0</v>
      </c>
      <c r="L19" s="1">
        <f>0+1+1</f>
        <v>2</v>
      </c>
      <c r="M19" s="1">
        <f>0+0+0</f>
        <v>0</v>
      </c>
      <c r="N19" s="1">
        <f t="shared" si="4"/>
        <v>2</v>
      </c>
      <c r="W19" s="1">
        <v>19</v>
      </c>
      <c r="X19" s="13" t="s">
        <v>26</v>
      </c>
      <c r="Y19" t="s">
        <v>48</v>
      </c>
      <c r="AG19" s="18" t="s">
        <v>112</v>
      </c>
    </row>
    <row r="20" spans="1:33">
      <c r="A20" t="s">
        <v>19</v>
      </c>
      <c r="I20" t="s">
        <v>161</v>
      </c>
      <c r="J20" s="2">
        <f t="shared" si="2"/>
        <v>0.7</v>
      </c>
      <c r="K20" s="2">
        <f t="shared" si="3"/>
        <v>0</v>
      </c>
      <c r="L20" s="1">
        <f>0+1+1</f>
        <v>2</v>
      </c>
      <c r="M20" s="1">
        <f>0+0+0</f>
        <v>0</v>
      </c>
      <c r="N20" s="1">
        <f t="shared" si="4"/>
        <v>2</v>
      </c>
      <c r="W20" s="1">
        <v>20</v>
      </c>
      <c r="X20" s="13" t="s">
        <v>61</v>
      </c>
      <c r="Y20" t="s">
        <v>49</v>
      </c>
      <c r="AG20" s="18" t="s">
        <v>120</v>
      </c>
    </row>
    <row r="21" spans="1:33">
      <c r="B21" t="s">
        <v>20</v>
      </c>
      <c r="I21" t="s">
        <v>162</v>
      </c>
      <c r="J21" s="2">
        <f t="shared" si="2"/>
        <v>0.35</v>
      </c>
      <c r="K21" s="2">
        <f t="shared" si="3"/>
        <v>-0.5</v>
      </c>
      <c r="L21" s="1">
        <f>0+0+1</f>
        <v>1</v>
      </c>
      <c r="M21" s="1">
        <f>0+-1+0</f>
        <v>-1</v>
      </c>
      <c r="N21" s="1">
        <f t="shared" si="4"/>
        <v>2</v>
      </c>
      <c r="W21" s="1">
        <v>21</v>
      </c>
      <c r="X21" s="13" t="s">
        <v>62</v>
      </c>
      <c r="Y21" t="s">
        <v>50</v>
      </c>
      <c r="AG21" s="18" t="s">
        <v>111</v>
      </c>
    </row>
    <row r="22" spans="1:33">
      <c r="B22" t="s">
        <v>88</v>
      </c>
      <c r="I22" t="s">
        <v>159</v>
      </c>
      <c r="J22" s="2">
        <f t="shared" si="2"/>
        <v>0.35</v>
      </c>
      <c r="K22" s="2">
        <f t="shared" si="3"/>
        <v>-1.5</v>
      </c>
      <c r="L22" s="1">
        <f>0+1+0</f>
        <v>1</v>
      </c>
      <c r="M22" s="1">
        <f>0+0+-3</f>
        <v>-3</v>
      </c>
      <c r="N22" s="1">
        <f t="shared" si="4"/>
        <v>2</v>
      </c>
      <c r="W22" s="1">
        <v>22</v>
      </c>
      <c r="X22" s="13" t="s">
        <v>63</v>
      </c>
      <c r="Y22" t="s">
        <v>51</v>
      </c>
      <c r="AG22" s="18" t="s">
        <v>111</v>
      </c>
    </row>
    <row r="23" spans="1:33">
      <c r="A23" t="s">
        <v>16</v>
      </c>
      <c r="C23"/>
      <c r="D23"/>
      <c r="E23"/>
      <c r="F23"/>
      <c r="I23" t="s">
        <v>157</v>
      </c>
      <c r="J23" s="2">
        <f t="shared" si="2"/>
        <v>0.35</v>
      </c>
      <c r="K23" s="2">
        <f t="shared" si="3"/>
        <v>-1.5</v>
      </c>
      <c r="L23" s="1">
        <f>0+0+1</f>
        <v>1</v>
      </c>
      <c r="M23" s="1">
        <f>0+-3+0</f>
        <v>-3</v>
      </c>
      <c r="N23" s="1">
        <f t="shared" si="4"/>
        <v>2</v>
      </c>
      <c r="W23" s="1">
        <v>23</v>
      </c>
      <c r="X23" s="13" t="s">
        <v>28</v>
      </c>
      <c r="Y23" t="s">
        <v>52</v>
      </c>
      <c r="AG23" s="18" t="s">
        <v>120</v>
      </c>
    </row>
    <row r="24" spans="1:33">
      <c r="A24" t="s">
        <v>17</v>
      </c>
      <c r="B24" s="2" t="e">
        <f t="shared" ref="B24" si="5">(D24/F24)*IF(F24&gt;5,1,IF(F24=5,0.9,IF(F24=4,0.8,0.7)))</f>
        <v>#DIV/0!</v>
      </c>
      <c r="C24" s="2" t="e">
        <f t="shared" ref="C24" si="6">E24/F24</f>
        <v>#DIV/0!</v>
      </c>
      <c r="D24" s="1">
        <f>0</f>
        <v>0</v>
      </c>
      <c r="E24" s="1">
        <f>0</f>
        <v>0</v>
      </c>
      <c r="F24" s="1">
        <f>0</f>
        <v>0</v>
      </c>
      <c r="I24" t="s">
        <v>137</v>
      </c>
      <c r="J24" s="2">
        <f t="shared" si="2"/>
        <v>0.35</v>
      </c>
      <c r="K24" s="2">
        <f t="shared" si="3"/>
        <v>-2</v>
      </c>
      <c r="L24" s="1">
        <f>0+1+0</f>
        <v>1</v>
      </c>
      <c r="M24" s="1">
        <f>0+0+-4</f>
        <v>-4</v>
      </c>
      <c r="N24" s="1">
        <f t="shared" si="4"/>
        <v>2</v>
      </c>
      <c r="W24" s="1">
        <v>24</v>
      </c>
      <c r="X24" s="13" t="s">
        <v>64</v>
      </c>
      <c r="Y24" t="s">
        <v>53</v>
      </c>
      <c r="AG24" s="18" t="s">
        <v>111</v>
      </c>
    </row>
    <row r="25" spans="1:33">
      <c r="A25" t="s">
        <v>18</v>
      </c>
      <c r="B25" t="s">
        <v>136</v>
      </c>
      <c r="I25" t="s">
        <v>93</v>
      </c>
      <c r="J25" s="2">
        <f t="shared" si="2"/>
        <v>0</v>
      </c>
      <c r="K25" s="2">
        <f t="shared" si="3"/>
        <v>-1.5</v>
      </c>
      <c r="L25" s="1">
        <f>0+0+0</f>
        <v>0</v>
      </c>
      <c r="M25" s="1">
        <f>0+-2+-1</f>
        <v>-3</v>
      </c>
      <c r="N25" s="1">
        <f t="shared" si="4"/>
        <v>2</v>
      </c>
      <c r="W25" s="1">
        <v>25</v>
      </c>
      <c r="X25" s="13" t="s">
        <v>65</v>
      </c>
      <c r="Y25" t="s">
        <v>68</v>
      </c>
      <c r="AG25" s="18" t="s">
        <v>120</v>
      </c>
    </row>
    <row r="26" spans="1:33">
      <c r="A26" t="s">
        <v>14</v>
      </c>
      <c r="I26" t="s">
        <v>164</v>
      </c>
      <c r="J26" s="2">
        <f t="shared" si="2"/>
        <v>2.0999999999999996</v>
      </c>
      <c r="K26" s="2">
        <f t="shared" si="3"/>
        <v>4</v>
      </c>
      <c r="L26" s="1">
        <f>0+3</f>
        <v>3</v>
      </c>
      <c r="M26" s="1">
        <f>0+4</f>
        <v>4</v>
      </c>
      <c r="N26" s="1">
        <f t="shared" ref="N26:N33" si="7">0+1</f>
        <v>1</v>
      </c>
      <c r="W26" s="1">
        <v>26</v>
      </c>
      <c r="X26" s="13" t="s">
        <v>66</v>
      </c>
      <c r="Y26" t="s">
        <v>69</v>
      </c>
    </row>
    <row r="27" spans="1:33">
      <c r="A27" t="s">
        <v>21</v>
      </c>
      <c r="I27" t="s">
        <v>155</v>
      </c>
      <c r="J27" s="2">
        <f t="shared" si="2"/>
        <v>0.7</v>
      </c>
      <c r="K27" s="2">
        <f t="shared" si="3"/>
        <v>0</v>
      </c>
      <c r="L27" s="1">
        <f>0+1</f>
        <v>1</v>
      </c>
      <c r="M27" s="1">
        <f>0+0</f>
        <v>0</v>
      </c>
      <c r="N27" s="1">
        <f t="shared" si="7"/>
        <v>1</v>
      </c>
      <c r="W27" s="1">
        <v>27</v>
      </c>
      <c r="X27" s="13" t="s">
        <v>67</v>
      </c>
      <c r="Y27" t="s">
        <v>70</v>
      </c>
    </row>
    <row r="28" spans="1:33">
      <c r="A28" t="s">
        <v>147</v>
      </c>
      <c r="I28" t="s">
        <v>156</v>
      </c>
      <c r="J28" s="2">
        <f t="shared" si="2"/>
        <v>0.7</v>
      </c>
      <c r="K28" s="2">
        <f t="shared" si="3"/>
        <v>0</v>
      </c>
      <c r="L28" s="1">
        <f>0+1</f>
        <v>1</v>
      </c>
      <c r="M28" s="1">
        <f>0+0</f>
        <v>0</v>
      </c>
      <c r="N28" s="1">
        <f t="shared" si="7"/>
        <v>1</v>
      </c>
      <c r="W28" s="1">
        <v>28</v>
      </c>
    </row>
    <row r="29" spans="1:33">
      <c r="A29" t="s">
        <v>148</v>
      </c>
      <c r="I29" t="s">
        <v>160</v>
      </c>
      <c r="J29" s="2">
        <f t="shared" si="2"/>
        <v>0.7</v>
      </c>
      <c r="K29" s="2">
        <f t="shared" si="3"/>
        <v>0</v>
      </c>
      <c r="L29" s="1">
        <f>0+1</f>
        <v>1</v>
      </c>
      <c r="M29" s="1">
        <f>0+0</f>
        <v>0</v>
      </c>
      <c r="N29" s="1">
        <f t="shared" si="7"/>
        <v>1</v>
      </c>
      <c r="W29" s="1">
        <v>29</v>
      </c>
    </row>
    <row r="30" spans="1:33">
      <c r="A30" t="s">
        <v>149</v>
      </c>
      <c r="I30" t="s">
        <v>167</v>
      </c>
      <c r="J30" s="2">
        <f t="shared" si="2"/>
        <v>0.7</v>
      </c>
      <c r="K30" s="2">
        <f t="shared" si="3"/>
        <v>0</v>
      </c>
      <c r="L30" s="1">
        <f>0+1</f>
        <v>1</v>
      </c>
      <c r="M30" s="1">
        <f>0+0</f>
        <v>0</v>
      </c>
      <c r="N30" s="1">
        <f t="shared" si="7"/>
        <v>1</v>
      </c>
      <c r="W30" s="1">
        <v>30</v>
      </c>
    </row>
    <row r="31" spans="1:33">
      <c r="I31" t="s">
        <v>84</v>
      </c>
      <c r="J31" s="2">
        <f t="shared" si="2"/>
        <v>0</v>
      </c>
      <c r="K31" s="2">
        <f t="shared" si="3"/>
        <v>-1</v>
      </c>
      <c r="L31" s="1">
        <f>0+0</f>
        <v>0</v>
      </c>
      <c r="M31" s="1">
        <f>0-1</f>
        <v>-1</v>
      </c>
      <c r="N31" s="1">
        <f t="shared" si="7"/>
        <v>1</v>
      </c>
      <c r="W31" s="1">
        <v>31</v>
      </c>
    </row>
    <row r="32" spans="1:33">
      <c r="I32" t="s">
        <v>158</v>
      </c>
      <c r="J32" s="2">
        <f t="shared" si="2"/>
        <v>0</v>
      </c>
      <c r="K32" s="2">
        <f t="shared" si="3"/>
        <v>-1</v>
      </c>
      <c r="L32" s="1">
        <f>0+0</f>
        <v>0</v>
      </c>
      <c r="M32" s="1">
        <f>0+-1</f>
        <v>-1</v>
      </c>
      <c r="N32" s="1">
        <f t="shared" si="7"/>
        <v>1</v>
      </c>
      <c r="W32" s="1">
        <v>32</v>
      </c>
    </row>
    <row r="33" spans="9:23">
      <c r="I33" t="s">
        <v>171</v>
      </c>
      <c r="J33" s="2">
        <f t="shared" si="2"/>
        <v>0</v>
      </c>
      <c r="K33" s="2">
        <f t="shared" si="3"/>
        <v>-1</v>
      </c>
      <c r="L33" s="1">
        <f>0+0</f>
        <v>0</v>
      </c>
      <c r="M33" s="1">
        <f>0+-1</f>
        <v>-1</v>
      </c>
      <c r="N33" s="1">
        <f t="shared" si="7"/>
        <v>1</v>
      </c>
      <c r="W33" s="1">
        <v>33</v>
      </c>
    </row>
    <row r="34" spans="9:23">
      <c r="W34" s="1">
        <v>34</v>
      </c>
    </row>
    <row r="35" spans="9:23">
      <c r="W35" s="1">
        <v>35</v>
      </c>
    </row>
    <row r="36" spans="9:23">
      <c r="W36" s="1">
        <v>36</v>
      </c>
    </row>
    <row r="37" spans="9:23">
      <c r="W37" s="1">
        <v>37</v>
      </c>
    </row>
    <row r="38" spans="9:23">
      <c r="W38" s="1">
        <v>38</v>
      </c>
    </row>
    <row r="39" spans="9:23">
      <c r="W39" s="1">
        <v>39</v>
      </c>
    </row>
    <row r="40" spans="9:23">
      <c r="W40" s="1">
        <v>40</v>
      </c>
    </row>
    <row r="41" spans="9:23">
      <c r="W41" s="1">
        <v>41</v>
      </c>
    </row>
    <row r="42" spans="9:23">
      <c r="W42" s="1">
        <v>42</v>
      </c>
    </row>
    <row r="43" spans="9:23">
      <c r="W43" s="1">
        <v>43</v>
      </c>
    </row>
    <row r="44" spans="9:23">
      <c r="W44" s="1">
        <v>44</v>
      </c>
    </row>
    <row r="45" spans="9:23">
      <c r="W45" s="1">
        <v>45</v>
      </c>
    </row>
    <row r="46" spans="9:23">
      <c r="W46" s="1">
        <v>46</v>
      </c>
    </row>
    <row r="47" spans="9:23">
      <c r="W47" s="1">
        <v>47</v>
      </c>
    </row>
    <row r="48" spans="9:23">
      <c r="W48" s="1">
        <v>48</v>
      </c>
    </row>
    <row r="49" spans="23:23">
      <c r="W49" s="1">
        <v>49</v>
      </c>
    </row>
    <row r="50" spans="23:23">
      <c r="W50" s="1">
        <v>50</v>
      </c>
    </row>
    <row r="51" spans="23:23">
      <c r="W51" s="1">
        <v>51</v>
      </c>
    </row>
    <row r="52" spans="23:23">
      <c r="W52" s="1">
        <v>52</v>
      </c>
    </row>
    <row r="53" spans="23:23">
      <c r="W53" s="1">
        <v>53</v>
      </c>
    </row>
    <row r="54" spans="23:23">
      <c r="W54" s="1">
        <v>54</v>
      </c>
    </row>
    <row r="55" spans="23:23">
      <c r="W55" s="1">
        <v>55</v>
      </c>
    </row>
    <row r="56" spans="23:23">
      <c r="W56" s="1">
        <v>56</v>
      </c>
    </row>
    <row r="57" spans="23:23">
      <c r="W57" s="1">
        <v>57</v>
      </c>
    </row>
    <row r="58" spans="23:23">
      <c r="W58" s="1">
        <v>58</v>
      </c>
    </row>
    <row r="59" spans="23:23">
      <c r="W59" s="1">
        <v>59</v>
      </c>
    </row>
    <row r="60" spans="23:23">
      <c r="W60" s="1">
        <v>60</v>
      </c>
    </row>
    <row r="61" spans="23:23">
      <c r="W61" s="1">
        <v>61</v>
      </c>
    </row>
    <row r="62" spans="23:23">
      <c r="W62" s="1">
        <v>62</v>
      </c>
    </row>
    <row r="63" spans="23:23">
      <c r="W63" s="1">
        <v>63</v>
      </c>
    </row>
    <row r="64" spans="23:23">
      <c r="W64" s="1">
        <v>64</v>
      </c>
    </row>
    <row r="65" spans="23:23">
      <c r="W65" s="1">
        <v>65</v>
      </c>
    </row>
    <row r="66" spans="23:23">
      <c r="W66" s="1">
        <v>66</v>
      </c>
    </row>
    <row r="67" spans="23:23">
      <c r="W67" s="1">
        <v>67</v>
      </c>
    </row>
    <row r="68" spans="23:23">
      <c r="W68" s="1">
        <v>68</v>
      </c>
    </row>
    <row r="69" spans="23:23">
      <c r="W69" s="1">
        <v>69</v>
      </c>
    </row>
    <row r="70" spans="23:23">
      <c r="W70" s="1">
        <v>70</v>
      </c>
    </row>
    <row r="71" spans="23:23">
      <c r="W71" s="1">
        <v>71</v>
      </c>
    </row>
    <row r="72" spans="23:23">
      <c r="W72" s="1">
        <v>72</v>
      </c>
    </row>
    <row r="73" spans="23:23">
      <c r="W73" s="1">
        <v>73</v>
      </c>
    </row>
    <row r="74" spans="23:23">
      <c r="W74" s="1">
        <v>74</v>
      </c>
    </row>
    <row r="75" spans="23:23">
      <c r="W75" s="1">
        <v>75</v>
      </c>
    </row>
    <row r="76" spans="23:23">
      <c r="W76" s="1">
        <v>76</v>
      </c>
    </row>
    <row r="77" spans="23:23">
      <c r="W77" s="1">
        <v>77</v>
      </c>
    </row>
    <row r="78" spans="23:23">
      <c r="W78" s="1">
        <v>78</v>
      </c>
    </row>
    <row r="79" spans="23:23">
      <c r="W79" s="1">
        <v>79</v>
      </c>
    </row>
    <row r="80" spans="23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sortState ref="I1:N99">
    <sortCondition descending="1" ref="J1:J99"/>
    <sortCondition descending="1" ref="K1:K99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K99"/>
  <sheetViews>
    <sheetView zoomScale="73" zoomScaleNormal="73" workbookViewId="0">
      <selection activeCell="S22" sqref="S22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4.85546875" style="1" customWidth="1"/>
    <col min="29" max="29" width="2.140625" style="8" customWidth="1"/>
    <col min="30" max="31" width="4.85546875" style="1" customWidth="1"/>
    <col min="32" max="32" width="2.140625" style="8" customWidth="1"/>
    <col min="33" max="33" width="4.85546875" style="18" customWidth="1"/>
    <col min="34" max="34" width="2.140625" style="8" customWidth="1"/>
    <col min="35" max="35" width="9.7109375" customWidth="1"/>
    <col min="36" max="37" width="4.28515625" style="1" customWidth="1"/>
  </cols>
  <sheetData>
    <row r="1" spans="1:35">
      <c r="A1" s="19" t="s">
        <v>132</v>
      </c>
      <c r="B1" s="4" t="s">
        <v>162</v>
      </c>
      <c r="C1" s="5">
        <v>0</v>
      </c>
      <c r="D1" s="5">
        <v>0</v>
      </c>
      <c r="E1" s="1">
        <f t="shared" ref="E1:E8" si="0">C1-D1</f>
        <v>0</v>
      </c>
      <c r="F1" s="1">
        <f t="shared" ref="F1:F8" si="1">D1-C1</f>
        <v>0</v>
      </c>
      <c r="G1" s="10">
        <v>0.78125</v>
      </c>
      <c r="H1" s="17"/>
      <c r="I1" t="s">
        <v>90</v>
      </c>
      <c r="J1" s="2">
        <f t="shared" ref="J1:J33" si="2">(L1/N1)*IF(N1&gt;5,1,IF(N1=5,0.9,IF(N1=4,0.8,0.7)))</f>
        <v>2</v>
      </c>
      <c r="K1" s="2">
        <f t="shared" ref="K1:K33" si="3">M1/N1</f>
        <v>2</v>
      </c>
      <c r="L1" s="1">
        <f>0+1+3+3+3</f>
        <v>10</v>
      </c>
      <c r="M1" s="1">
        <f>0+0+2+3+3</f>
        <v>8</v>
      </c>
      <c r="N1" s="1">
        <f>0+1+1+1+1</f>
        <v>4</v>
      </c>
      <c r="W1" s="1">
        <v>1</v>
      </c>
      <c r="X1" s="12" t="s">
        <v>57</v>
      </c>
      <c r="Y1" s="4" t="s">
        <v>38</v>
      </c>
      <c r="AA1" s="18" t="s">
        <v>118</v>
      </c>
      <c r="AB1" s="18" t="s">
        <v>111</v>
      </c>
      <c r="AD1" s="1">
        <v>5</v>
      </c>
      <c r="AE1" s="1">
        <v>12</v>
      </c>
      <c r="AG1" s="18" t="s">
        <v>111</v>
      </c>
      <c r="AI1" s="12"/>
    </row>
    <row r="2" spans="1:35">
      <c r="A2" s="4" t="s">
        <v>93</v>
      </c>
      <c r="B2" s="4" t="s">
        <v>137</v>
      </c>
      <c r="C2" s="5">
        <v>1</v>
      </c>
      <c r="D2" s="5">
        <v>0</v>
      </c>
      <c r="E2" s="1">
        <f t="shared" si="0"/>
        <v>1</v>
      </c>
      <c r="F2" s="1">
        <f t="shared" si="1"/>
        <v>-1</v>
      </c>
      <c r="G2" s="10">
        <v>0.875</v>
      </c>
      <c r="H2" s="17"/>
      <c r="I2" t="s">
        <v>85</v>
      </c>
      <c r="J2" s="2">
        <f t="shared" si="2"/>
        <v>1.8333333333333333</v>
      </c>
      <c r="K2" s="2">
        <f t="shared" si="3"/>
        <v>0.83333333333333337</v>
      </c>
      <c r="L2" s="1">
        <f>0+1+3+1+3+3+0</f>
        <v>11</v>
      </c>
      <c r="M2" s="1">
        <f>0+0+2+0+1+3+-1</f>
        <v>5</v>
      </c>
      <c r="N2" s="1">
        <f>0+1+1+1+1+1+1</f>
        <v>6</v>
      </c>
      <c r="W2" s="1">
        <v>2</v>
      </c>
      <c r="X2" s="12" t="s">
        <v>57</v>
      </c>
      <c r="Y2" s="4" t="s">
        <v>38</v>
      </c>
      <c r="AA2" s="18" t="s">
        <v>110</v>
      </c>
      <c r="AB2" s="18" t="s">
        <v>111</v>
      </c>
      <c r="AD2" s="1">
        <v>9</v>
      </c>
      <c r="AE2" s="1">
        <v>14</v>
      </c>
      <c r="AG2" s="18" t="s">
        <v>119</v>
      </c>
      <c r="AI2" s="12"/>
    </row>
    <row r="3" spans="1:35">
      <c r="A3" s="4" t="s">
        <v>139</v>
      </c>
      <c r="B3" s="4" t="s">
        <v>126</v>
      </c>
      <c r="C3" s="5">
        <v>1</v>
      </c>
      <c r="D3" s="5">
        <v>2</v>
      </c>
      <c r="E3" s="1">
        <f t="shared" si="0"/>
        <v>-1</v>
      </c>
      <c r="F3" s="1">
        <f t="shared" si="1"/>
        <v>1</v>
      </c>
      <c r="G3" s="10">
        <v>0.875</v>
      </c>
      <c r="H3" s="17"/>
      <c r="I3" t="s">
        <v>123</v>
      </c>
      <c r="J3" s="2">
        <f t="shared" si="2"/>
        <v>1.6333333333333333</v>
      </c>
      <c r="K3" s="2">
        <f t="shared" si="3"/>
        <v>1.6666666666666667</v>
      </c>
      <c r="L3" s="1">
        <f>0+1+3+3</f>
        <v>7</v>
      </c>
      <c r="M3" s="1">
        <f>0+0+1+4</f>
        <v>5</v>
      </c>
      <c r="N3" s="1">
        <f>0+1+1+1</f>
        <v>3</v>
      </c>
      <c r="W3" s="1">
        <v>3</v>
      </c>
      <c r="X3" s="12" t="s">
        <v>57</v>
      </c>
      <c r="Y3" s="4" t="s">
        <v>38</v>
      </c>
      <c r="AA3" s="18" t="s">
        <v>118</v>
      </c>
      <c r="AB3" s="18" t="s">
        <v>111</v>
      </c>
      <c r="AD3" s="1">
        <v>8</v>
      </c>
      <c r="AE3" s="1">
        <v>6</v>
      </c>
      <c r="AG3" s="18" t="s">
        <v>111</v>
      </c>
      <c r="AI3" s="12"/>
    </row>
    <row r="4" spans="1:35">
      <c r="A4" s="4" t="s">
        <v>84</v>
      </c>
      <c r="B4" s="4" t="s">
        <v>95</v>
      </c>
      <c r="C4" s="5">
        <v>2</v>
      </c>
      <c r="D4" s="5">
        <v>0</v>
      </c>
      <c r="E4" s="1">
        <f t="shared" si="0"/>
        <v>2</v>
      </c>
      <c r="F4" s="1">
        <f t="shared" si="1"/>
        <v>-2</v>
      </c>
      <c r="G4" s="10">
        <v>0.875</v>
      </c>
      <c r="H4" s="17"/>
      <c r="I4" t="s">
        <v>95</v>
      </c>
      <c r="J4" s="2">
        <f t="shared" si="2"/>
        <v>1.62</v>
      </c>
      <c r="K4" s="2">
        <f t="shared" si="3"/>
        <v>1.2</v>
      </c>
      <c r="L4" s="1">
        <f>0+0+3+3+3+0</f>
        <v>9</v>
      </c>
      <c r="M4" s="1">
        <f>0+-1+5+3+1+-2</f>
        <v>6</v>
      </c>
      <c r="N4" s="1">
        <f>0+1+1+1+1+1</f>
        <v>5</v>
      </c>
      <c r="W4" s="1">
        <v>4</v>
      </c>
      <c r="X4" s="12" t="s">
        <v>57</v>
      </c>
      <c r="Y4" s="4" t="s">
        <v>38</v>
      </c>
      <c r="AA4" s="18" t="s">
        <v>118</v>
      </c>
      <c r="AB4" s="18" t="s">
        <v>111</v>
      </c>
      <c r="AD4" s="18"/>
      <c r="AE4" s="1">
        <v>4</v>
      </c>
      <c r="AG4" s="18" t="s">
        <v>113</v>
      </c>
      <c r="AI4" s="12"/>
    </row>
    <row r="5" spans="1:35">
      <c r="A5" s="4" t="s">
        <v>138</v>
      </c>
      <c r="B5" s="4" t="s">
        <v>123</v>
      </c>
      <c r="C5" s="5">
        <v>1</v>
      </c>
      <c r="D5" s="5">
        <v>5</v>
      </c>
      <c r="E5" s="1">
        <f t="shared" si="0"/>
        <v>-4</v>
      </c>
      <c r="F5" s="1">
        <f t="shared" si="1"/>
        <v>4</v>
      </c>
      <c r="G5" s="10">
        <v>0.875</v>
      </c>
      <c r="H5" s="17"/>
      <c r="I5" s="3" t="s">
        <v>132</v>
      </c>
      <c r="J5" s="2">
        <f t="shared" si="2"/>
        <v>1.4000000000000001</v>
      </c>
      <c r="K5" s="2">
        <f t="shared" si="3"/>
        <v>0.75</v>
      </c>
      <c r="L5" s="1">
        <f>0+3+0+3+1</f>
        <v>7</v>
      </c>
      <c r="M5" s="1">
        <f>0+1+-1+3+0</f>
        <v>3</v>
      </c>
      <c r="N5" s="1">
        <f>0+1+1+1+1</f>
        <v>4</v>
      </c>
      <c r="W5" s="1">
        <v>5</v>
      </c>
      <c r="X5" s="12" t="s">
        <v>57</v>
      </c>
      <c r="Y5" s="4" t="s">
        <v>38</v>
      </c>
      <c r="AA5" s="18" t="s">
        <v>118</v>
      </c>
      <c r="AB5" s="18" t="s">
        <v>120</v>
      </c>
      <c r="AD5" s="1">
        <v>13</v>
      </c>
      <c r="AE5" s="1">
        <v>3</v>
      </c>
      <c r="AG5" s="18" t="s">
        <v>113</v>
      </c>
      <c r="AI5" s="12"/>
    </row>
    <row r="6" spans="1:35">
      <c r="A6" s="4"/>
      <c r="B6" s="4"/>
      <c r="C6" s="5"/>
      <c r="D6" s="5"/>
      <c r="E6" s="1">
        <f t="shared" si="0"/>
        <v>0</v>
      </c>
      <c r="F6" s="1">
        <f t="shared" si="1"/>
        <v>0</v>
      </c>
      <c r="G6" s="10"/>
      <c r="H6" s="17"/>
      <c r="I6" t="s">
        <v>126</v>
      </c>
      <c r="J6" s="2">
        <f t="shared" si="2"/>
        <v>1.1666666666666667</v>
      </c>
      <c r="K6" s="2">
        <f t="shared" si="3"/>
        <v>0.33333333333333331</v>
      </c>
      <c r="L6" s="1">
        <f>0+1+1+3</f>
        <v>5</v>
      </c>
      <c r="M6" s="1">
        <f>0+0+0+1</f>
        <v>1</v>
      </c>
      <c r="N6" s="1">
        <f>0+1+1+1</f>
        <v>3</v>
      </c>
      <c r="W6" s="1">
        <v>6</v>
      </c>
      <c r="X6" s="12"/>
      <c r="Y6" s="4"/>
      <c r="AA6" s="18"/>
      <c r="AB6" s="18"/>
      <c r="AD6" s="18"/>
      <c r="AE6" s="18"/>
      <c r="AG6" s="18" t="s">
        <v>131</v>
      </c>
      <c r="AI6" s="12"/>
    </row>
    <row r="7" spans="1:35">
      <c r="A7" s="4"/>
      <c r="B7" s="4"/>
      <c r="C7" s="5"/>
      <c r="D7" s="5"/>
      <c r="E7" s="1">
        <f t="shared" si="0"/>
        <v>0</v>
      </c>
      <c r="F7" s="1">
        <f t="shared" si="1"/>
        <v>0</v>
      </c>
      <c r="G7" s="10"/>
      <c r="H7" s="17"/>
      <c r="I7" t="s">
        <v>86</v>
      </c>
      <c r="J7" s="2">
        <f t="shared" si="2"/>
        <v>0.9</v>
      </c>
      <c r="K7" s="2">
        <f t="shared" si="3"/>
        <v>0</v>
      </c>
      <c r="L7" s="1">
        <f>0+1+1+1+1+1</f>
        <v>5</v>
      </c>
      <c r="M7" s="1">
        <f>0+0+0+0+0+0</f>
        <v>0</v>
      </c>
      <c r="N7" s="1">
        <f>0+1+1+1+1+1</f>
        <v>5</v>
      </c>
      <c r="W7" s="1">
        <v>7</v>
      </c>
      <c r="X7" s="12"/>
      <c r="Y7" s="4"/>
      <c r="AA7" s="18"/>
      <c r="AB7" s="18"/>
      <c r="AD7" s="18"/>
      <c r="AE7" s="18"/>
      <c r="AG7" s="18" t="s">
        <v>131</v>
      </c>
      <c r="AI7" s="12"/>
    </row>
    <row r="8" spans="1:35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10"/>
      <c r="H8" s="17"/>
      <c r="I8" t="s">
        <v>139</v>
      </c>
      <c r="J8" s="2">
        <f t="shared" si="2"/>
        <v>0.8</v>
      </c>
      <c r="K8" s="2">
        <f t="shared" si="3"/>
        <v>0</v>
      </c>
      <c r="L8" s="1">
        <f>0+3+0+1+0</f>
        <v>4</v>
      </c>
      <c r="M8" s="1">
        <f>0+2+-1+0+-1</f>
        <v>0</v>
      </c>
      <c r="N8" s="1">
        <f>0+1+1+1+1</f>
        <v>4</v>
      </c>
      <c r="W8" s="1">
        <v>8</v>
      </c>
      <c r="X8" s="12"/>
      <c r="Y8" s="4"/>
      <c r="AA8" s="18"/>
      <c r="AB8" s="18"/>
      <c r="AD8" s="18"/>
      <c r="AE8" s="18"/>
      <c r="AG8" s="18" t="s">
        <v>130</v>
      </c>
      <c r="AI8" s="12"/>
    </row>
    <row r="9" spans="1:35">
      <c r="A9" t="s">
        <v>6</v>
      </c>
      <c r="C9"/>
      <c r="D9"/>
      <c r="E9"/>
      <c r="F9"/>
      <c r="G9" s="15"/>
      <c r="H9" s="7"/>
      <c r="I9" t="s">
        <v>93</v>
      </c>
      <c r="J9" s="2">
        <f t="shared" si="2"/>
        <v>0.7</v>
      </c>
      <c r="K9" s="2">
        <f t="shared" si="3"/>
        <v>-0.66666666666666663</v>
      </c>
      <c r="L9" s="1">
        <f>0+0+0+3</f>
        <v>3</v>
      </c>
      <c r="M9" s="1">
        <f>0+-2+-1+1</f>
        <v>-2</v>
      </c>
      <c r="N9" s="1">
        <f t="shared" ref="N9:N15" si="4">0+1+1+1</f>
        <v>3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/>
      <c r="AE9" s="3"/>
      <c r="AG9" s="18" t="s">
        <v>113</v>
      </c>
      <c r="AI9" s="16" t="s">
        <v>177</v>
      </c>
    </row>
    <row r="10" spans="1:35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I10" t="s">
        <v>94</v>
      </c>
      <c r="J10" s="2">
        <f t="shared" si="2"/>
        <v>0.7</v>
      </c>
      <c r="K10" s="2">
        <f t="shared" si="3"/>
        <v>-1.3333333333333333</v>
      </c>
      <c r="L10" s="1">
        <f>0+3+0+0</f>
        <v>3</v>
      </c>
      <c r="M10" s="1">
        <f>0+1+-3+-2</f>
        <v>-4</v>
      </c>
      <c r="N10" s="1">
        <f t="shared" si="4"/>
        <v>3</v>
      </c>
      <c r="W10" s="1">
        <v>10</v>
      </c>
      <c r="X10" s="13" t="s">
        <v>54</v>
      </c>
      <c r="Y10" t="s">
        <v>38</v>
      </c>
      <c r="AG10" s="18" t="s">
        <v>113</v>
      </c>
    </row>
    <row r="11" spans="1:35">
      <c r="A11" t="s">
        <v>7</v>
      </c>
      <c r="C11"/>
      <c r="D11"/>
      <c r="E11"/>
      <c r="F11"/>
      <c r="I11" t="s">
        <v>114</v>
      </c>
      <c r="J11" s="2">
        <f t="shared" si="2"/>
        <v>0.7</v>
      </c>
      <c r="K11" s="2">
        <f t="shared" si="3"/>
        <v>-1.6666666666666667</v>
      </c>
      <c r="L11" s="1">
        <f>0+0+0+3</f>
        <v>3</v>
      </c>
      <c r="M11" s="1">
        <f>0+-2+-5+2</f>
        <v>-5</v>
      </c>
      <c r="N11" s="1">
        <f t="shared" si="4"/>
        <v>3</v>
      </c>
      <c r="W11" s="1">
        <v>11</v>
      </c>
      <c r="X11" s="13" t="s">
        <v>55</v>
      </c>
      <c r="Y11" t="s">
        <v>39</v>
      </c>
      <c r="AG11" s="18" t="s">
        <v>111</v>
      </c>
    </row>
    <row r="12" spans="1:35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I12" t="s">
        <v>162</v>
      </c>
      <c r="J12" s="2">
        <f t="shared" si="2"/>
        <v>0.46666666666666662</v>
      </c>
      <c r="K12" s="2">
        <f t="shared" si="3"/>
        <v>-0.33333333333333331</v>
      </c>
      <c r="L12" s="1">
        <f>0+0+1+1</f>
        <v>2</v>
      </c>
      <c r="M12" s="1">
        <f>0+-1+0+0</f>
        <v>-1</v>
      </c>
      <c r="N12" s="1">
        <f t="shared" si="4"/>
        <v>3</v>
      </c>
      <c r="W12" s="1">
        <v>12</v>
      </c>
      <c r="X12" s="13" t="s">
        <v>25</v>
      </c>
      <c r="Y12" t="s">
        <v>40</v>
      </c>
      <c r="AG12" s="18" t="s">
        <v>119</v>
      </c>
    </row>
    <row r="13" spans="1:35">
      <c r="A13" t="s">
        <v>15</v>
      </c>
      <c r="C13"/>
      <c r="D13"/>
      <c r="E13"/>
      <c r="F13"/>
      <c r="I13" t="s">
        <v>138</v>
      </c>
      <c r="J13" s="2">
        <f t="shared" si="2"/>
        <v>0.46666666666666662</v>
      </c>
      <c r="K13" s="2">
        <f t="shared" si="3"/>
        <v>-1.3333333333333333</v>
      </c>
      <c r="L13" s="1">
        <f>0+1+1+0</f>
        <v>2</v>
      </c>
      <c r="M13" s="1">
        <f>0+0+0+-4</f>
        <v>-4</v>
      </c>
      <c r="N13" s="1">
        <f t="shared" si="4"/>
        <v>3</v>
      </c>
      <c r="W13" s="1">
        <v>13</v>
      </c>
      <c r="X13" s="13" t="s">
        <v>29</v>
      </c>
      <c r="Y13" t="s">
        <v>45</v>
      </c>
      <c r="AG13" s="18" t="s">
        <v>120</v>
      </c>
    </row>
    <row r="14" spans="1:35">
      <c r="A14" s="3" t="s">
        <v>30</v>
      </c>
      <c r="C14"/>
      <c r="D14"/>
      <c r="E14"/>
      <c r="F14"/>
      <c r="I14" t="s">
        <v>137</v>
      </c>
      <c r="J14" s="2">
        <f t="shared" si="2"/>
        <v>0.23333333333333331</v>
      </c>
      <c r="K14" s="2">
        <f t="shared" si="3"/>
        <v>-1.6666666666666667</v>
      </c>
      <c r="L14" s="1">
        <f>0+1+0+0</f>
        <v>1</v>
      </c>
      <c r="M14" s="1">
        <f>0+0+-4+-1</f>
        <v>-5</v>
      </c>
      <c r="N14" s="1">
        <f t="shared" si="4"/>
        <v>3</v>
      </c>
      <c r="W14" s="1">
        <v>14</v>
      </c>
      <c r="X14" s="13" t="s">
        <v>56</v>
      </c>
      <c r="Y14" t="s">
        <v>42</v>
      </c>
      <c r="AG14" s="18" t="s">
        <v>130</v>
      </c>
    </row>
    <row r="15" spans="1:35">
      <c r="A15" t="s">
        <v>133</v>
      </c>
      <c r="C15"/>
      <c r="D15"/>
      <c r="E15"/>
      <c r="F15"/>
      <c r="I15" t="s">
        <v>125</v>
      </c>
      <c r="J15" s="2">
        <f t="shared" si="2"/>
        <v>0</v>
      </c>
      <c r="K15" s="2">
        <f t="shared" si="3"/>
        <v>-2.3333333333333335</v>
      </c>
      <c r="L15" s="1">
        <f>0+0+0+0</f>
        <v>0</v>
      </c>
      <c r="M15" s="1">
        <f>0+-1+-3+-3</f>
        <v>-7</v>
      </c>
      <c r="N15" s="1">
        <f t="shared" si="4"/>
        <v>3</v>
      </c>
      <c r="W15" s="1">
        <v>15</v>
      </c>
      <c r="X15" s="13" t="s">
        <v>57</v>
      </c>
      <c r="Y15" t="s">
        <v>43</v>
      </c>
      <c r="AG15" s="18" t="s">
        <v>120</v>
      </c>
    </row>
    <row r="16" spans="1:35">
      <c r="A16" t="s">
        <v>23</v>
      </c>
      <c r="C16"/>
      <c r="D16"/>
      <c r="E16"/>
      <c r="F16"/>
      <c r="I16" t="s">
        <v>163</v>
      </c>
      <c r="J16" s="2">
        <f t="shared" si="2"/>
        <v>1.4</v>
      </c>
      <c r="K16" s="2">
        <f t="shared" si="3"/>
        <v>0.5</v>
      </c>
      <c r="L16" s="1">
        <f>0+3+1</f>
        <v>4</v>
      </c>
      <c r="M16" s="1">
        <f>0+1+0</f>
        <v>1</v>
      </c>
      <c r="N16" s="1">
        <f t="shared" ref="N16:N26" si="5">0+1+1</f>
        <v>2</v>
      </c>
      <c r="W16" s="1">
        <v>16</v>
      </c>
      <c r="X16" s="13" t="s">
        <v>58</v>
      </c>
      <c r="Y16" t="s">
        <v>44</v>
      </c>
      <c r="AG16" s="18" t="s">
        <v>146</v>
      </c>
    </row>
    <row r="17" spans="1:33">
      <c r="A17" t="s">
        <v>134</v>
      </c>
      <c r="I17" t="s">
        <v>83</v>
      </c>
      <c r="J17" s="2">
        <f t="shared" si="2"/>
        <v>1.4</v>
      </c>
      <c r="K17" s="2">
        <f t="shared" si="3"/>
        <v>0.5</v>
      </c>
      <c r="L17" s="1">
        <f>0+3+1</f>
        <v>4</v>
      </c>
      <c r="M17" s="1">
        <f>0+1+0</f>
        <v>1</v>
      </c>
      <c r="N17" s="1">
        <f t="shared" si="5"/>
        <v>2</v>
      </c>
      <c r="W17" s="1">
        <v>17</v>
      </c>
      <c r="X17" s="13" t="s">
        <v>59</v>
      </c>
      <c r="Y17" t="s">
        <v>46</v>
      </c>
      <c r="AG17" s="18" t="s">
        <v>111</v>
      </c>
    </row>
    <row r="18" spans="1:33">
      <c r="A18" t="s">
        <v>33</v>
      </c>
      <c r="C18"/>
      <c r="D18"/>
      <c r="E18"/>
      <c r="F18"/>
      <c r="I18" t="s">
        <v>124</v>
      </c>
      <c r="J18" s="2">
        <f t="shared" si="2"/>
        <v>1.4</v>
      </c>
      <c r="K18" s="2">
        <f t="shared" si="3"/>
        <v>0.5</v>
      </c>
      <c r="L18" s="1">
        <f>0+3+1</f>
        <v>4</v>
      </c>
      <c r="M18" s="1">
        <f>0+1+0</f>
        <v>1</v>
      </c>
      <c r="N18" s="1">
        <f t="shared" si="5"/>
        <v>2</v>
      </c>
      <c r="W18" s="1">
        <v>18</v>
      </c>
      <c r="X18" s="13" t="s">
        <v>60</v>
      </c>
      <c r="Y18" t="s">
        <v>47</v>
      </c>
      <c r="AG18" s="18" t="s">
        <v>113</v>
      </c>
    </row>
    <row r="19" spans="1:33">
      <c r="A19" t="s">
        <v>135</v>
      </c>
      <c r="I19" t="s">
        <v>89</v>
      </c>
      <c r="J19" s="2">
        <f t="shared" si="2"/>
        <v>1.4</v>
      </c>
      <c r="K19" s="2">
        <f t="shared" si="3"/>
        <v>0.5</v>
      </c>
      <c r="L19" s="1">
        <f>0+1+3</f>
        <v>4</v>
      </c>
      <c r="M19" s="1">
        <f>0+0+1</f>
        <v>1</v>
      </c>
      <c r="N19" s="1">
        <f t="shared" si="5"/>
        <v>2</v>
      </c>
      <c r="W19" s="1">
        <v>19</v>
      </c>
      <c r="X19" s="13" t="s">
        <v>26</v>
      </c>
      <c r="Y19" t="s">
        <v>48</v>
      </c>
      <c r="AG19" s="18" t="s">
        <v>112</v>
      </c>
    </row>
    <row r="20" spans="1:33">
      <c r="A20" t="s">
        <v>19</v>
      </c>
      <c r="I20" t="s">
        <v>84</v>
      </c>
      <c r="J20" s="2">
        <f t="shared" si="2"/>
        <v>1.0499999999999998</v>
      </c>
      <c r="K20" s="2">
        <f t="shared" si="3"/>
        <v>0.5</v>
      </c>
      <c r="L20" s="1">
        <f>0+0+3</f>
        <v>3</v>
      </c>
      <c r="M20" s="1">
        <f>0-1+2</f>
        <v>1</v>
      </c>
      <c r="N20" s="1">
        <f t="shared" si="5"/>
        <v>2</v>
      </c>
      <c r="W20" s="1">
        <v>20</v>
      </c>
      <c r="X20" s="13" t="s">
        <v>61</v>
      </c>
      <c r="Y20" t="s">
        <v>49</v>
      </c>
      <c r="AG20" s="18" t="s">
        <v>120</v>
      </c>
    </row>
    <row r="21" spans="1:33">
      <c r="B21" t="s">
        <v>20</v>
      </c>
      <c r="I21" t="s">
        <v>91</v>
      </c>
      <c r="J21" s="2">
        <f t="shared" si="2"/>
        <v>1.0499999999999998</v>
      </c>
      <c r="K21" s="2">
        <f t="shared" si="3"/>
        <v>0</v>
      </c>
      <c r="L21" s="1">
        <f>0+0+3</f>
        <v>3</v>
      </c>
      <c r="M21" s="1">
        <f>0+-1+1</f>
        <v>0</v>
      </c>
      <c r="N21" s="1">
        <f t="shared" si="5"/>
        <v>2</v>
      </c>
      <c r="W21" s="1">
        <v>21</v>
      </c>
      <c r="X21" s="13" t="s">
        <v>62</v>
      </c>
      <c r="Y21" t="s">
        <v>50</v>
      </c>
      <c r="AG21" s="18" t="s">
        <v>111</v>
      </c>
    </row>
    <row r="22" spans="1:33">
      <c r="B22" t="s">
        <v>88</v>
      </c>
      <c r="I22" t="s">
        <v>140</v>
      </c>
      <c r="J22" s="2">
        <f t="shared" si="2"/>
        <v>1.0499999999999998</v>
      </c>
      <c r="K22" s="2">
        <f t="shared" si="3"/>
        <v>-0.5</v>
      </c>
      <c r="L22" s="1">
        <f>0+0+3</f>
        <v>3</v>
      </c>
      <c r="M22" s="1">
        <f>0+-2+1</f>
        <v>-1</v>
      </c>
      <c r="N22" s="1">
        <f t="shared" si="5"/>
        <v>2</v>
      </c>
      <c r="W22" s="1">
        <v>22</v>
      </c>
      <c r="X22" s="13" t="s">
        <v>63</v>
      </c>
      <c r="Y22" t="s">
        <v>51</v>
      </c>
      <c r="AG22" s="18" t="s">
        <v>111</v>
      </c>
    </row>
    <row r="23" spans="1:33">
      <c r="A23" t="s">
        <v>16</v>
      </c>
      <c r="C23"/>
      <c r="D23"/>
      <c r="E23"/>
      <c r="F23"/>
      <c r="I23" t="s">
        <v>96</v>
      </c>
      <c r="J23" s="2">
        <f t="shared" si="2"/>
        <v>0.7</v>
      </c>
      <c r="K23" s="2">
        <f t="shared" si="3"/>
        <v>0</v>
      </c>
      <c r="L23" s="1">
        <f>0+1+1</f>
        <v>2</v>
      </c>
      <c r="M23" s="1">
        <f>0+0+0</f>
        <v>0</v>
      </c>
      <c r="N23" s="1">
        <f t="shared" si="5"/>
        <v>2</v>
      </c>
      <c r="W23" s="1">
        <v>23</v>
      </c>
      <c r="X23" s="13" t="s">
        <v>28</v>
      </c>
      <c r="Y23" t="s">
        <v>52</v>
      </c>
      <c r="AG23" s="18" t="s">
        <v>120</v>
      </c>
    </row>
    <row r="24" spans="1:33">
      <c r="A24" t="s">
        <v>17</v>
      </c>
      <c r="B24" s="2" t="e">
        <f t="shared" ref="B24" si="6">(D24/F24)*IF(F24&gt;5,1,IF(F24=5,0.9,IF(F24=4,0.8,0.7)))</f>
        <v>#DIV/0!</v>
      </c>
      <c r="C24" s="2" t="e">
        <f t="shared" ref="C24" si="7">E24/F24</f>
        <v>#DIV/0!</v>
      </c>
      <c r="D24" s="1">
        <f>0</f>
        <v>0</v>
      </c>
      <c r="E24" s="1">
        <f>0</f>
        <v>0</v>
      </c>
      <c r="F24" s="1">
        <f>0</f>
        <v>0</v>
      </c>
      <c r="I24" t="s">
        <v>161</v>
      </c>
      <c r="J24" s="2">
        <f t="shared" si="2"/>
        <v>0.7</v>
      </c>
      <c r="K24" s="2">
        <f t="shared" si="3"/>
        <v>0</v>
      </c>
      <c r="L24" s="1">
        <f>0+1+1</f>
        <v>2</v>
      </c>
      <c r="M24" s="1">
        <f>0+0+0</f>
        <v>0</v>
      </c>
      <c r="N24" s="1">
        <f t="shared" si="5"/>
        <v>2</v>
      </c>
      <c r="W24" s="1">
        <v>24</v>
      </c>
      <c r="X24" s="13" t="s">
        <v>64</v>
      </c>
      <c r="Y24" t="s">
        <v>53</v>
      </c>
      <c r="AG24" s="18" t="s">
        <v>111</v>
      </c>
    </row>
    <row r="25" spans="1:33">
      <c r="A25" t="s">
        <v>18</v>
      </c>
      <c r="B25" t="s">
        <v>136</v>
      </c>
      <c r="I25" t="s">
        <v>159</v>
      </c>
      <c r="J25" s="2">
        <f t="shared" si="2"/>
        <v>0.35</v>
      </c>
      <c r="K25" s="2">
        <f t="shared" si="3"/>
        <v>-1.5</v>
      </c>
      <c r="L25" s="1">
        <f>0+1+0</f>
        <v>1</v>
      </c>
      <c r="M25" s="1">
        <f>0+0+-3</f>
        <v>-3</v>
      </c>
      <c r="N25" s="1">
        <f t="shared" si="5"/>
        <v>2</v>
      </c>
      <c r="W25" s="1">
        <v>25</v>
      </c>
      <c r="X25" s="13" t="s">
        <v>65</v>
      </c>
      <c r="Y25" t="s">
        <v>68</v>
      </c>
      <c r="AG25" s="18" t="s">
        <v>120</v>
      </c>
    </row>
    <row r="26" spans="1:33">
      <c r="A26" t="s">
        <v>14</v>
      </c>
      <c r="I26" t="s">
        <v>157</v>
      </c>
      <c r="J26" s="2">
        <f t="shared" si="2"/>
        <v>0.35</v>
      </c>
      <c r="K26" s="2">
        <f t="shared" si="3"/>
        <v>-1.5</v>
      </c>
      <c r="L26" s="1">
        <f>0+0+1</f>
        <v>1</v>
      </c>
      <c r="M26" s="1">
        <f>0+-3+0</f>
        <v>-3</v>
      </c>
      <c r="N26" s="1">
        <f t="shared" si="5"/>
        <v>2</v>
      </c>
      <c r="W26" s="1">
        <v>26</v>
      </c>
      <c r="X26" s="13" t="s">
        <v>66</v>
      </c>
      <c r="Y26" t="s">
        <v>69</v>
      </c>
    </row>
    <row r="27" spans="1:33">
      <c r="A27" t="s">
        <v>21</v>
      </c>
      <c r="I27" t="s">
        <v>164</v>
      </c>
      <c r="J27" s="2">
        <f t="shared" si="2"/>
        <v>2.0999999999999996</v>
      </c>
      <c r="K27" s="2">
        <f t="shared" si="3"/>
        <v>4</v>
      </c>
      <c r="L27" s="1">
        <f>0+3</f>
        <v>3</v>
      </c>
      <c r="M27" s="1">
        <f>0+4</f>
        <v>4</v>
      </c>
      <c r="N27" s="1">
        <f t="shared" ref="N27:N33" si="8">0+1</f>
        <v>1</v>
      </c>
      <c r="W27" s="1">
        <v>27</v>
      </c>
      <c r="X27" s="13" t="s">
        <v>67</v>
      </c>
      <c r="Y27" t="s">
        <v>70</v>
      </c>
    </row>
    <row r="28" spans="1:33">
      <c r="A28" t="s">
        <v>147</v>
      </c>
      <c r="I28" t="s">
        <v>155</v>
      </c>
      <c r="J28" s="2">
        <f t="shared" si="2"/>
        <v>0.7</v>
      </c>
      <c r="K28" s="2">
        <f t="shared" si="3"/>
        <v>0</v>
      </c>
      <c r="L28" s="1">
        <f>0+1</f>
        <v>1</v>
      </c>
      <c r="M28" s="1">
        <f>0+0</f>
        <v>0</v>
      </c>
      <c r="N28" s="1">
        <f t="shared" si="8"/>
        <v>1</v>
      </c>
      <c r="W28" s="1">
        <v>28</v>
      </c>
    </row>
    <row r="29" spans="1:33">
      <c r="A29" t="s">
        <v>148</v>
      </c>
      <c r="I29" t="s">
        <v>156</v>
      </c>
      <c r="J29" s="2">
        <f t="shared" si="2"/>
        <v>0.7</v>
      </c>
      <c r="K29" s="2">
        <f t="shared" si="3"/>
        <v>0</v>
      </c>
      <c r="L29" s="1">
        <f>0+1</f>
        <v>1</v>
      </c>
      <c r="M29" s="1">
        <f>0+0</f>
        <v>0</v>
      </c>
      <c r="N29" s="1">
        <f t="shared" si="8"/>
        <v>1</v>
      </c>
      <c r="W29" s="1">
        <v>29</v>
      </c>
    </row>
    <row r="30" spans="1:33">
      <c r="A30" t="s">
        <v>149</v>
      </c>
      <c r="I30" t="s">
        <v>160</v>
      </c>
      <c r="J30" s="2">
        <f t="shared" si="2"/>
        <v>0.7</v>
      </c>
      <c r="K30" s="2">
        <f t="shared" si="3"/>
        <v>0</v>
      </c>
      <c r="L30" s="1">
        <f>0+1</f>
        <v>1</v>
      </c>
      <c r="M30" s="1">
        <f>0+0</f>
        <v>0</v>
      </c>
      <c r="N30" s="1">
        <f t="shared" si="8"/>
        <v>1</v>
      </c>
      <c r="W30" s="1">
        <v>30</v>
      </c>
    </row>
    <row r="31" spans="1:33">
      <c r="I31" t="s">
        <v>167</v>
      </c>
      <c r="J31" s="2">
        <f t="shared" si="2"/>
        <v>0.7</v>
      </c>
      <c r="K31" s="2">
        <f t="shared" si="3"/>
        <v>0</v>
      </c>
      <c r="L31" s="1">
        <f>0+1</f>
        <v>1</v>
      </c>
      <c r="M31" s="1">
        <f>0+0</f>
        <v>0</v>
      </c>
      <c r="N31" s="1">
        <f t="shared" si="8"/>
        <v>1</v>
      </c>
      <c r="W31" s="1">
        <v>31</v>
      </c>
    </row>
    <row r="32" spans="1:33">
      <c r="I32" t="s">
        <v>158</v>
      </c>
      <c r="J32" s="2">
        <f t="shared" si="2"/>
        <v>0</v>
      </c>
      <c r="K32" s="2">
        <f t="shared" si="3"/>
        <v>-1</v>
      </c>
      <c r="L32" s="1">
        <f>0+0</f>
        <v>0</v>
      </c>
      <c r="M32" s="1">
        <f>0+-1</f>
        <v>-1</v>
      </c>
      <c r="N32" s="1">
        <f t="shared" si="8"/>
        <v>1</v>
      </c>
      <c r="W32" s="1">
        <v>32</v>
      </c>
    </row>
    <row r="33" spans="9:23">
      <c r="I33" t="s">
        <v>171</v>
      </c>
      <c r="J33" s="2">
        <f t="shared" si="2"/>
        <v>0</v>
      </c>
      <c r="K33" s="2">
        <f t="shared" si="3"/>
        <v>-1</v>
      </c>
      <c r="L33" s="1">
        <f>0+0</f>
        <v>0</v>
      </c>
      <c r="M33" s="1">
        <f>0+-1</f>
        <v>-1</v>
      </c>
      <c r="N33" s="1">
        <f t="shared" si="8"/>
        <v>1</v>
      </c>
      <c r="W33" s="1">
        <v>33</v>
      </c>
    </row>
    <row r="34" spans="9:23">
      <c r="W34" s="1">
        <v>34</v>
      </c>
    </row>
    <row r="35" spans="9:23">
      <c r="W35" s="1">
        <v>35</v>
      </c>
    </row>
    <row r="36" spans="9:23">
      <c r="W36" s="1">
        <v>36</v>
      </c>
    </row>
    <row r="37" spans="9:23">
      <c r="W37" s="1">
        <v>37</v>
      </c>
    </row>
    <row r="38" spans="9:23">
      <c r="W38" s="1">
        <v>38</v>
      </c>
    </row>
    <row r="39" spans="9:23">
      <c r="W39" s="1">
        <v>39</v>
      </c>
    </row>
    <row r="40" spans="9:23">
      <c r="W40" s="1">
        <v>40</v>
      </c>
    </row>
    <row r="41" spans="9:23">
      <c r="W41" s="1">
        <v>41</v>
      </c>
    </row>
    <row r="42" spans="9:23">
      <c r="W42" s="1">
        <v>42</v>
      </c>
    </row>
    <row r="43" spans="9:23">
      <c r="W43" s="1">
        <v>43</v>
      </c>
    </row>
    <row r="44" spans="9:23">
      <c r="W44" s="1">
        <v>44</v>
      </c>
    </row>
    <row r="45" spans="9:23">
      <c r="W45" s="1">
        <v>45</v>
      </c>
    </row>
    <row r="46" spans="9:23">
      <c r="W46" s="1">
        <v>46</v>
      </c>
    </row>
    <row r="47" spans="9:23">
      <c r="W47" s="1">
        <v>47</v>
      </c>
    </row>
    <row r="48" spans="9:23">
      <c r="W48" s="1">
        <v>48</v>
      </c>
    </row>
    <row r="49" spans="23:23">
      <c r="W49" s="1">
        <v>49</v>
      </c>
    </row>
    <row r="50" spans="23:23">
      <c r="W50" s="1">
        <v>50</v>
      </c>
    </row>
    <row r="51" spans="23:23">
      <c r="W51" s="1">
        <v>51</v>
      </c>
    </row>
    <row r="52" spans="23:23">
      <c r="W52" s="1">
        <v>52</v>
      </c>
    </row>
    <row r="53" spans="23:23">
      <c r="W53" s="1">
        <v>53</v>
      </c>
    </row>
    <row r="54" spans="23:23">
      <c r="W54" s="1">
        <v>54</v>
      </c>
    </row>
    <row r="55" spans="23:23">
      <c r="W55" s="1">
        <v>55</v>
      </c>
    </row>
    <row r="56" spans="23:23">
      <c r="W56" s="1">
        <v>56</v>
      </c>
    </row>
    <row r="57" spans="23:23">
      <c r="W57" s="1">
        <v>57</v>
      </c>
    </row>
    <row r="58" spans="23:23">
      <c r="W58" s="1">
        <v>58</v>
      </c>
    </row>
    <row r="59" spans="23:23">
      <c r="W59" s="1">
        <v>59</v>
      </c>
    </row>
    <row r="60" spans="23:23">
      <c r="W60" s="1">
        <v>60</v>
      </c>
    </row>
    <row r="61" spans="23:23">
      <c r="W61" s="1">
        <v>61</v>
      </c>
    </row>
    <row r="62" spans="23:23">
      <c r="W62" s="1">
        <v>62</v>
      </c>
    </row>
    <row r="63" spans="23:23">
      <c r="W63" s="1">
        <v>63</v>
      </c>
    </row>
    <row r="64" spans="23:23">
      <c r="W64" s="1">
        <v>64</v>
      </c>
    </row>
    <row r="65" spans="23:23">
      <c r="W65" s="1">
        <v>65</v>
      </c>
    </row>
    <row r="66" spans="23:23">
      <c r="W66" s="1">
        <v>66</v>
      </c>
    </row>
    <row r="67" spans="23:23">
      <c r="W67" s="1">
        <v>67</v>
      </c>
    </row>
    <row r="68" spans="23:23">
      <c r="W68" s="1">
        <v>68</v>
      </c>
    </row>
    <row r="69" spans="23:23">
      <c r="W69" s="1">
        <v>69</v>
      </c>
    </row>
    <row r="70" spans="23:23">
      <c r="W70" s="1">
        <v>70</v>
      </c>
    </row>
    <row r="71" spans="23:23">
      <c r="W71" s="1">
        <v>71</v>
      </c>
    </row>
    <row r="72" spans="23:23">
      <c r="W72" s="1">
        <v>72</v>
      </c>
    </row>
    <row r="73" spans="23:23">
      <c r="W73" s="1">
        <v>73</v>
      </c>
    </row>
    <row r="74" spans="23:23">
      <c r="W74" s="1">
        <v>74</v>
      </c>
    </row>
    <row r="75" spans="23:23">
      <c r="W75" s="1">
        <v>75</v>
      </c>
    </row>
    <row r="76" spans="23:23">
      <c r="W76" s="1">
        <v>76</v>
      </c>
    </row>
    <row r="77" spans="23:23">
      <c r="W77" s="1">
        <v>77</v>
      </c>
    </row>
    <row r="78" spans="23:23">
      <c r="W78" s="1">
        <v>78</v>
      </c>
    </row>
    <row r="79" spans="23:23">
      <c r="W79" s="1">
        <v>79</v>
      </c>
    </row>
    <row r="80" spans="23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sortState ref="I1:N99">
    <sortCondition descending="1" ref="J1:J99"/>
    <sortCondition descending="1" ref="K1:K99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K99"/>
  <sheetViews>
    <sheetView zoomScale="73" zoomScaleNormal="73" workbookViewId="0">
      <selection activeCell="W18" sqref="W18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4.85546875" style="1" customWidth="1"/>
    <col min="29" max="29" width="2.140625" style="8" customWidth="1"/>
    <col min="30" max="31" width="4.85546875" style="1" customWidth="1"/>
    <col min="32" max="32" width="2.140625" style="8" customWidth="1"/>
    <col min="33" max="33" width="4.85546875" style="18" customWidth="1"/>
    <col min="34" max="34" width="2.140625" style="8" customWidth="1"/>
    <col min="35" max="35" width="9.7109375" customWidth="1"/>
    <col min="36" max="37" width="4.28515625" style="1" customWidth="1"/>
  </cols>
  <sheetData>
    <row r="1" spans="1:37">
      <c r="A1" s="4" t="s">
        <v>90</v>
      </c>
      <c r="B1" s="4" t="s">
        <v>159</v>
      </c>
      <c r="C1" s="5">
        <v>5</v>
      </c>
      <c r="D1" s="5">
        <v>0</v>
      </c>
      <c r="E1" s="1">
        <f t="shared" ref="E1:E8" si="0">C1-D1</f>
        <v>5</v>
      </c>
      <c r="F1" s="1">
        <f t="shared" ref="F1:F8" si="1">D1-C1</f>
        <v>-5</v>
      </c>
      <c r="G1" s="10">
        <v>0.875</v>
      </c>
      <c r="H1" s="17"/>
      <c r="I1" t="s">
        <v>90</v>
      </c>
      <c r="J1" s="2">
        <f t="shared" ref="J1:J34" si="2">(L1/N1)*IF(N1&gt;5,1,IF(N1=5,0.9,IF(N1=4,0.8,0.7)))</f>
        <v>2.3400000000000003</v>
      </c>
      <c r="K1" s="2">
        <f t="shared" ref="K1:K34" si="3">M1/N1</f>
        <v>2.6</v>
      </c>
      <c r="L1" s="1">
        <f>0+1+3+3+3+3</f>
        <v>13</v>
      </c>
      <c r="M1" s="1">
        <f>0+0+2+3+3+5</f>
        <v>13</v>
      </c>
      <c r="N1" s="1">
        <f>0+1+1+1+1+1</f>
        <v>5</v>
      </c>
      <c r="W1" s="1">
        <v>1</v>
      </c>
      <c r="X1" s="12" t="s">
        <v>57</v>
      </c>
      <c r="Y1" s="4" t="s">
        <v>38</v>
      </c>
      <c r="AA1" s="18" t="s">
        <v>128</v>
      </c>
      <c r="AB1" s="18" t="s">
        <v>111</v>
      </c>
      <c r="AD1" s="1">
        <v>1</v>
      </c>
      <c r="AG1" s="18" t="s">
        <v>111</v>
      </c>
      <c r="AI1" s="12"/>
    </row>
    <row r="2" spans="1:37">
      <c r="A2" s="4" t="s">
        <v>167</v>
      </c>
      <c r="B2" s="4" t="s">
        <v>85</v>
      </c>
      <c r="C2" s="5">
        <v>1</v>
      </c>
      <c r="D2" s="5">
        <v>0</v>
      </c>
      <c r="E2" s="1">
        <f t="shared" si="0"/>
        <v>1</v>
      </c>
      <c r="F2" s="1">
        <f t="shared" si="1"/>
        <v>-1</v>
      </c>
      <c r="G2" s="10">
        <v>0.875</v>
      </c>
      <c r="H2" s="17"/>
      <c r="I2" t="s">
        <v>123</v>
      </c>
      <c r="J2" s="2">
        <f t="shared" si="2"/>
        <v>1.6333333333333333</v>
      </c>
      <c r="K2" s="2">
        <f t="shared" si="3"/>
        <v>1.6666666666666667</v>
      </c>
      <c r="L2" s="1">
        <f>0+1+3+3</f>
        <v>7</v>
      </c>
      <c r="M2" s="1">
        <f>0+0+1+4</f>
        <v>5</v>
      </c>
      <c r="N2" s="1">
        <f>0+1+1+1</f>
        <v>3</v>
      </c>
      <c r="W2" s="1">
        <v>2</v>
      </c>
      <c r="X2" s="12" t="s">
        <v>57</v>
      </c>
      <c r="Y2" s="4" t="s">
        <v>38</v>
      </c>
      <c r="AA2" s="18" t="s">
        <v>129</v>
      </c>
      <c r="AB2" s="18" t="s">
        <v>119</v>
      </c>
      <c r="AD2" s="18"/>
      <c r="AE2" s="1">
        <v>2</v>
      </c>
      <c r="AG2" s="18" t="s">
        <v>120</v>
      </c>
      <c r="AI2" s="12"/>
      <c r="AJ2" s="1" t="s">
        <v>150</v>
      </c>
    </row>
    <row r="3" spans="1:37">
      <c r="A3" s="4" t="s">
        <v>178</v>
      </c>
      <c r="B3" s="4" t="s">
        <v>86</v>
      </c>
      <c r="C3" s="5">
        <v>2</v>
      </c>
      <c r="D3" s="5">
        <v>1</v>
      </c>
      <c r="E3" s="1">
        <f t="shared" si="0"/>
        <v>1</v>
      </c>
      <c r="F3" s="1">
        <f t="shared" si="1"/>
        <v>-1</v>
      </c>
      <c r="G3" s="10">
        <v>0.875</v>
      </c>
      <c r="H3" s="17"/>
      <c r="I3" t="s">
        <v>95</v>
      </c>
      <c r="J3" s="2">
        <f t="shared" si="2"/>
        <v>1.62</v>
      </c>
      <c r="K3" s="2">
        <f t="shared" si="3"/>
        <v>1.2</v>
      </c>
      <c r="L3" s="1">
        <f>0+0+3+3+3+0</f>
        <v>9</v>
      </c>
      <c r="M3" s="1">
        <f>0+-1+5+3+1+-2</f>
        <v>6</v>
      </c>
      <c r="N3" s="1">
        <f>0+1+1+1+1+1</f>
        <v>5</v>
      </c>
      <c r="W3" s="1">
        <v>3</v>
      </c>
      <c r="X3" s="12" t="s">
        <v>57</v>
      </c>
      <c r="Y3" s="4" t="s">
        <v>38</v>
      </c>
      <c r="AA3" s="18" t="s">
        <v>118</v>
      </c>
      <c r="AB3" s="18" t="s">
        <v>131</v>
      </c>
      <c r="AD3" s="18"/>
      <c r="AE3" s="1">
        <v>6</v>
      </c>
      <c r="AG3" s="18" t="s">
        <v>111</v>
      </c>
      <c r="AI3" s="12"/>
    </row>
    <row r="4" spans="1:37">
      <c r="A4" s="4" t="s">
        <v>156</v>
      </c>
      <c r="B4" s="4" t="s">
        <v>83</v>
      </c>
      <c r="C4" s="5">
        <v>2</v>
      </c>
      <c r="D4" s="5">
        <v>1</v>
      </c>
      <c r="E4" s="1">
        <f t="shared" si="0"/>
        <v>1</v>
      </c>
      <c r="F4" s="1">
        <f t="shared" si="1"/>
        <v>-1</v>
      </c>
      <c r="G4" s="10">
        <v>0.875</v>
      </c>
      <c r="H4" s="17"/>
      <c r="I4" t="s">
        <v>85</v>
      </c>
      <c r="J4" s="2">
        <f t="shared" si="2"/>
        <v>1.5714285714285714</v>
      </c>
      <c r="K4" s="2">
        <f t="shared" si="3"/>
        <v>0.5714285714285714</v>
      </c>
      <c r="L4" s="1">
        <f>0+1+3+1+3+3+0+0</f>
        <v>11</v>
      </c>
      <c r="M4" s="1">
        <f>0+0+2+0+1+3+-1+-1</f>
        <v>4</v>
      </c>
      <c r="N4" s="1">
        <f>0+1+1+1+1+1+1+1</f>
        <v>7</v>
      </c>
      <c r="W4" s="1">
        <v>4</v>
      </c>
      <c r="X4" s="12" t="s">
        <v>57</v>
      </c>
      <c r="Y4" s="4" t="s">
        <v>38</v>
      </c>
      <c r="AA4" s="18" t="s">
        <v>128</v>
      </c>
      <c r="AB4" s="18" t="s">
        <v>111</v>
      </c>
      <c r="AD4" s="18"/>
      <c r="AG4" s="18" t="s">
        <v>119</v>
      </c>
      <c r="AI4" s="12"/>
      <c r="AK4" s="1" t="s">
        <v>153</v>
      </c>
    </row>
    <row r="5" spans="1:37">
      <c r="A5" s="4" t="s">
        <v>124</v>
      </c>
      <c r="B5" s="4" t="s">
        <v>155</v>
      </c>
      <c r="C5" s="5">
        <v>1</v>
      </c>
      <c r="D5" s="5">
        <v>1</v>
      </c>
      <c r="E5" s="1">
        <f t="shared" si="0"/>
        <v>0</v>
      </c>
      <c r="F5" s="1">
        <f t="shared" si="1"/>
        <v>0</v>
      </c>
      <c r="G5" s="10">
        <v>0.875</v>
      </c>
      <c r="H5" s="17"/>
      <c r="I5" s="3" t="s">
        <v>132</v>
      </c>
      <c r="J5" s="2">
        <f t="shared" si="2"/>
        <v>1.4000000000000001</v>
      </c>
      <c r="K5" s="2">
        <f t="shared" si="3"/>
        <v>0.75</v>
      </c>
      <c r="L5" s="1">
        <f>0+3+0+3+1</f>
        <v>7</v>
      </c>
      <c r="M5" s="1">
        <f>0+1+-1+3+0</f>
        <v>3</v>
      </c>
      <c r="N5" s="1">
        <f>0+1+1+1+1</f>
        <v>4</v>
      </c>
      <c r="W5" s="1">
        <v>5</v>
      </c>
      <c r="X5" s="12" t="s">
        <v>57</v>
      </c>
      <c r="Y5" s="4" t="s">
        <v>38</v>
      </c>
      <c r="AA5" s="18" t="s">
        <v>129</v>
      </c>
      <c r="AB5" s="18" t="s">
        <v>119</v>
      </c>
      <c r="AD5" s="18"/>
      <c r="AE5" s="18"/>
      <c r="AG5" s="18" t="s">
        <v>113</v>
      </c>
      <c r="AI5" s="12"/>
      <c r="AK5" s="1" t="s">
        <v>153</v>
      </c>
    </row>
    <row r="6" spans="1:37">
      <c r="A6" s="4"/>
      <c r="B6" s="4"/>
      <c r="C6" s="5"/>
      <c r="D6" s="5"/>
      <c r="E6" s="1">
        <f t="shared" si="0"/>
        <v>0</v>
      </c>
      <c r="F6" s="1">
        <f t="shared" si="1"/>
        <v>0</v>
      </c>
      <c r="G6" s="10"/>
      <c r="H6" s="17"/>
      <c r="I6" t="s">
        <v>124</v>
      </c>
      <c r="J6" s="2">
        <f t="shared" si="2"/>
        <v>1.1666666666666667</v>
      </c>
      <c r="K6" s="2">
        <f t="shared" si="3"/>
        <v>0.33333333333333331</v>
      </c>
      <c r="L6" s="1">
        <f>0+3+1+1</f>
        <v>5</v>
      </c>
      <c r="M6" s="1">
        <f>0+1+0+0</f>
        <v>1</v>
      </c>
      <c r="N6" s="1">
        <f>0+1+1+1</f>
        <v>3</v>
      </c>
      <c r="W6" s="1">
        <v>6</v>
      </c>
      <c r="X6" s="12"/>
      <c r="Y6" s="4"/>
      <c r="AA6" s="18"/>
      <c r="AB6" s="18"/>
      <c r="AD6" s="18"/>
      <c r="AE6" s="18"/>
      <c r="AG6" s="18" t="s">
        <v>119</v>
      </c>
      <c r="AI6" s="12"/>
      <c r="AJ6" s="1" t="s">
        <v>150</v>
      </c>
    </row>
    <row r="7" spans="1:37">
      <c r="A7" s="4"/>
      <c r="B7" s="4"/>
      <c r="C7" s="5"/>
      <c r="D7" s="5"/>
      <c r="E7" s="1">
        <f t="shared" si="0"/>
        <v>0</v>
      </c>
      <c r="F7" s="1">
        <f t="shared" si="1"/>
        <v>0</v>
      </c>
      <c r="G7" s="10"/>
      <c r="H7" s="17"/>
      <c r="I7" t="s">
        <v>126</v>
      </c>
      <c r="J7" s="2">
        <f t="shared" si="2"/>
        <v>1.1666666666666667</v>
      </c>
      <c r="K7" s="2">
        <f t="shared" si="3"/>
        <v>0.33333333333333331</v>
      </c>
      <c r="L7" s="1">
        <f>0+1+1+3</f>
        <v>5</v>
      </c>
      <c r="M7" s="1">
        <f>0+0+0+1</f>
        <v>1</v>
      </c>
      <c r="N7" s="1">
        <f>0+1+1+1</f>
        <v>3</v>
      </c>
      <c r="W7" s="1">
        <v>7</v>
      </c>
      <c r="X7" s="12"/>
      <c r="Y7" s="4"/>
      <c r="AA7" s="18"/>
      <c r="AB7" s="18"/>
      <c r="AD7" s="18"/>
      <c r="AE7" s="18"/>
      <c r="AG7" s="18" t="s">
        <v>111</v>
      </c>
      <c r="AI7" s="12"/>
      <c r="AJ7" s="1" t="s">
        <v>150</v>
      </c>
    </row>
    <row r="8" spans="1:37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10"/>
      <c r="H8" s="17"/>
      <c r="I8" t="s">
        <v>83</v>
      </c>
      <c r="J8" s="2">
        <f t="shared" si="2"/>
        <v>0.93333333333333324</v>
      </c>
      <c r="K8" s="2">
        <f t="shared" si="3"/>
        <v>0</v>
      </c>
      <c r="L8" s="1">
        <f>0+3+1+0</f>
        <v>4</v>
      </c>
      <c r="M8" s="1">
        <f>0+1+0+-1</f>
        <v>0</v>
      </c>
      <c r="N8" s="1">
        <f>0+1+1+1</f>
        <v>3</v>
      </c>
      <c r="W8" s="1">
        <v>8</v>
      </c>
      <c r="X8" s="12"/>
      <c r="Y8" s="4"/>
      <c r="AA8" s="18"/>
      <c r="AB8" s="18"/>
      <c r="AD8" s="18"/>
      <c r="AE8" s="18"/>
      <c r="AG8" s="18" t="s">
        <v>111</v>
      </c>
      <c r="AI8" s="12"/>
      <c r="AJ8" s="1" t="s">
        <v>150</v>
      </c>
    </row>
    <row r="9" spans="1:37">
      <c r="A9" t="s">
        <v>6</v>
      </c>
      <c r="C9"/>
      <c r="D9"/>
      <c r="E9"/>
      <c r="F9"/>
      <c r="G9" s="15"/>
      <c r="H9" s="7"/>
      <c r="I9" t="s">
        <v>86</v>
      </c>
      <c r="J9" s="2">
        <f t="shared" si="2"/>
        <v>0.83333333333333337</v>
      </c>
      <c r="K9" s="2">
        <f t="shared" si="3"/>
        <v>-0.16666666666666666</v>
      </c>
      <c r="L9" s="1">
        <f>0+1+1+1+1+1+0</f>
        <v>5</v>
      </c>
      <c r="M9" s="1">
        <f>0+0+0+0+0+0+-1</f>
        <v>-1</v>
      </c>
      <c r="N9" s="1">
        <f>0+1+1+1+1+1+1</f>
        <v>6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/>
      <c r="AE9" s="3"/>
      <c r="AG9" s="18" t="s">
        <v>131</v>
      </c>
      <c r="AI9" s="16" t="s">
        <v>179</v>
      </c>
      <c r="AK9" s="1" t="s">
        <v>153</v>
      </c>
    </row>
    <row r="10" spans="1:37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I10" t="s">
        <v>139</v>
      </c>
      <c r="J10" s="2">
        <f t="shared" si="2"/>
        <v>0.8</v>
      </c>
      <c r="K10" s="2">
        <f t="shared" si="3"/>
        <v>0</v>
      </c>
      <c r="L10" s="1">
        <f>0+3+0+1+0</f>
        <v>4</v>
      </c>
      <c r="M10" s="1">
        <f>0+2+-1+0+-1</f>
        <v>0</v>
      </c>
      <c r="N10" s="1">
        <f>0+1+1+1+1</f>
        <v>4</v>
      </c>
      <c r="W10" s="1">
        <v>10</v>
      </c>
      <c r="X10" s="13" t="s">
        <v>54</v>
      </c>
      <c r="Y10" t="s">
        <v>38</v>
      </c>
      <c r="AG10" s="18" t="s">
        <v>113</v>
      </c>
      <c r="AK10" s="1" t="s">
        <v>153</v>
      </c>
    </row>
    <row r="11" spans="1:37">
      <c r="A11" t="s">
        <v>7</v>
      </c>
      <c r="C11"/>
      <c r="D11"/>
      <c r="E11"/>
      <c r="F11"/>
      <c r="I11" t="s">
        <v>93</v>
      </c>
      <c r="J11" s="2">
        <f t="shared" si="2"/>
        <v>0.7</v>
      </c>
      <c r="K11" s="2">
        <f t="shared" si="3"/>
        <v>-0.66666666666666663</v>
      </c>
      <c r="L11" s="1">
        <f>0+0+0+3</f>
        <v>3</v>
      </c>
      <c r="M11" s="1">
        <f>0+-2+-1+1</f>
        <v>-2</v>
      </c>
      <c r="N11" s="1">
        <f t="shared" ref="N11:N18" si="4">0+1+1+1</f>
        <v>3</v>
      </c>
      <c r="W11" s="1">
        <v>11</v>
      </c>
      <c r="X11" s="13" t="s">
        <v>55</v>
      </c>
      <c r="Y11" t="s">
        <v>39</v>
      </c>
      <c r="AG11" s="18" t="s">
        <v>120</v>
      </c>
      <c r="AJ11" s="1" t="s">
        <v>150</v>
      </c>
    </row>
    <row r="12" spans="1:37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I12" t="s">
        <v>94</v>
      </c>
      <c r="J12" s="2">
        <f t="shared" si="2"/>
        <v>0.7</v>
      </c>
      <c r="K12" s="2">
        <f t="shared" si="3"/>
        <v>-1.3333333333333333</v>
      </c>
      <c r="L12" s="1">
        <f>0+3+0+0</f>
        <v>3</v>
      </c>
      <c r="M12" s="1">
        <f>0+1+-3+-2</f>
        <v>-4</v>
      </c>
      <c r="N12" s="1">
        <f t="shared" si="4"/>
        <v>3</v>
      </c>
      <c r="W12" s="1">
        <v>12</v>
      </c>
      <c r="X12" s="13" t="s">
        <v>25</v>
      </c>
      <c r="Y12" t="s">
        <v>40</v>
      </c>
      <c r="AG12" s="18" t="s">
        <v>131</v>
      </c>
      <c r="AK12" s="1" t="s">
        <v>153</v>
      </c>
    </row>
    <row r="13" spans="1:37">
      <c r="A13" t="s">
        <v>15</v>
      </c>
      <c r="C13"/>
      <c r="D13"/>
      <c r="E13"/>
      <c r="F13"/>
      <c r="I13" t="s">
        <v>114</v>
      </c>
      <c r="J13" s="2">
        <f t="shared" si="2"/>
        <v>0.7</v>
      </c>
      <c r="K13" s="2">
        <f t="shared" si="3"/>
        <v>-1.6666666666666667</v>
      </c>
      <c r="L13" s="1">
        <f>0+0+0+3</f>
        <v>3</v>
      </c>
      <c r="M13" s="1">
        <f>0+-2+-5+2</f>
        <v>-5</v>
      </c>
      <c r="N13" s="1">
        <f t="shared" si="4"/>
        <v>3</v>
      </c>
      <c r="W13" s="1">
        <v>13</v>
      </c>
      <c r="X13" s="13" t="s">
        <v>29</v>
      </c>
      <c r="Y13" t="s">
        <v>45</v>
      </c>
      <c r="AG13" s="18" t="s">
        <v>130</v>
      </c>
      <c r="AK13" s="1" t="s">
        <v>153</v>
      </c>
    </row>
    <row r="14" spans="1:37">
      <c r="A14" s="3" t="s">
        <v>30</v>
      </c>
      <c r="C14"/>
      <c r="D14"/>
      <c r="E14"/>
      <c r="F14"/>
      <c r="I14" t="s">
        <v>162</v>
      </c>
      <c r="J14" s="2">
        <f t="shared" si="2"/>
        <v>0.46666666666666662</v>
      </c>
      <c r="K14" s="2">
        <f t="shared" si="3"/>
        <v>-0.33333333333333331</v>
      </c>
      <c r="L14" s="1">
        <f>0+0+1+1</f>
        <v>2</v>
      </c>
      <c r="M14" s="1">
        <f>0+-1+0+0</f>
        <v>-1</v>
      </c>
      <c r="N14" s="1">
        <f t="shared" si="4"/>
        <v>3</v>
      </c>
      <c r="W14" s="1">
        <v>14</v>
      </c>
      <c r="X14" s="13" t="s">
        <v>56</v>
      </c>
      <c r="Y14" t="s">
        <v>42</v>
      </c>
      <c r="AG14" s="18" t="s">
        <v>111</v>
      </c>
      <c r="AJ14" s="1" t="s">
        <v>150</v>
      </c>
    </row>
    <row r="15" spans="1:37">
      <c r="A15" t="s">
        <v>133</v>
      </c>
      <c r="C15"/>
      <c r="D15"/>
      <c r="E15"/>
      <c r="F15"/>
      <c r="I15" t="s">
        <v>138</v>
      </c>
      <c r="J15" s="2">
        <f t="shared" si="2"/>
        <v>0.46666666666666662</v>
      </c>
      <c r="K15" s="2">
        <f t="shared" si="3"/>
        <v>-1.3333333333333333</v>
      </c>
      <c r="L15" s="1">
        <f>0+1+1+0</f>
        <v>2</v>
      </c>
      <c r="M15" s="1">
        <f>0+0+0+-4</f>
        <v>-4</v>
      </c>
      <c r="N15" s="1">
        <f t="shared" si="4"/>
        <v>3</v>
      </c>
      <c r="W15" s="1">
        <v>15</v>
      </c>
      <c r="X15" s="13" t="s">
        <v>57</v>
      </c>
      <c r="Y15" t="s">
        <v>43</v>
      </c>
      <c r="AG15" s="18" t="s">
        <v>113</v>
      </c>
      <c r="AJ15" s="1" t="s">
        <v>150</v>
      </c>
    </row>
    <row r="16" spans="1:37">
      <c r="A16" t="s">
        <v>23</v>
      </c>
      <c r="C16"/>
      <c r="D16"/>
      <c r="E16"/>
      <c r="F16"/>
      <c r="I16" t="s">
        <v>137</v>
      </c>
      <c r="J16" s="2">
        <f t="shared" si="2"/>
        <v>0.23333333333333331</v>
      </c>
      <c r="K16" s="2">
        <f t="shared" si="3"/>
        <v>-1.6666666666666667</v>
      </c>
      <c r="L16" s="1">
        <f>0+1+0+0</f>
        <v>1</v>
      </c>
      <c r="M16" s="1">
        <f>0+0+-4+-1</f>
        <v>-5</v>
      </c>
      <c r="N16" s="1">
        <f t="shared" si="4"/>
        <v>3</v>
      </c>
      <c r="W16" s="1">
        <v>16</v>
      </c>
      <c r="X16" s="13" t="s">
        <v>58</v>
      </c>
      <c r="Y16" t="s">
        <v>44</v>
      </c>
      <c r="AG16" s="18" t="s">
        <v>111</v>
      </c>
      <c r="AJ16" s="1" t="s">
        <v>150</v>
      </c>
    </row>
    <row r="17" spans="1:37">
      <c r="A17" t="s">
        <v>134</v>
      </c>
      <c r="I17" t="s">
        <v>159</v>
      </c>
      <c r="J17" s="2">
        <f t="shared" si="2"/>
        <v>0.23333333333333331</v>
      </c>
      <c r="K17" s="2">
        <f t="shared" si="3"/>
        <v>-2.6666666666666665</v>
      </c>
      <c r="L17" s="1">
        <f>0+1+0+0</f>
        <v>1</v>
      </c>
      <c r="M17" s="1">
        <f>0+0+-3+-5</f>
        <v>-8</v>
      </c>
      <c r="N17" s="1">
        <f t="shared" si="4"/>
        <v>3</v>
      </c>
      <c r="W17" s="1">
        <v>17</v>
      </c>
      <c r="X17" s="13" t="s">
        <v>59</v>
      </c>
      <c r="Y17" t="s">
        <v>46</v>
      </c>
      <c r="AG17" s="18" t="s">
        <v>111</v>
      </c>
      <c r="AJ17" s="1" t="s">
        <v>150</v>
      </c>
    </row>
    <row r="18" spans="1:37">
      <c r="A18" t="s">
        <v>33</v>
      </c>
      <c r="C18"/>
      <c r="D18"/>
      <c r="E18"/>
      <c r="F18"/>
      <c r="I18" t="s">
        <v>125</v>
      </c>
      <c r="J18" s="2">
        <f t="shared" si="2"/>
        <v>0</v>
      </c>
      <c r="K18" s="2">
        <f t="shared" si="3"/>
        <v>-2.3333333333333335</v>
      </c>
      <c r="L18" s="1">
        <f>0+0+0+0</f>
        <v>0</v>
      </c>
      <c r="M18" s="1">
        <f>0+-1+-3+-3</f>
        <v>-7</v>
      </c>
      <c r="N18" s="1">
        <f t="shared" si="4"/>
        <v>3</v>
      </c>
      <c r="W18" s="1">
        <v>18</v>
      </c>
      <c r="X18" s="13" t="s">
        <v>60</v>
      </c>
      <c r="Y18" t="s">
        <v>47</v>
      </c>
      <c r="AG18" s="18" t="s">
        <v>113</v>
      </c>
      <c r="AK18" s="1" t="s">
        <v>153</v>
      </c>
    </row>
    <row r="19" spans="1:37">
      <c r="B19" t="s">
        <v>180</v>
      </c>
      <c r="I19" t="s">
        <v>163</v>
      </c>
      <c r="J19" s="2">
        <f t="shared" si="2"/>
        <v>1.4</v>
      </c>
      <c r="K19" s="2">
        <f t="shared" si="3"/>
        <v>0.5</v>
      </c>
      <c r="L19" s="1">
        <f>0+3+1</f>
        <v>4</v>
      </c>
      <c r="M19" s="1">
        <f>0+1+0</f>
        <v>1</v>
      </c>
      <c r="N19" s="1">
        <f t="shared" ref="N19:N29" si="5">0+1+1</f>
        <v>2</v>
      </c>
      <c r="W19" s="1">
        <v>19</v>
      </c>
      <c r="X19" s="13" t="s">
        <v>26</v>
      </c>
      <c r="Y19" t="s">
        <v>48</v>
      </c>
      <c r="AG19" s="18" t="s">
        <v>113</v>
      </c>
    </row>
    <row r="20" spans="1:37">
      <c r="A20" t="s">
        <v>135</v>
      </c>
      <c r="I20" t="s">
        <v>89</v>
      </c>
      <c r="J20" s="2">
        <f t="shared" si="2"/>
        <v>1.4</v>
      </c>
      <c r="K20" s="2">
        <f t="shared" si="3"/>
        <v>0.5</v>
      </c>
      <c r="L20" s="1">
        <f>0+1+3</f>
        <v>4</v>
      </c>
      <c r="M20" s="1">
        <f>0+0+1</f>
        <v>1</v>
      </c>
      <c r="N20" s="1">
        <f t="shared" si="5"/>
        <v>2</v>
      </c>
      <c r="W20" s="1">
        <v>20</v>
      </c>
      <c r="X20" s="13" t="s">
        <v>61</v>
      </c>
      <c r="Y20" t="s">
        <v>49</v>
      </c>
      <c r="AG20" s="18" t="s">
        <v>130</v>
      </c>
    </row>
    <row r="21" spans="1:37">
      <c r="A21" t="s">
        <v>19</v>
      </c>
      <c r="I21" t="s">
        <v>156</v>
      </c>
      <c r="J21" s="2">
        <f t="shared" si="2"/>
        <v>1.4</v>
      </c>
      <c r="K21" s="2">
        <f t="shared" si="3"/>
        <v>0.5</v>
      </c>
      <c r="L21" s="1">
        <f>0+1+3</f>
        <v>4</v>
      </c>
      <c r="M21" s="1">
        <f>0+0+1</f>
        <v>1</v>
      </c>
      <c r="N21" s="1">
        <f t="shared" si="5"/>
        <v>2</v>
      </c>
      <c r="W21" s="1">
        <v>21</v>
      </c>
      <c r="X21" s="13" t="s">
        <v>62</v>
      </c>
      <c r="Y21" t="s">
        <v>50</v>
      </c>
      <c r="AG21" s="18" t="s">
        <v>111</v>
      </c>
    </row>
    <row r="22" spans="1:37">
      <c r="B22" t="s">
        <v>20</v>
      </c>
      <c r="I22" t="s">
        <v>167</v>
      </c>
      <c r="J22" s="2">
        <f t="shared" si="2"/>
        <v>1.4</v>
      </c>
      <c r="K22" s="2">
        <f t="shared" si="3"/>
        <v>0.5</v>
      </c>
      <c r="L22" s="1">
        <f>0+1+3</f>
        <v>4</v>
      </c>
      <c r="M22" s="1">
        <f>0+0+1</f>
        <v>1</v>
      </c>
      <c r="N22" s="1">
        <f t="shared" si="5"/>
        <v>2</v>
      </c>
      <c r="W22" s="1">
        <v>22</v>
      </c>
      <c r="X22" s="13" t="s">
        <v>63</v>
      </c>
      <c r="Y22" t="s">
        <v>51</v>
      </c>
      <c r="AG22" s="18" t="s">
        <v>119</v>
      </c>
    </row>
    <row r="23" spans="1:37">
      <c r="B23" t="s">
        <v>88</v>
      </c>
      <c r="I23" t="s">
        <v>84</v>
      </c>
      <c r="J23" s="2">
        <f t="shared" si="2"/>
        <v>1.0499999999999998</v>
      </c>
      <c r="K23" s="2">
        <f t="shared" si="3"/>
        <v>0.5</v>
      </c>
      <c r="L23" s="1">
        <f>0+0+3</f>
        <v>3</v>
      </c>
      <c r="M23" s="1">
        <f>0-1+2</f>
        <v>1</v>
      </c>
      <c r="N23" s="1">
        <f t="shared" si="5"/>
        <v>2</v>
      </c>
      <c r="W23" s="1">
        <v>23</v>
      </c>
      <c r="X23" s="13" t="s">
        <v>28</v>
      </c>
      <c r="Y23" t="s">
        <v>52</v>
      </c>
      <c r="AG23" s="18" t="s">
        <v>113</v>
      </c>
    </row>
    <row r="24" spans="1:37">
      <c r="A24" t="s">
        <v>16</v>
      </c>
      <c r="C24"/>
      <c r="D24"/>
      <c r="E24"/>
      <c r="F24"/>
      <c r="I24" t="s">
        <v>91</v>
      </c>
      <c r="J24" s="2">
        <f t="shared" si="2"/>
        <v>1.0499999999999998</v>
      </c>
      <c r="K24" s="2">
        <f t="shared" si="3"/>
        <v>0</v>
      </c>
      <c r="L24" s="1">
        <f>0+0+3</f>
        <v>3</v>
      </c>
      <c r="M24" s="1">
        <f>0+-1+1</f>
        <v>0</v>
      </c>
      <c r="N24" s="1">
        <f t="shared" si="5"/>
        <v>2</v>
      </c>
      <c r="W24" s="1">
        <v>24</v>
      </c>
      <c r="X24" s="13" t="s">
        <v>64</v>
      </c>
      <c r="Y24" t="s">
        <v>53</v>
      </c>
      <c r="AG24" s="18" t="s">
        <v>120</v>
      </c>
    </row>
    <row r="25" spans="1:37">
      <c r="A25" t="s">
        <v>17</v>
      </c>
      <c r="B25" s="2" t="e">
        <f t="shared" ref="B25" si="6">(D25/F25)*IF(F25&gt;5,1,IF(F25=5,0.9,IF(F25=4,0.8,0.7)))</f>
        <v>#DIV/0!</v>
      </c>
      <c r="C25" s="2" t="e">
        <f t="shared" ref="C25" si="7">E25/F25</f>
        <v>#DIV/0!</v>
      </c>
      <c r="D25" s="1">
        <f>0</f>
        <v>0</v>
      </c>
      <c r="E25" s="1">
        <f>0</f>
        <v>0</v>
      </c>
      <c r="F25" s="1">
        <f>0</f>
        <v>0</v>
      </c>
      <c r="I25" t="s">
        <v>140</v>
      </c>
      <c r="J25" s="2">
        <f t="shared" si="2"/>
        <v>1.0499999999999998</v>
      </c>
      <c r="K25" s="2">
        <f t="shared" si="3"/>
        <v>-0.5</v>
      </c>
      <c r="L25" s="1">
        <f>0+0+3</f>
        <v>3</v>
      </c>
      <c r="M25" s="1">
        <f>0+-2+1</f>
        <v>-1</v>
      </c>
      <c r="N25" s="1">
        <f t="shared" si="5"/>
        <v>2</v>
      </c>
      <c r="W25" s="1">
        <v>25</v>
      </c>
      <c r="X25" s="13" t="s">
        <v>65</v>
      </c>
      <c r="Y25" t="s">
        <v>68</v>
      </c>
      <c r="AG25" s="18" t="s">
        <v>146</v>
      </c>
    </row>
    <row r="26" spans="1:37">
      <c r="A26" t="s">
        <v>18</v>
      </c>
      <c r="B26" t="s">
        <v>136</v>
      </c>
      <c r="I26" t="s">
        <v>96</v>
      </c>
      <c r="J26" s="2">
        <f t="shared" si="2"/>
        <v>0.7</v>
      </c>
      <c r="K26" s="2">
        <f t="shared" si="3"/>
        <v>0</v>
      </c>
      <c r="L26" s="1">
        <f>0+1+1</f>
        <v>2</v>
      </c>
      <c r="M26" s="1">
        <f>0+0+0</f>
        <v>0</v>
      </c>
      <c r="N26" s="1">
        <f t="shared" si="5"/>
        <v>2</v>
      </c>
      <c r="W26" s="1">
        <v>26</v>
      </c>
      <c r="X26" s="13" t="s">
        <v>66</v>
      </c>
      <c r="Y26" t="s">
        <v>69</v>
      </c>
    </row>
    <row r="27" spans="1:37">
      <c r="A27" t="s">
        <v>14</v>
      </c>
      <c r="I27" t="s">
        <v>161</v>
      </c>
      <c r="J27" s="2">
        <f t="shared" si="2"/>
        <v>0.7</v>
      </c>
      <c r="K27" s="2">
        <f t="shared" si="3"/>
        <v>0</v>
      </c>
      <c r="L27" s="1">
        <f>0+1+1</f>
        <v>2</v>
      </c>
      <c r="M27" s="1">
        <f>0+0+0</f>
        <v>0</v>
      </c>
      <c r="N27" s="1">
        <f t="shared" si="5"/>
        <v>2</v>
      </c>
      <c r="W27" s="1">
        <v>27</v>
      </c>
      <c r="X27" s="13" t="s">
        <v>67</v>
      </c>
      <c r="Y27" t="s">
        <v>70</v>
      </c>
    </row>
    <row r="28" spans="1:37">
      <c r="A28" t="s">
        <v>21</v>
      </c>
      <c r="I28" t="s">
        <v>155</v>
      </c>
      <c r="J28" s="2">
        <f t="shared" si="2"/>
        <v>0.7</v>
      </c>
      <c r="K28" s="2">
        <f t="shared" si="3"/>
        <v>0</v>
      </c>
      <c r="L28" s="1">
        <f>0+1+1</f>
        <v>2</v>
      </c>
      <c r="M28" s="1">
        <f>0+0+0</f>
        <v>0</v>
      </c>
      <c r="N28" s="1">
        <f t="shared" si="5"/>
        <v>2</v>
      </c>
      <c r="W28" s="1">
        <v>28</v>
      </c>
    </row>
    <row r="29" spans="1:37">
      <c r="A29" t="s">
        <v>147</v>
      </c>
      <c r="I29" t="s">
        <v>157</v>
      </c>
      <c r="J29" s="2">
        <f t="shared" si="2"/>
        <v>0.35</v>
      </c>
      <c r="K29" s="2">
        <f t="shared" si="3"/>
        <v>-1.5</v>
      </c>
      <c r="L29" s="1">
        <f>0+0+1</f>
        <v>1</v>
      </c>
      <c r="M29" s="1">
        <f>0+-3+0</f>
        <v>-3</v>
      </c>
      <c r="N29" s="1">
        <f t="shared" si="5"/>
        <v>2</v>
      </c>
      <c r="W29" s="1">
        <v>29</v>
      </c>
    </row>
    <row r="30" spans="1:37">
      <c r="A30" t="s">
        <v>148</v>
      </c>
      <c r="I30" t="s">
        <v>164</v>
      </c>
      <c r="J30" s="2">
        <f t="shared" si="2"/>
        <v>2.0999999999999996</v>
      </c>
      <c r="K30" s="2">
        <f t="shared" si="3"/>
        <v>4</v>
      </c>
      <c r="L30" s="1">
        <f>0+3</f>
        <v>3</v>
      </c>
      <c r="M30" s="1">
        <f>0+4</f>
        <v>4</v>
      </c>
      <c r="N30" s="1">
        <f>0+1</f>
        <v>1</v>
      </c>
      <c r="W30" s="1">
        <v>30</v>
      </c>
    </row>
    <row r="31" spans="1:37">
      <c r="A31" t="s">
        <v>149</v>
      </c>
      <c r="I31" t="s">
        <v>178</v>
      </c>
      <c r="J31" s="2">
        <f t="shared" si="2"/>
        <v>2.0999999999999996</v>
      </c>
      <c r="K31" s="2">
        <f t="shared" si="3"/>
        <v>1</v>
      </c>
      <c r="L31" s="1">
        <f>0+3</f>
        <v>3</v>
      </c>
      <c r="M31" s="1">
        <f>0+1</f>
        <v>1</v>
      </c>
      <c r="N31" s="1">
        <f>0+1</f>
        <v>1</v>
      </c>
      <c r="W31" s="1">
        <v>31</v>
      </c>
    </row>
    <row r="32" spans="1:37">
      <c r="I32" t="s">
        <v>160</v>
      </c>
      <c r="J32" s="2">
        <f t="shared" si="2"/>
        <v>0.7</v>
      </c>
      <c r="K32" s="2">
        <f t="shared" si="3"/>
        <v>0</v>
      </c>
      <c r="L32" s="1">
        <f>0+1</f>
        <v>1</v>
      </c>
      <c r="M32" s="1">
        <f>0+0</f>
        <v>0</v>
      </c>
      <c r="N32" s="1">
        <f>0+1</f>
        <v>1</v>
      </c>
      <c r="W32" s="1">
        <v>32</v>
      </c>
    </row>
    <row r="33" spans="9:23">
      <c r="I33" t="s">
        <v>158</v>
      </c>
      <c r="J33" s="2">
        <f t="shared" si="2"/>
        <v>0</v>
      </c>
      <c r="K33" s="2">
        <f t="shared" si="3"/>
        <v>-1</v>
      </c>
      <c r="L33" s="1">
        <f>0+0</f>
        <v>0</v>
      </c>
      <c r="M33" s="1">
        <f>0+-1</f>
        <v>-1</v>
      </c>
      <c r="N33" s="1">
        <f>0+1</f>
        <v>1</v>
      </c>
      <c r="W33" s="1">
        <v>33</v>
      </c>
    </row>
    <row r="34" spans="9:23">
      <c r="I34" t="s">
        <v>171</v>
      </c>
      <c r="J34" s="2">
        <f t="shared" si="2"/>
        <v>0</v>
      </c>
      <c r="K34" s="2">
        <f t="shared" si="3"/>
        <v>-1</v>
      </c>
      <c r="L34" s="1">
        <f>0+0</f>
        <v>0</v>
      </c>
      <c r="M34" s="1">
        <f>0+-1</f>
        <v>-1</v>
      </c>
      <c r="N34" s="1">
        <f>0+1</f>
        <v>1</v>
      </c>
      <c r="W34" s="1">
        <v>34</v>
      </c>
    </row>
    <row r="35" spans="9:23">
      <c r="W35" s="1">
        <v>35</v>
      </c>
    </row>
    <row r="36" spans="9:23">
      <c r="W36" s="1">
        <v>36</v>
      </c>
    </row>
    <row r="37" spans="9:23">
      <c r="W37" s="1">
        <v>37</v>
      </c>
    </row>
    <row r="38" spans="9:23">
      <c r="W38" s="1">
        <v>38</v>
      </c>
    </row>
    <row r="39" spans="9:23">
      <c r="W39" s="1">
        <v>39</v>
      </c>
    </row>
    <row r="40" spans="9:23">
      <c r="W40" s="1">
        <v>40</v>
      </c>
    </row>
    <row r="41" spans="9:23">
      <c r="W41" s="1">
        <v>41</v>
      </c>
    </row>
    <row r="42" spans="9:23">
      <c r="W42" s="1">
        <v>42</v>
      </c>
    </row>
    <row r="43" spans="9:23">
      <c r="W43" s="1">
        <v>43</v>
      </c>
    </row>
    <row r="44" spans="9:23">
      <c r="W44" s="1">
        <v>44</v>
      </c>
    </row>
    <row r="45" spans="9:23">
      <c r="W45" s="1">
        <v>45</v>
      </c>
    </row>
    <row r="46" spans="9:23">
      <c r="W46" s="1">
        <v>46</v>
      </c>
    </row>
    <row r="47" spans="9:23">
      <c r="W47" s="1">
        <v>47</v>
      </c>
    </row>
    <row r="48" spans="9:23">
      <c r="W48" s="1">
        <v>48</v>
      </c>
    </row>
    <row r="49" spans="23:23">
      <c r="W49" s="1">
        <v>49</v>
      </c>
    </row>
    <row r="50" spans="23:23">
      <c r="W50" s="1">
        <v>50</v>
      </c>
    </row>
    <row r="51" spans="23:23">
      <c r="W51" s="1">
        <v>51</v>
      </c>
    </row>
    <row r="52" spans="23:23">
      <c r="W52" s="1">
        <v>52</v>
      </c>
    </row>
    <row r="53" spans="23:23">
      <c r="W53" s="1">
        <v>53</v>
      </c>
    </row>
    <row r="54" spans="23:23">
      <c r="W54" s="1">
        <v>54</v>
      </c>
    </row>
    <row r="55" spans="23:23">
      <c r="W55" s="1">
        <v>55</v>
      </c>
    </row>
    <row r="56" spans="23:23">
      <c r="W56" s="1">
        <v>56</v>
      </c>
    </row>
    <row r="57" spans="23:23">
      <c r="W57" s="1">
        <v>57</v>
      </c>
    </row>
    <row r="58" spans="23:23">
      <c r="W58" s="1">
        <v>58</v>
      </c>
    </row>
    <row r="59" spans="23:23">
      <c r="W59" s="1">
        <v>59</v>
      </c>
    </row>
    <row r="60" spans="23:23">
      <c r="W60" s="1">
        <v>60</v>
      </c>
    </row>
    <row r="61" spans="23:23">
      <c r="W61" s="1">
        <v>61</v>
      </c>
    </row>
    <row r="62" spans="23:23">
      <c r="W62" s="1">
        <v>62</v>
      </c>
    </row>
    <row r="63" spans="23:23">
      <c r="W63" s="1">
        <v>63</v>
      </c>
    </row>
    <row r="64" spans="23:23">
      <c r="W64" s="1">
        <v>64</v>
      </c>
    </row>
    <row r="65" spans="23:23">
      <c r="W65" s="1">
        <v>65</v>
      </c>
    </row>
    <row r="66" spans="23:23">
      <c r="W66" s="1">
        <v>66</v>
      </c>
    </row>
    <row r="67" spans="23:23">
      <c r="W67" s="1">
        <v>67</v>
      </c>
    </row>
    <row r="68" spans="23:23">
      <c r="W68" s="1">
        <v>68</v>
      </c>
    </row>
    <row r="69" spans="23:23">
      <c r="W69" s="1">
        <v>69</v>
      </c>
    </row>
    <row r="70" spans="23:23">
      <c r="W70" s="1">
        <v>70</v>
      </c>
    </row>
    <row r="71" spans="23:23">
      <c r="W71" s="1">
        <v>71</v>
      </c>
    </row>
    <row r="72" spans="23:23">
      <c r="W72" s="1">
        <v>72</v>
      </c>
    </row>
    <row r="73" spans="23:23">
      <c r="W73" s="1">
        <v>73</v>
      </c>
    </row>
    <row r="74" spans="23:23">
      <c r="W74" s="1">
        <v>74</v>
      </c>
    </row>
    <row r="75" spans="23:23">
      <c r="W75" s="1">
        <v>75</v>
      </c>
    </row>
    <row r="76" spans="23:23">
      <c r="W76" s="1">
        <v>76</v>
      </c>
    </row>
    <row r="77" spans="23:23">
      <c r="W77" s="1">
        <v>77</v>
      </c>
    </row>
    <row r="78" spans="23:23">
      <c r="W78" s="1">
        <v>78</v>
      </c>
    </row>
    <row r="79" spans="23:23">
      <c r="W79" s="1">
        <v>79</v>
      </c>
    </row>
    <row r="80" spans="23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K99"/>
  <sheetViews>
    <sheetView zoomScale="73" zoomScaleNormal="73" workbookViewId="0">
      <selection activeCell="S26" sqref="S26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style="14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4.85546875" style="1" customWidth="1"/>
    <col min="29" max="29" width="2.140625" style="8" customWidth="1"/>
    <col min="30" max="31" width="4.85546875" style="1" customWidth="1"/>
    <col min="32" max="32" width="2.140625" style="8" customWidth="1"/>
    <col min="33" max="33" width="4.85546875" style="18" customWidth="1"/>
    <col min="34" max="34" width="2.140625" style="8" customWidth="1"/>
    <col min="35" max="35" width="9.7109375" customWidth="1"/>
    <col min="36" max="37" width="4.28515625" style="1" customWidth="1"/>
  </cols>
  <sheetData>
    <row r="1" spans="1:37">
      <c r="A1" s="4" t="s">
        <v>124</v>
      </c>
      <c r="B1" s="4" t="s">
        <v>89</v>
      </c>
      <c r="C1" s="5">
        <v>1</v>
      </c>
      <c r="D1" s="5">
        <v>3</v>
      </c>
      <c r="E1" s="1">
        <f t="shared" ref="E1:E8" si="0">C1-D1</f>
        <v>-2</v>
      </c>
      <c r="F1" s="1">
        <f t="shared" ref="F1:F8" si="1">D1-C1</f>
        <v>2</v>
      </c>
      <c r="G1" s="10">
        <v>0.64583333333333337</v>
      </c>
      <c r="H1" s="17"/>
      <c r="I1" s="14" t="s">
        <v>90</v>
      </c>
      <c r="J1" s="2">
        <f t="shared" ref="J1:J34" si="2">(L1/N1)*IF(N1&gt;5,1,IF(N1=5,0.9,IF(N1=4,0.8,0.7)))</f>
        <v>2.3400000000000003</v>
      </c>
      <c r="K1" s="2">
        <f t="shared" ref="K1:K34" si="3">M1/N1</f>
        <v>2.6</v>
      </c>
      <c r="L1" s="1">
        <f>0+1+3+3+3+3</f>
        <v>13</v>
      </c>
      <c r="M1" s="1">
        <f>0+0+2+3+3+5</f>
        <v>13</v>
      </c>
      <c r="N1" s="1">
        <f>0+1+1+1+1+1</f>
        <v>5</v>
      </c>
      <c r="W1" s="1">
        <v>1</v>
      </c>
      <c r="X1" s="12" t="s">
        <v>175</v>
      </c>
      <c r="Y1" s="4" t="s">
        <v>73</v>
      </c>
      <c r="AA1" s="18" t="s">
        <v>129</v>
      </c>
      <c r="AB1" s="18" t="s">
        <v>130</v>
      </c>
      <c r="AD1" s="1">
        <v>6</v>
      </c>
      <c r="AG1" s="18" t="s">
        <v>111</v>
      </c>
      <c r="AI1" s="12"/>
    </row>
    <row r="2" spans="1:37">
      <c r="A2" s="4" t="s">
        <v>126</v>
      </c>
      <c r="B2" s="4" t="s">
        <v>157</v>
      </c>
      <c r="C2" s="5">
        <v>2</v>
      </c>
      <c r="D2" s="5">
        <v>0</v>
      </c>
      <c r="E2" s="1">
        <f t="shared" si="0"/>
        <v>2</v>
      </c>
      <c r="F2" s="1">
        <f t="shared" si="1"/>
        <v>-2</v>
      </c>
      <c r="G2" s="10">
        <v>0.875</v>
      </c>
      <c r="H2" s="17"/>
      <c r="I2" s="14" t="s">
        <v>95</v>
      </c>
      <c r="J2" s="2">
        <f t="shared" si="2"/>
        <v>1.6666666666666667</v>
      </c>
      <c r="K2" s="2">
        <f t="shared" si="3"/>
        <v>1</v>
      </c>
      <c r="L2" s="1">
        <f>0+0+3+3+3+0+1</f>
        <v>10</v>
      </c>
      <c r="M2" s="1">
        <f>0+-1+5+3+1+-2+0</f>
        <v>6</v>
      </c>
      <c r="N2" s="1">
        <f>0+1+1+1+1+1+1</f>
        <v>6</v>
      </c>
      <c r="W2" s="1">
        <v>2</v>
      </c>
      <c r="X2" s="12" t="s">
        <v>182</v>
      </c>
      <c r="Y2" s="4" t="s">
        <v>98</v>
      </c>
      <c r="AA2" s="18" t="s">
        <v>128</v>
      </c>
      <c r="AB2" s="18" t="s">
        <v>120</v>
      </c>
      <c r="AD2" s="1">
        <v>7</v>
      </c>
      <c r="AG2" s="18" t="s">
        <v>111</v>
      </c>
      <c r="AI2" s="12"/>
      <c r="AJ2" s="1" t="s">
        <v>150</v>
      </c>
    </row>
    <row r="3" spans="1:37">
      <c r="A3" s="4"/>
      <c r="B3" s="4"/>
      <c r="C3" s="5"/>
      <c r="D3" s="5"/>
      <c r="E3" s="1">
        <f t="shared" si="0"/>
        <v>0</v>
      </c>
      <c r="F3" s="1">
        <f t="shared" si="1"/>
        <v>0</v>
      </c>
      <c r="G3" s="10"/>
      <c r="H3" s="17"/>
      <c r="I3" s="14" t="s">
        <v>89</v>
      </c>
      <c r="J3" s="2">
        <f t="shared" si="2"/>
        <v>1.6333333333333333</v>
      </c>
      <c r="K3" s="2">
        <f t="shared" si="3"/>
        <v>1</v>
      </c>
      <c r="L3" s="1">
        <f>0+1+3+3</f>
        <v>7</v>
      </c>
      <c r="M3" s="1">
        <f>0+0+1+2</f>
        <v>3</v>
      </c>
      <c r="N3" s="1">
        <f>0+1+1+1</f>
        <v>3</v>
      </c>
      <c r="W3" s="1">
        <v>3</v>
      </c>
      <c r="X3" s="12"/>
      <c r="Y3" s="4"/>
      <c r="AA3" s="18"/>
      <c r="AB3" s="18"/>
      <c r="AD3" s="18"/>
      <c r="AG3" s="18" t="s">
        <v>130</v>
      </c>
      <c r="AI3" s="12" t="s">
        <v>183</v>
      </c>
      <c r="AJ3" s="1" t="s">
        <v>150</v>
      </c>
    </row>
    <row r="4" spans="1:37">
      <c r="A4" s="4" t="s">
        <v>123</v>
      </c>
      <c r="B4" s="4" t="s">
        <v>95</v>
      </c>
      <c r="C4" s="5">
        <v>2</v>
      </c>
      <c r="D4" s="5">
        <v>2</v>
      </c>
      <c r="E4" s="1">
        <f t="shared" si="0"/>
        <v>0</v>
      </c>
      <c r="F4" s="1">
        <f t="shared" si="1"/>
        <v>0</v>
      </c>
      <c r="G4" s="10">
        <v>0.72916666666666663</v>
      </c>
      <c r="H4" s="17"/>
      <c r="I4" s="14" t="s">
        <v>123</v>
      </c>
      <c r="J4" s="2">
        <f t="shared" si="2"/>
        <v>1.6</v>
      </c>
      <c r="K4" s="2">
        <f t="shared" si="3"/>
        <v>1.25</v>
      </c>
      <c r="L4" s="1">
        <f>0+1+3+3+1</f>
        <v>8</v>
      </c>
      <c r="M4" s="1">
        <f>0+0+1+4+0</f>
        <v>5</v>
      </c>
      <c r="N4" s="1">
        <f>0+1+1+1+1</f>
        <v>4</v>
      </c>
      <c r="W4" s="1">
        <v>4</v>
      </c>
      <c r="X4" s="12" t="s">
        <v>175</v>
      </c>
      <c r="Y4" s="4" t="s">
        <v>41</v>
      </c>
      <c r="AA4" s="18" t="s">
        <v>110</v>
      </c>
      <c r="AB4" s="18" t="s">
        <v>111</v>
      </c>
      <c r="AD4" s="1">
        <v>2</v>
      </c>
      <c r="AE4" s="1">
        <v>3</v>
      </c>
      <c r="AG4" s="18" t="s">
        <v>120</v>
      </c>
      <c r="AI4" s="12"/>
      <c r="AK4" s="1" t="s">
        <v>153</v>
      </c>
    </row>
    <row r="5" spans="1:37">
      <c r="A5" s="4" t="s">
        <v>159</v>
      </c>
      <c r="B5" s="4" t="s">
        <v>132</v>
      </c>
      <c r="C5" s="5">
        <v>0</v>
      </c>
      <c r="D5" s="5">
        <v>0</v>
      </c>
      <c r="E5" s="1">
        <f t="shared" si="0"/>
        <v>0</v>
      </c>
      <c r="F5" s="1">
        <f t="shared" si="1"/>
        <v>0</v>
      </c>
      <c r="G5" s="10">
        <v>0.77083333333333337</v>
      </c>
      <c r="H5" s="17"/>
      <c r="I5" s="14" t="s">
        <v>126</v>
      </c>
      <c r="J5" s="2">
        <f t="shared" si="2"/>
        <v>1.6</v>
      </c>
      <c r="K5" s="2">
        <f t="shared" si="3"/>
        <v>0.75</v>
      </c>
      <c r="L5" s="1">
        <f>0+1+1+3+3</f>
        <v>8</v>
      </c>
      <c r="M5" s="1">
        <f>0+0+0+1+2</f>
        <v>3</v>
      </c>
      <c r="N5" s="1">
        <f>0+1+1+1+1</f>
        <v>4</v>
      </c>
      <c r="W5" s="1">
        <v>5</v>
      </c>
      <c r="X5" s="12" t="s">
        <v>185</v>
      </c>
      <c r="Y5" s="4" t="s">
        <v>184</v>
      </c>
      <c r="AA5" s="18" t="s">
        <v>128</v>
      </c>
      <c r="AB5" s="18" t="s">
        <v>113</v>
      </c>
      <c r="AD5" s="1">
        <v>17</v>
      </c>
      <c r="AE5" s="1">
        <v>5</v>
      </c>
      <c r="AG5" s="18" t="s">
        <v>111</v>
      </c>
      <c r="AI5" s="12"/>
      <c r="AJ5" s="1" t="s">
        <v>150</v>
      </c>
    </row>
    <row r="6" spans="1:37">
      <c r="A6" s="4" t="s">
        <v>161</v>
      </c>
      <c r="B6" s="4" t="s">
        <v>139</v>
      </c>
      <c r="C6" s="5">
        <v>2</v>
      </c>
      <c r="D6" s="5">
        <v>3</v>
      </c>
      <c r="E6" s="1">
        <f t="shared" si="0"/>
        <v>-1</v>
      </c>
      <c r="F6" s="1">
        <f t="shared" si="1"/>
        <v>1</v>
      </c>
      <c r="G6" s="10">
        <v>0.86458333333333337</v>
      </c>
      <c r="H6" s="17"/>
      <c r="I6" s="14" t="s">
        <v>85</v>
      </c>
      <c r="J6" s="2">
        <f t="shared" si="2"/>
        <v>1.5714285714285714</v>
      </c>
      <c r="K6" s="2">
        <f t="shared" si="3"/>
        <v>0.5714285714285714</v>
      </c>
      <c r="L6" s="1">
        <f>0+1+3+1+3+3+0+0</f>
        <v>11</v>
      </c>
      <c r="M6" s="1">
        <f>0+0+2+0+1+3+-1+-1</f>
        <v>4</v>
      </c>
      <c r="N6" s="1">
        <f>0+1+1+1+1+1+1+1</f>
        <v>7</v>
      </c>
      <c r="W6" s="1">
        <v>6</v>
      </c>
      <c r="X6" s="12" t="s">
        <v>175</v>
      </c>
      <c r="Y6" s="4" t="s">
        <v>144</v>
      </c>
      <c r="AA6" s="18" t="s">
        <v>110</v>
      </c>
      <c r="AB6" s="18" t="s">
        <v>113</v>
      </c>
      <c r="AD6" s="18"/>
      <c r="AE6" s="1">
        <v>10</v>
      </c>
      <c r="AG6" s="18" t="s">
        <v>119</v>
      </c>
      <c r="AI6" s="12"/>
      <c r="AK6" s="1" t="s">
        <v>153</v>
      </c>
    </row>
    <row r="7" spans="1:37">
      <c r="A7" s="4" t="s">
        <v>96</v>
      </c>
      <c r="B7" s="4" t="s">
        <v>155</v>
      </c>
      <c r="C7" s="5">
        <v>1</v>
      </c>
      <c r="D7" s="5">
        <v>0</v>
      </c>
      <c r="E7" s="1">
        <f t="shared" si="0"/>
        <v>1</v>
      </c>
      <c r="F7" s="1">
        <f t="shared" si="1"/>
        <v>-1</v>
      </c>
      <c r="G7" s="10">
        <v>0.875</v>
      </c>
      <c r="H7" s="17"/>
      <c r="I7" s="20" t="s">
        <v>132</v>
      </c>
      <c r="J7" s="2">
        <f t="shared" si="2"/>
        <v>1.4400000000000002</v>
      </c>
      <c r="K7" s="2">
        <f t="shared" si="3"/>
        <v>0.6</v>
      </c>
      <c r="L7" s="1">
        <f>0+3+0+3+1+1</f>
        <v>8</v>
      </c>
      <c r="M7" s="1">
        <f>0+1+-1+3+0+0</f>
        <v>3</v>
      </c>
      <c r="N7" s="1">
        <f>0+1+1+1+1+1</f>
        <v>5</v>
      </c>
      <c r="W7" s="1">
        <v>7</v>
      </c>
      <c r="X7" s="12" t="s">
        <v>182</v>
      </c>
      <c r="Y7" s="4" t="s">
        <v>98</v>
      </c>
      <c r="AA7" s="18" t="s">
        <v>186</v>
      </c>
      <c r="AB7" s="18" t="s">
        <v>119</v>
      </c>
      <c r="AD7" s="18"/>
      <c r="AE7" s="18"/>
      <c r="AG7" s="18" t="s">
        <v>189</v>
      </c>
      <c r="AI7" s="12"/>
      <c r="AK7" s="1" t="s">
        <v>153</v>
      </c>
    </row>
    <row r="8" spans="1:37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10"/>
      <c r="H8" s="17"/>
      <c r="I8" s="14" t="s">
        <v>139</v>
      </c>
      <c r="J8" s="2">
        <f t="shared" si="2"/>
        <v>1.26</v>
      </c>
      <c r="K8" s="2">
        <f t="shared" si="3"/>
        <v>0.2</v>
      </c>
      <c r="L8" s="1">
        <f>0+3+0+1+0+3</f>
        <v>7</v>
      </c>
      <c r="M8" s="1">
        <f>0+2+-1+0+-1+1</f>
        <v>1</v>
      </c>
      <c r="N8" s="1">
        <f>0+1+1+1+1+1</f>
        <v>5</v>
      </c>
      <c r="W8" s="1">
        <v>8</v>
      </c>
      <c r="X8" s="12"/>
      <c r="Y8" s="4"/>
      <c r="AA8" s="18"/>
      <c r="AB8" s="18"/>
      <c r="AD8" s="18"/>
      <c r="AE8" s="18"/>
      <c r="AG8" s="18" t="s">
        <v>113</v>
      </c>
      <c r="AI8" s="12"/>
      <c r="AJ8" s="1" t="s">
        <v>150</v>
      </c>
    </row>
    <row r="9" spans="1:37">
      <c r="A9" t="s">
        <v>6</v>
      </c>
      <c r="C9"/>
      <c r="D9"/>
      <c r="E9"/>
      <c r="F9"/>
      <c r="G9" s="15"/>
      <c r="H9" s="7"/>
      <c r="I9" s="14" t="s">
        <v>96</v>
      </c>
      <c r="J9" s="2">
        <f t="shared" si="2"/>
        <v>1.1666666666666667</v>
      </c>
      <c r="K9" s="2">
        <f t="shared" si="3"/>
        <v>0.33333333333333331</v>
      </c>
      <c r="L9" s="1">
        <f>0+1+1+3</f>
        <v>5</v>
      </c>
      <c r="M9" s="1">
        <f>0+0+0+1</f>
        <v>1</v>
      </c>
      <c r="N9" s="1">
        <f>0+1+1+1</f>
        <v>3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/>
      <c r="AE9" s="3"/>
      <c r="AG9" s="18" t="s">
        <v>112</v>
      </c>
      <c r="AI9" s="16" t="s">
        <v>181</v>
      </c>
      <c r="AJ9" s="1" t="s">
        <v>150</v>
      </c>
    </row>
    <row r="10" spans="1:37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I10" s="14" t="s">
        <v>124</v>
      </c>
      <c r="J10" s="2">
        <f t="shared" si="2"/>
        <v>1</v>
      </c>
      <c r="K10" s="2">
        <f t="shared" si="3"/>
        <v>-0.25</v>
      </c>
      <c r="L10" s="1">
        <f>0+3+1+1+0</f>
        <v>5</v>
      </c>
      <c r="M10" s="1">
        <f>0+1+0+0+-2</f>
        <v>-1</v>
      </c>
      <c r="N10" s="1">
        <f>0+1+1+1+1</f>
        <v>4</v>
      </c>
      <c r="W10" s="1">
        <v>10</v>
      </c>
      <c r="X10" s="13" t="s">
        <v>54</v>
      </c>
      <c r="Y10" t="s">
        <v>38</v>
      </c>
      <c r="AG10" s="18" t="s">
        <v>119</v>
      </c>
      <c r="AK10" s="1" t="s">
        <v>153</v>
      </c>
    </row>
    <row r="11" spans="1:37">
      <c r="A11" t="s">
        <v>7</v>
      </c>
      <c r="C11"/>
      <c r="D11"/>
      <c r="E11"/>
      <c r="F11"/>
      <c r="I11" s="14" t="s">
        <v>83</v>
      </c>
      <c r="J11" s="2">
        <f t="shared" si="2"/>
        <v>0.93333333333333324</v>
      </c>
      <c r="K11" s="2">
        <f t="shared" si="3"/>
        <v>0</v>
      </c>
      <c r="L11" s="1">
        <f>0+3+1+0</f>
        <v>4</v>
      </c>
      <c r="M11" s="1">
        <f>0+1+0+-1</f>
        <v>0</v>
      </c>
      <c r="N11" s="1">
        <f>0+1+1+1</f>
        <v>3</v>
      </c>
      <c r="W11" s="1">
        <v>11</v>
      </c>
      <c r="X11" s="13" t="s">
        <v>55</v>
      </c>
      <c r="Y11" t="s">
        <v>39</v>
      </c>
      <c r="AG11" s="18" t="s">
        <v>111</v>
      </c>
      <c r="AK11" s="1" t="s">
        <v>153</v>
      </c>
    </row>
    <row r="12" spans="1:37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I12" s="14" t="s">
        <v>86</v>
      </c>
      <c r="J12" s="2">
        <f t="shared" si="2"/>
        <v>0.83333333333333337</v>
      </c>
      <c r="K12" s="2">
        <f t="shared" si="3"/>
        <v>-0.16666666666666666</v>
      </c>
      <c r="L12" s="1">
        <f>0+1+1+1+1+1+0</f>
        <v>5</v>
      </c>
      <c r="M12" s="1">
        <f>0+0+0+0+0+0+-1</f>
        <v>-1</v>
      </c>
      <c r="N12" s="1">
        <f>0+1+1+1+1+1+1</f>
        <v>6</v>
      </c>
      <c r="W12" s="1">
        <v>12</v>
      </c>
      <c r="X12" s="13" t="s">
        <v>25</v>
      </c>
      <c r="Y12" t="s">
        <v>40</v>
      </c>
      <c r="AG12" s="18" t="s">
        <v>131</v>
      </c>
      <c r="AK12" s="1" t="s">
        <v>153</v>
      </c>
    </row>
    <row r="13" spans="1:37">
      <c r="A13" t="s">
        <v>15</v>
      </c>
      <c r="C13"/>
      <c r="D13"/>
      <c r="E13"/>
      <c r="F13"/>
      <c r="I13" s="14" t="s">
        <v>93</v>
      </c>
      <c r="J13" s="2">
        <f t="shared" si="2"/>
        <v>0.7</v>
      </c>
      <c r="K13" s="2">
        <f t="shared" si="3"/>
        <v>-0.66666666666666663</v>
      </c>
      <c r="L13" s="1">
        <f>0+0+0+3</f>
        <v>3</v>
      </c>
      <c r="M13" s="1">
        <f>0+-2+-1+1</f>
        <v>-2</v>
      </c>
      <c r="N13" s="1">
        <f t="shared" ref="N13:N19" si="4">0+1+1+1</f>
        <v>3</v>
      </c>
      <c r="W13" s="1">
        <v>13</v>
      </c>
      <c r="X13" s="13" t="s">
        <v>29</v>
      </c>
      <c r="Y13" t="s">
        <v>45</v>
      </c>
      <c r="AG13" s="18" t="s">
        <v>120</v>
      </c>
      <c r="AK13" s="1" t="s">
        <v>153</v>
      </c>
    </row>
    <row r="14" spans="1:37">
      <c r="A14" s="3" t="s">
        <v>30</v>
      </c>
      <c r="C14"/>
      <c r="D14"/>
      <c r="E14"/>
      <c r="F14"/>
      <c r="I14" s="14" t="s">
        <v>94</v>
      </c>
      <c r="J14" s="2">
        <f t="shared" si="2"/>
        <v>0.7</v>
      </c>
      <c r="K14" s="2">
        <f t="shared" si="3"/>
        <v>-1.3333333333333333</v>
      </c>
      <c r="L14" s="1">
        <f>0+3+0+0</f>
        <v>3</v>
      </c>
      <c r="M14" s="1">
        <f>0+1+-3+-2</f>
        <v>-4</v>
      </c>
      <c r="N14" s="1">
        <f t="shared" si="4"/>
        <v>3</v>
      </c>
      <c r="W14" s="1">
        <v>14</v>
      </c>
      <c r="X14" s="13" t="s">
        <v>56</v>
      </c>
      <c r="Y14" t="s">
        <v>42</v>
      </c>
      <c r="AG14" s="18" t="s">
        <v>131</v>
      </c>
      <c r="AK14" s="1" t="s">
        <v>153</v>
      </c>
    </row>
    <row r="15" spans="1:37">
      <c r="A15" t="s">
        <v>133</v>
      </c>
      <c r="C15"/>
      <c r="D15"/>
      <c r="E15"/>
      <c r="F15"/>
      <c r="I15" s="14" t="s">
        <v>114</v>
      </c>
      <c r="J15" s="2">
        <f t="shared" si="2"/>
        <v>0.7</v>
      </c>
      <c r="K15" s="2">
        <f t="shared" si="3"/>
        <v>-1.6666666666666667</v>
      </c>
      <c r="L15" s="1">
        <f>0+0+0+3</f>
        <v>3</v>
      </c>
      <c r="M15" s="1">
        <f>0+-2+-5+2</f>
        <v>-5</v>
      </c>
      <c r="N15" s="1">
        <f t="shared" si="4"/>
        <v>3</v>
      </c>
      <c r="W15" s="1">
        <v>15</v>
      </c>
      <c r="X15" s="13" t="s">
        <v>57</v>
      </c>
      <c r="Y15" t="s">
        <v>43</v>
      </c>
      <c r="AG15" s="18" t="s">
        <v>130</v>
      </c>
      <c r="AK15" s="1" t="s">
        <v>153</v>
      </c>
    </row>
    <row r="16" spans="1:37">
      <c r="A16" t="s">
        <v>23</v>
      </c>
      <c r="C16"/>
      <c r="D16"/>
      <c r="E16"/>
      <c r="F16"/>
      <c r="I16" s="14" t="s">
        <v>161</v>
      </c>
      <c r="J16" s="2">
        <f t="shared" si="2"/>
        <v>0.46666666666666662</v>
      </c>
      <c r="K16" s="2">
        <f t="shared" si="3"/>
        <v>-0.33333333333333331</v>
      </c>
      <c r="L16" s="1">
        <f>0+1+1+0</f>
        <v>2</v>
      </c>
      <c r="M16" s="1">
        <f>0+0+0+-1</f>
        <v>-1</v>
      </c>
      <c r="N16" s="1">
        <f t="shared" si="4"/>
        <v>3</v>
      </c>
      <c r="W16" s="1">
        <v>16</v>
      </c>
      <c r="X16" s="13" t="s">
        <v>58</v>
      </c>
      <c r="Y16" t="s">
        <v>44</v>
      </c>
      <c r="AG16" s="18" t="s">
        <v>120</v>
      </c>
      <c r="AJ16" s="1" t="s">
        <v>150</v>
      </c>
    </row>
    <row r="17" spans="1:37">
      <c r="A17" t="s">
        <v>134</v>
      </c>
      <c r="I17" s="14" t="s">
        <v>155</v>
      </c>
      <c r="J17" s="2">
        <f t="shared" si="2"/>
        <v>0.46666666666666662</v>
      </c>
      <c r="K17" s="2">
        <f t="shared" si="3"/>
        <v>-0.33333333333333331</v>
      </c>
      <c r="L17" s="1">
        <f>0+1+1+0</f>
        <v>2</v>
      </c>
      <c r="M17" s="1">
        <f>0+0+0+-1</f>
        <v>-1</v>
      </c>
      <c r="N17" s="1">
        <f t="shared" si="4"/>
        <v>3</v>
      </c>
      <c r="W17" s="1">
        <v>17</v>
      </c>
      <c r="X17" s="13" t="s">
        <v>59</v>
      </c>
      <c r="Y17" t="s">
        <v>46</v>
      </c>
      <c r="AG17" s="18" t="s">
        <v>119</v>
      </c>
      <c r="AJ17" s="1" t="s">
        <v>150</v>
      </c>
    </row>
    <row r="18" spans="1:37">
      <c r="A18" t="s">
        <v>33</v>
      </c>
      <c r="C18"/>
      <c r="D18"/>
      <c r="E18"/>
      <c r="F18"/>
      <c r="I18" s="14" t="s">
        <v>162</v>
      </c>
      <c r="J18" s="2">
        <f t="shared" si="2"/>
        <v>0.46666666666666662</v>
      </c>
      <c r="K18" s="2">
        <f t="shared" si="3"/>
        <v>-0.33333333333333331</v>
      </c>
      <c r="L18" s="1">
        <f>0+0+1+1</f>
        <v>2</v>
      </c>
      <c r="M18" s="1">
        <f>0+-1+0+0</f>
        <v>-1</v>
      </c>
      <c r="N18" s="1">
        <f t="shared" si="4"/>
        <v>3</v>
      </c>
      <c r="W18" s="1">
        <v>18</v>
      </c>
      <c r="X18" s="13" t="s">
        <v>60</v>
      </c>
      <c r="Y18" t="s">
        <v>47</v>
      </c>
      <c r="AG18" s="18" t="s">
        <v>111</v>
      </c>
      <c r="AK18" s="1" t="s">
        <v>153</v>
      </c>
    </row>
    <row r="19" spans="1:37">
      <c r="B19" t="s">
        <v>180</v>
      </c>
      <c r="I19" s="14" t="s">
        <v>138</v>
      </c>
      <c r="J19" s="2">
        <f t="shared" si="2"/>
        <v>0.46666666666666662</v>
      </c>
      <c r="K19" s="2">
        <f t="shared" si="3"/>
        <v>-1.3333333333333333</v>
      </c>
      <c r="L19" s="1">
        <f>0+1+1+0</f>
        <v>2</v>
      </c>
      <c r="M19" s="1">
        <f>0+0+0+-4</f>
        <v>-4</v>
      </c>
      <c r="N19" s="1">
        <f t="shared" si="4"/>
        <v>3</v>
      </c>
      <c r="W19" s="1">
        <v>19</v>
      </c>
      <c r="X19" s="13" t="s">
        <v>26</v>
      </c>
      <c r="Y19" t="s">
        <v>48</v>
      </c>
      <c r="AG19" s="18" t="s">
        <v>113</v>
      </c>
      <c r="AK19" s="1" t="s">
        <v>153</v>
      </c>
    </row>
    <row r="20" spans="1:37">
      <c r="A20" t="s">
        <v>135</v>
      </c>
      <c r="I20" s="14" t="s">
        <v>159</v>
      </c>
      <c r="J20" s="2">
        <f t="shared" si="2"/>
        <v>0.4</v>
      </c>
      <c r="K20" s="2">
        <f t="shared" si="3"/>
        <v>-2</v>
      </c>
      <c r="L20" s="1">
        <f>0+1+0+0+1</f>
        <v>2</v>
      </c>
      <c r="M20" s="1">
        <f>0+0+-3+-5+0</f>
        <v>-8</v>
      </c>
      <c r="N20" s="1">
        <f>0+1+1+1+1</f>
        <v>4</v>
      </c>
      <c r="W20" s="1">
        <v>20</v>
      </c>
      <c r="X20" s="13" t="s">
        <v>61</v>
      </c>
      <c r="Y20" t="s">
        <v>49</v>
      </c>
      <c r="AG20" s="18" t="s">
        <v>190</v>
      </c>
      <c r="AK20" s="1" t="s">
        <v>153</v>
      </c>
    </row>
    <row r="21" spans="1:37">
      <c r="A21" t="s">
        <v>19</v>
      </c>
      <c r="I21" s="14" t="s">
        <v>157</v>
      </c>
      <c r="J21" s="2">
        <f t="shared" si="2"/>
        <v>0.23333333333333331</v>
      </c>
      <c r="K21" s="2">
        <f t="shared" si="3"/>
        <v>-1.6666666666666667</v>
      </c>
      <c r="L21" s="1">
        <f>0+0+1+0</f>
        <v>1</v>
      </c>
      <c r="M21" s="1">
        <f>0+-3+0+-2</f>
        <v>-5</v>
      </c>
      <c r="N21" s="1">
        <f>0+1+1+1</f>
        <v>3</v>
      </c>
      <c r="W21" s="1">
        <v>21</v>
      </c>
      <c r="X21" s="13" t="s">
        <v>62</v>
      </c>
      <c r="Y21" t="s">
        <v>50</v>
      </c>
      <c r="AG21" s="18" t="s">
        <v>120</v>
      </c>
      <c r="AJ21" s="1" t="s">
        <v>150</v>
      </c>
    </row>
    <row r="22" spans="1:37">
      <c r="B22" t="s">
        <v>20</v>
      </c>
      <c r="I22" s="14" t="s">
        <v>137</v>
      </c>
      <c r="J22" s="2">
        <f t="shared" si="2"/>
        <v>0.23333333333333331</v>
      </c>
      <c r="K22" s="2">
        <f t="shared" si="3"/>
        <v>-1.6666666666666667</v>
      </c>
      <c r="L22" s="1">
        <f>0+1+0+0</f>
        <v>1</v>
      </c>
      <c r="M22" s="1">
        <f>0+0+-4+-1</f>
        <v>-5</v>
      </c>
      <c r="N22" s="1">
        <f>0+1+1+1</f>
        <v>3</v>
      </c>
      <c r="W22" s="1">
        <v>22</v>
      </c>
      <c r="X22" s="13" t="s">
        <v>63</v>
      </c>
      <c r="Y22" t="s">
        <v>51</v>
      </c>
      <c r="AG22" s="18" t="s">
        <v>111</v>
      </c>
      <c r="AK22" s="1" t="s">
        <v>153</v>
      </c>
    </row>
    <row r="23" spans="1:37">
      <c r="B23" t="s">
        <v>88</v>
      </c>
      <c r="I23" s="14" t="s">
        <v>125</v>
      </c>
      <c r="J23" s="2">
        <f t="shared" si="2"/>
        <v>0</v>
      </c>
      <c r="K23" s="2">
        <f t="shared" si="3"/>
        <v>-2.3333333333333335</v>
      </c>
      <c r="L23" s="1">
        <f>0+0+0+0</f>
        <v>0</v>
      </c>
      <c r="M23" s="1">
        <f>0+-1+-3+-3</f>
        <v>-7</v>
      </c>
      <c r="N23" s="1">
        <f>0+1+1+1</f>
        <v>3</v>
      </c>
      <c r="W23" s="1">
        <v>23</v>
      </c>
      <c r="X23" s="13" t="s">
        <v>28</v>
      </c>
      <c r="Y23" t="s">
        <v>52</v>
      </c>
      <c r="AG23" s="18" t="s">
        <v>113</v>
      </c>
      <c r="AK23" s="1" t="s">
        <v>153</v>
      </c>
    </row>
    <row r="24" spans="1:37">
      <c r="A24" t="s">
        <v>16</v>
      </c>
      <c r="C24"/>
      <c r="D24"/>
      <c r="E24"/>
      <c r="F24"/>
      <c r="I24" s="14" t="s">
        <v>163</v>
      </c>
      <c r="J24" s="2">
        <f t="shared" si="2"/>
        <v>1.4</v>
      </c>
      <c r="K24" s="2">
        <f t="shared" si="3"/>
        <v>0.5</v>
      </c>
      <c r="L24" s="1">
        <f>0+3+1</f>
        <v>4</v>
      </c>
      <c r="M24" s="1">
        <f>0+1+0</f>
        <v>1</v>
      </c>
      <c r="N24" s="1">
        <f t="shared" ref="N24:N29" si="5">0+1+1</f>
        <v>2</v>
      </c>
      <c r="W24" s="1">
        <v>24</v>
      </c>
      <c r="X24" s="13" t="s">
        <v>64</v>
      </c>
      <c r="Y24" t="s">
        <v>53</v>
      </c>
      <c r="AG24" s="18" t="s">
        <v>113</v>
      </c>
    </row>
    <row r="25" spans="1:37">
      <c r="A25" t="s">
        <v>17</v>
      </c>
      <c r="B25" s="2" t="e">
        <f t="shared" ref="B25" si="6">(D25/F25)*IF(F25&gt;5,1,IF(F25=5,0.9,IF(F25=4,0.8,0.7)))</f>
        <v>#DIV/0!</v>
      </c>
      <c r="C25" s="2" t="e">
        <f t="shared" ref="C25" si="7">E25/F25</f>
        <v>#DIV/0!</v>
      </c>
      <c r="D25" s="1">
        <f>0</f>
        <v>0</v>
      </c>
      <c r="E25" s="1">
        <f>0</f>
        <v>0</v>
      </c>
      <c r="F25" s="1">
        <f>0</f>
        <v>0</v>
      </c>
      <c r="I25" s="14" t="s">
        <v>156</v>
      </c>
      <c r="J25" s="2">
        <f t="shared" si="2"/>
        <v>1.4</v>
      </c>
      <c r="K25" s="2">
        <f t="shared" si="3"/>
        <v>0.5</v>
      </c>
      <c r="L25" s="1">
        <f>0+1+3</f>
        <v>4</v>
      </c>
      <c r="M25" s="1">
        <f>0+0+1</f>
        <v>1</v>
      </c>
      <c r="N25" s="1">
        <f t="shared" si="5"/>
        <v>2</v>
      </c>
      <c r="W25" s="1">
        <v>25</v>
      </c>
      <c r="X25" s="13" t="s">
        <v>65</v>
      </c>
      <c r="Y25" t="s">
        <v>68</v>
      </c>
      <c r="AG25" s="18" t="s">
        <v>190</v>
      </c>
    </row>
    <row r="26" spans="1:37">
      <c r="A26" t="s">
        <v>18</v>
      </c>
      <c r="B26" t="s">
        <v>136</v>
      </c>
      <c r="I26" s="14" t="s">
        <v>167</v>
      </c>
      <c r="J26" s="2">
        <f t="shared" si="2"/>
        <v>1.4</v>
      </c>
      <c r="K26" s="2">
        <f t="shared" si="3"/>
        <v>0.5</v>
      </c>
      <c r="L26" s="1">
        <f>0+1+3</f>
        <v>4</v>
      </c>
      <c r="M26" s="1">
        <f>0+0+1</f>
        <v>1</v>
      </c>
      <c r="N26" s="1">
        <f t="shared" si="5"/>
        <v>2</v>
      </c>
      <c r="W26" s="1">
        <v>26</v>
      </c>
      <c r="X26" s="13" t="s">
        <v>66</v>
      </c>
      <c r="Y26" t="s">
        <v>69</v>
      </c>
    </row>
    <row r="27" spans="1:37">
      <c r="A27" t="s">
        <v>14</v>
      </c>
      <c r="I27" s="14" t="s">
        <v>84</v>
      </c>
      <c r="J27" s="2">
        <f t="shared" si="2"/>
        <v>1.0499999999999998</v>
      </c>
      <c r="K27" s="2">
        <f t="shared" si="3"/>
        <v>0.5</v>
      </c>
      <c r="L27" s="1">
        <f>0+0+3</f>
        <v>3</v>
      </c>
      <c r="M27" s="1">
        <f>0-1+2</f>
        <v>1</v>
      </c>
      <c r="N27" s="1">
        <f t="shared" si="5"/>
        <v>2</v>
      </c>
      <c r="W27" s="1">
        <v>27</v>
      </c>
      <c r="X27" s="13" t="s">
        <v>67</v>
      </c>
      <c r="Y27" t="s">
        <v>70</v>
      </c>
    </row>
    <row r="28" spans="1:37">
      <c r="A28" t="s">
        <v>21</v>
      </c>
      <c r="I28" s="14" t="s">
        <v>91</v>
      </c>
      <c r="J28" s="2">
        <f t="shared" si="2"/>
        <v>1.0499999999999998</v>
      </c>
      <c r="K28" s="2">
        <f t="shared" si="3"/>
        <v>0</v>
      </c>
      <c r="L28" s="1">
        <f>0+0+3</f>
        <v>3</v>
      </c>
      <c r="M28" s="1">
        <f>0+-1+1</f>
        <v>0</v>
      </c>
      <c r="N28" s="1">
        <f t="shared" si="5"/>
        <v>2</v>
      </c>
      <c r="W28" s="1">
        <v>28</v>
      </c>
    </row>
    <row r="29" spans="1:37">
      <c r="A29" t="s">
        <v>147</v>
      </c>
      <c r="I29" s="14" t="s">
        <v>140</v>
      </c>
      <c r="J29" s="2">
        <f t="shared" si="2"/>
        <v>1.0499999999999998</v>
      </c>
      <c r="K29" s="2">
        <f t="shared" si="3"/>
        <v>-0.5</v>
      </c>
      <c r="L29" s="1">
        <f>0+0+3</f>
        <v>3</v>
      </c>
      <c r="M29" s="1">
        <f>0+-2+1</f>
        <v>-1</v>
      </c>
      <c r="N29" s="1">
        <f t="shared" si="5"/>
        <v>2</v>
      </c>
      <c r="W29" s="1">
        <v>29</v>
      </c>
    </row>
    <row r="30" spans="1:37">
      <c r="A30" t="s">
        <v>148</v>
      </c>
      <c r="I30" s="14" t="s">
        <v>164</v>
      </c>
      <c r="J30" s="2">
        <f t="shared" si="2"/>
        <v>2.0999999999999996</v>
      </c>
      <c r="K30" s="2">
        <f t="shared" si="3"/>
        <v>4</v>
      </c>
      <c r="L30" s="1">
        <f>0+3</f>
        <v>3</v>
      </c>
      <c r="M30" s="1">
        <f>0+4</f>
        <v>4</v>
      </c>
      <c r="N30" s="1">
        <f>0+1</f>
        <v>1</v>
      </c>
      <c r="W30" s="1">
        <v>30</v>
      </c>
    </row>
    <row r="31" spans="1:37">
      <c r="A31" t="s">
        <v>149</v>
      </c>
      <c r="I31" s="14" t="s">
        <v>178</v>
      </c>
      <c r="J31" s="2">
        <f t="shared" si="2"/>
        <v>2.0999999999999996</v>
      </c>
      <c r="K31" s="2">
        <f t="shared" si="3"/>
        <v>1</v>
      </c>
      <c r="L31" s="1">
        <f>0+3</f>
        <v>3</v>
      </c>
      <c r="M31" s="1">
        <f>0+1</f>
        <v>1</v>
      </c>
      <c r="N31" s="1">
        <f>0+1</f>
        <v>1</v>
      </c>
      <c r="W31" s="1">
        <v>31</v>
      </c>
    </row>
    <row r="32" spans="1:37">
      <c r="I32" s="14" t="s">
        <v>160</v>
      </c>
      <c r="J32" s="2">
        <f t="shared" si="2"/>
        <v>0.7</v>
      </c>
      <c r="K32" s="2">
        <f t="shared" si="3"/>
        <v>0</v>
      </c>
      <c r="L32" s="1">
        <f>0+1</f>
        <v>1</v>
      </c>
      <c r="M32" s="1">
        <f>0+0</f>
        <v>0</v>
      </c>
      <c r="N32" s="1">
        <f>0+1</f>
        <v>1</v>
      </c>
      <c r="W32" s="1">
        <v>32</v>
      </c>
    </row>
    <row r="33" spans="9:23">
      <c r="I33" s="14" t="s">
        <v>158</v>
      </c>
      <c r="J33" s="2">
        <f t="shared" si="2"/>
        <v>0</v>
      </c>
      <c r="K33" s="2">
        <f t="shared" si="3"/>
        <v>-1</v>
      </c>
      <c r="L33" s="1">
        <f>0+0</f>
        <v>0</v>
      </c>
      <c r="M33" s="1">
        <f>0+-1</f>
        <v>-1</v>
      </c>
      <c r="N33" s="1">
        <f>0+1</f>
        <v>1</v>
      </c>
      <c r="W33" s="1">
        <v>33</v>
      </c>
    </row>
    <row r="34" spans="9:23">
      <c r="I34" s="14" t="s">
        <v>171</v>
      </c>
      <c r="J34" s="2">
        <f t="shared" si="2"/>
        <v>0</v>
      </c>
      <c r="K34" s="2">
        <f t="shared" si="3"/>
        <v>-1</v>
      </c>
      <c r="L34" s="1">
        <f>0+0</f>
        <v>0</v>
      </c>
      <c r="M34" s="1">
        <f>0+-1</f>
        <v>-1</v>
      </c>
      <c r="N34" s="1">
        <f>0+1</f>
        <v>1</v>
      </c>
      <c r="W34" s="1">
        <v>34</v>
      </c>
    </row>
    <row r="35" spans="9:23">
      <c r="I35"/>
      <c r="W35" s="1">
        <v>35</v>
      </c>
    </row>
    <row r="36" spans="9:23">
      <c r="I36"/>
      <c r="W36" s="1">
        <v>36</v>
      </c>
    </row>
    <row r="37" spans="9:23">
      <c r="I37"/>
      <c r="W37" s="1">
        <v>37</v>
      </c>
    </row>
    <row r="38" spans="9:23">
      <c r="I38"/>
      <c r="W38" s="1">
        <v>38</v>
      </c>
    </row>
    <row r="39" spans="9:23">
      <c r="I39"/>
      <c r="W39" s="1">
        <v>39</v>
      </c>
    </row>
    <row r="40" spans="9:23">
      <c r="I40"/>
      <c r="W40" s="1">
        <v>40</v>
      </c>
    </row>
    <row r="41" spans="9:23">
      <c r="I41"/>
      <c r="W41" s="1">
        <v>41</v>
      </c>
    </row>
    <row r="42" spans="9:23">
      <c r="I42"/>
      <c r="W42" s="1">
        <v>42</v>
      </c>
    </row>
    <row r="43" spans="9:23">
      <c r="I43"/>
      <c r="W43" s="1">
        <v>43</v>
      </c>
    </row>
    <row r="44" spans="9:23">
      <c r="I44"/>
      <c r="W44" s="1">
        <v>44</v>
      </c>
    </row>
    <row r="45" spans="9:23">
      <c r="I45"/>
      <c r="W45" s="1">
        <v>45</v>
      </c>
    </row>
    <row r="46" spans="9:23">
      <c r="I46"/>
      <c r="W46" s="1">
        <v>46</v>
      </c>
    </row>
    <row r="47" spans="9:23">
      <c r="I47"/>
      <c r="W47" s="1">
        <v>47</v>
      </c>
    </row>
    <row r="48" spans="9:23">
      <c r="I48"/>
      <c r="W48" s="1">
        <v>48</v>
      </c>
    </row>
    <row r="49" spans="9:23">
      <c r="I49"/>
      <c r="W49" s="1">
        <v>49</v>
      </c>
    </row>
    <row r="50" spans="9:23">
      <c r="I50"/>
      <c r="W50" s="1">
        <v>50</v>
      </c>
    </row>
    <row r="51" spans="9:23">
      <c r="I51"/>
      <c r="W51" s="1">
        <v>51</v>
      </c>
    </row>
    <row r="52" spans="9:23">
      <c r="I52"/>
      <c r="W52" s="1">
        <v>52</v>
      </c>
    </row>
    <row r="53" spans="9:23">
      <c r="I53"/>
      <c r="W53" s="1">
        <v>53</v>
      </c>
    </row>
    <row r="54" spans="9:23">
      <c r="I54"/>
      <c r="W54" s="1">
        <v>54</v>
      </c>
    </row>
    <row r="55" spans="9:23">
      <c r="I55"/>
      <c r="W55" s="1">
        <v>55</v>
      </c>
    </row>
    <row r="56" spans="9:23">
      <c r="I56"/>
      <c r="W56" s="1">
        <v>56</v>
      </c>
    </row>
    <row r="57" spans="9:23">
      <c r="I57"/>
      <c r="W57" s="1">
        <v>57</v>
      </c>
    </row>
    <row r="58" spans="9:23">
      <c r="I58"/>
      <c r="W58" s="1">
        <v>58</v>
      </c>
    </row>
    <row r="59" spans="9:23">
      <c r="I59"/>
      <c r="W59" s="1">
        <v>59</v>
      </c>
    </row>
    <row r="60" spans="9:23">
      <c r="I60"/>
      <c r="W60" s="1">
        <v>60</v>
      </c>
    </row>
    <row r="61" spans="9:23">
      <c r="W61" s="1">
        <v>61</v>
      </c>
    </row>
    <row r="62" spans="9:23">
      <c r="W62" s="1">
        <v>62</v>
      </c>
    </row>
    <row r="63" spans="9:23">
      <c r="W63" s="1">
        <v>63</v>
      </c>
    </row>
    <row r="64" spans="9:23">
      <c r="W64" s="1">
        <v>64</v>
      </c>
    </row>
    <row r="65" spans="23:23">
      <c r="W65" s="1">
        <v>65</v>
      </c>
    </row>
    <row r="66" spans="23:23">
      <c r="W66" s="1">
        <v>66</v>
      </c>
    </row>
    <row r="67" spans="23:23">
      <c r="W67" s="1">
        <v>67</v>
      </c>
    </row>
    <row r="68" spans="23:23">
      <c r="W68" s="1">
        <v>68</v>
      </c>
    </row>
    <row r="69" spans="23:23">
      <c r="W69" s="1">
        <v>69</v>
      </c>
    </row>
    <row r="70" spans="23:23">
      <c r="W70" s="1">
        <v>70</v>
      </c>
    </row>
    <row r="71" spans="23:23">
      <c r="W71" s="1">
        <v>71</v>
      </c>
    </row>
    <row r="72" spans="23:23">
      <c r="W72" s="1">
        <v>72</v>
      </c>
    </row>
    <row r="73" spans="23:23">
      <c r="W73" s="1">
        <v>73</v>
      </c>
    </row>
    <row r="74" spans="23:23">
      <c r="W74" s="1">
        <v>74</v>
      </c>
    </row>
    <row r="75" spans="23:23">
      <c r="W75" s="1">
        <v>75</v>
      </c>
    </row>
    <row r="76" spans="23:23">
      <c r="W76" s="1">
        <v>76</v>
      </c>
    </row>
    <row r="77" spans="23:23">
      <c r="W77" s="1">
        <v>77</v>
      </c>
    </row>
    <row r="78" spans="23:23">
      <c r="W78" s="1">
        <v>78</v>
      </c>
    </row>
    <row r="79" spans="23:23">
      <c r="W79" s="1">
        <v>79</v>
      </c>
    </row>
    <row r="80" spans="23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sortState ref="I1:N99">
    <sortCondition descending="1" ref="J1:J99"/>
    <sortCondition descending="1" ref="K1:K99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K99"/>
  <sheetViews>
    <sheetView zoomScale="73" zoomScaleNormal="73" workbookViewId="0"/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style="14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4.85546875" style="1" customWidth="1"/>
    <col min="29" max="29" width="2.140625" style="8" customWidth="1"/>
    <col min="30" max="31" width="4.85546875" style="1" customWidth="1"/>
    <col min="32" max="32" width="2.140625" style="8" customWidth="1"/>
    <col min="33" max="33" width="4.85546875" style="18" customWidth="1"/>
    <col min="34" max="34" width="2.140625" style="8" customWidth="1"/>
    <col min="35" max="35" width="9.7109375" customWidth="1"/>
    <col min="36" max="37" width="4.28515625" style="1" customWidth="1"/>
  </cols>
  <sheetData>
    <row r="1" spans="1:35">
      <c r="A1" s="4" t="s">
        <v>124</v>
      </c>
      <c r="B1" s="4" t="s">
        <v>89</v>
      </c>
      <c r="C1" s="5">
        <v>1</v>
      </c>
      <c r="D1" s="5">
        <v>3</v>
      </c>
      <c r="E1" s="1">
        <f t="shared" ref="E1:E8" si="0">C1-D1</f>
        <v>-2</v>
      </c>
      <c r="F1" s="1">
        <f t="shared" ref="F1:F8" si="1">D1-C1</f>
        <v>2</v>
      </c>
      <c r="G1" s="10">
        <v>0.64583333333333337</v>
      </c>
      <c r="H1" s="17"/>
      <c r="W1" s="1">
        <v>1</v>
      </c>
      <c r="X1" s="12" t="s">
        <v>175</v>
      </c>
      <c r="Y1" s="4" t="s">
        <v>73</v>
      </c>
      <c r="AA1" s="18" t="s">
        <v>129</v>
      </c>
      <c r="AB1" s="18" t="s">
        <v>130</v>
      </c>
      <c r="AD1" s="1">
        <v>6</v>
      </c>
      <c r="AI1" s="12"/>
    </row>
    <row r="2" spans="1:35">
      <c r="A2" s="4" t="s">
        <v>126</v>
      </c>
      <c r="B2" s="4" t="s">
        <v>157</v>
      </c>
      <c r="C2" s="5">
        <v>2</v>
      </c>
      <c r="D2" s="5">
        <v>0</v>
      </c>
      <c r="E2" s="1">
        <f t="shared" si="0"/>
        <v>2</v>
      </c>
      <c r="F2" s="1">
        <f t="shared" si="1"/>
        <v>-2</v>
      </c>
      <c r="G2" s="10">
        <v>0.875</v>
      </c>
      <c r="H2" s="17"/>
      <c r="W2" s="1">
        <v>2</v>
      </c>
      <c r="X2" s="12" t="s">
        <v>182</v>
      </c>
      <c r="Y2" s="4" t="s">
        <v>98</v>
      </c>
      <c r="AA2" s="18" t="s">
        <v>128</v>
      </c>
      <c r="AB2" s="18" t="s">
        <v>120</v>
      </c>
      <c r="AD2" s="1">
        <v>7</v>
      </c>
      <c r="AI2" s="12"/>
    </row>
    <row r="3" spans="1:35">
      <c r="A3" s="4"/>
      <c r="B3" s="4"/>
      <c r="C3" s="5"/>
      <c r="D3" s="5"/>
      <c r="E3" s="1">
        <f t="shared" si="0"/>
        <v>0</v>
      </c>
      <c r="F3" s="1">
        <f t="shared" si="1"/>
        <v>0</v>
      </c>
      <c r="G3" s="10"/>
      <c r="H3" s="17"/>
      <c r="W3" s="1">
        <v>3</v>
      </c>
      <c r="X3" s="12"/>
      <c r="Y3" s="4"/>
      <c r="AA3" s="18"/>
      <c r="AB3" s="18"/>
      <c r="AD3" s="18"/>
      <c r="AI3" s="12" t="s">
        <v>183</v>
      </c>
    </row>
    <row r="4" spans="1:35">
      <c r="A4" s="4" t="s">
        <v>123</v>
      </c>
      <c r="B4" s="4" t="s">
        <v>95</v>
      </c>
      <c r="C4" s="5">
        <v>2</v>
      </c>
      <c r="D4" s="5">
        <v>2</v>
      </c>
      <c r="E4" s="1">
        <f t="shared" si="0"/>
        <v>0</v>
      </c>
      <c r="F4" s="1">
        <f t="shared" si="1"/>
        <v>0</v>
      </c>
      <c r="G4" s="10">
        <v>0.72916666666666663</v>
      </c>
      <c r="H4" s="17"/>
      <c r="W4" s="1">
        <v>4</v>
      </c>
      <c r="X4" s="12" t="s">
        <v>175</v>
      </c>
      <c r="Y4" s="4" t="s">
        <v>41</v>
      </c>
      <c r="AA4" s="18" t="s">
        <v>110</v>
      </c>
      <c r="AB4" s="18" t="s">
        <v>111</v>
      </c>
      <c r="AD4" s="1">
        <v>2</v>
      </c>
      <c r="AE4" s="1">
        <v>3</v>
      </c>
      <c r="AI4" s="12"/>
    </row>
    <row r="5" spans="1:35">
      <c r="A5" s="4" t="s">
        <v>159</v>
      </c>
      <c r="B5" s="4" t="s">
        <v>132</v>
      </c>
      <c r="C5" s="5">
        <v>0</v>
      </c>
      <c r="D5" s="5">
        <v>0</v>
      </c>
      <c r="E5" s="1">
        <f t="shared" si="0"/>
        <v>0</v>
      </c>
      <c r="F5" s="1">
        <f t="shared" si="1"/>
        <v>0</v>
      </c>
      <c r="G5" s="10">
        <v>0.77083333333333337</v>
      </c>
      <c r="H5" s="17"/>
      <c r="W5" s="1">
        <v>5</v>
      </c>
      <c r="X5" s="12" t="s">
        <v>185</v>
      </c>
      <c r="Y5" s="4" t="s">
        <v>184</v>
      </c>
      <c r="AA5" s="18" t="s">
        <v>128</v>
      </c>
      <c r="AB5" s="18" t="s">
        <v>113</v>
      </c>
      <c r="AD5" s="1">
        <v>17</v>
      </c>
      <c r="AE5" s="1">
        <v>5</v>
      </c>
      <c r="AI5" s="12"/>
    </row>
    <row r="6" spans="1:35">
      <c r="A6" s="4" t="s">
        <v>161</v>
      </c>
      <c r="B6" s="4" t="s">
        <v>139</v>
      </c>
      <c r="C6" s="5">
        <v>2</v>
      </c>
      <c r="D6" s="5">
        <v>3</v>
      </c>
      <c r="E6" s="1">
        <f t="shared" si="0"/>
        <v>-1</v>
      </c>
      <c r="F6" s="1">
        <f t="shared" si="1"/>
        <v>1</v>
      </c>
      <c r="G6" s="10">
        <v>0.86458333333333337</v>
      </c>
      <c r="H6" s="17"/>
      <c r="W6" s="1">
        <v>6</v>
      </c>
      <c r="X6" s="12" t="s">
        <v>175</v>
      </c>
      <c r="Y6" s="4" t="s">
        <v>144</v>
      </c>
      <c r="AA6" s="18" t="s">
        <v>110</v>
      </c>
      <c r="AB6" s="18" t="s">
        <v>113</v>
      </c>
      <c r="AD6" s="18"/>
      <c r="AE6" s="1">
        <v>10</v>
      </c>
      <c r="AI6" s="12"/>
    </row>
    <row r="7" spans="1:35">
      <c r="A7" s="4" t="s">
        <v>96</v>
      </c>
      <c r="B7" s="4" t="s">
        <v>155</v>
      </c>
      <c r="C7" s="5">
        <v>1</v>
      </c>
      <c r="D7" s="5">
        <v>0</v>
      </c>
      <c r="E7" s="1">
        <f t="shared" si="0"/>
        <v>1</v>
      </c>
      <c r="F7" s="1">
        <f t="shared" si="1"/>
        <v>-1</v>
      </c>
      <c r="G7" s="10">
        <v>0.875</v>
      </c>
      <c r="H7" s="17"/>
      <c r="I7" s="20"/>
      <c r="W7" s="1">
        <v>7</v>
      </c>
      <c r="X7" s="12" t="s">
        <v>182</v>
      </c>
      <c r="Y7" s="4" t="s">
        <v>98</v>
      </c>
      <c r="AA7" s="18" t="s">
        <v>186</v>
      </c>
      <c r="AB7" s="18" t="s">
        <v>119</v>
      </c>
      <c r="AD7" s="18"/>
      <c r="AE7" s="18"/>
      <c r="AI7" s="12"/>
    </row>
    <row r="8" spans="1:35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10"/>
      <c r="H8" s="17"/>
      <c r="W8" s="1">
        <v>8</v>
      </c>
      <c r="X8" s="12"/>
      <c r="Y8" s="4"/>
      <c r="AA8" s="18"/>
      <c r="AB8" s="18"/>
      <c r="AD8" s="18"/>
      <c r="AE8" s="18"/>
      <c r="AI8" s="12"/>
    </row>
    <row r="9" spans="1:35">
      <c r="A9" t="s">
        <v>6</v>
      </c>
      <c r="C9"/>
      <c r="D9"/>
      <c r="E9"/>
      <c r="F9"/>
      <c r="G9" s="15"/>
      <c r="H9" s="7"/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/>
      <c r="AE9" s="3"/>
      <c r="AI9" s="16" t="s">
        <v>181</v>
      </c>
    </row>
    <row r="10" spans="1:35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W10" s="1">
        <v>10</v>
      </c>
      <c r="X10" s="13" t="s">
        <v>54</v>
      </c>
      <c r="Y10" t="s">
        <v>38</v>
      </c>
    </row>
    <row r="11" spans="1:35">
      <c r="A11" t="s">
        <v>7</v>
      </c>
      <c r="C11"/>
      <c r="D11"/>
      <c r="E11"/>
      <c r="F11"/>
      <c r="W11" s="1">
        <v>11</v>
      </c>
      <c r="X11" s="13" t="s">
        <v>55</v>
      </c>
      <c r="Y11" t="s">
        <v>39</v>
      </c>
    </row>
    <row r="12" spans="1:35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W12" s="1">
        <v>12</v>
      </c>
      <c r="X12" s="13" t="s">
        <v>25</v>
      </c>
      <c r="Y12" t="s">
        <v>40</v>
      </c>
    </row>
    <row r="13" spans="1:35">
      <c r="A13" t="s">
        <v>15</v>
      </c>
      <c r="C13"/>
      <c r="D13"/>
      <c r="E13"/>
      <c r="F13"/>
      <c r="W13" s="1">
        <v>13</v>
      </c>
      <c r="X13" s="13" t="s">
        <v>29</v>
      </c>
      <c r="Y13" t="s">
        <v>45</v>
      </c>
    </row>
    <row r="14" spans="1:35">
      <c r="A14" s="3" t="s">
        <v>30</v>
      </c>
      <c r="C14"/>
      <c r="D14"/>
      <c r="E14"/>
      <c r="F14"/>
      <c r="W14" s="1">
        <v>14</v>
      </c>
      <c r="X14" s="13" t="s">
        <v>56</v>
      </c>
      <c r="Y14" t="s">
        <v>42</v>
      </c>
    </row>
    <row r="15" spans="1:35">
      <c r="A15" t="s">
        <v>133</v>
      </c>
      <c r="C15"/>
      <c r="D15"/>
      <c r="E15"/>
      <c r="F15"/>
      <c r="W15" s="1">
        <v>15</v>
      </c>
      <c r="X15" s="13" t="s">
        <v>57</v>
      </c>
      <c r="Y15" t="s">
        <v>43</v>
      </c>
    </row>
    <row r="16" spans="1:35">
      <c r="A16" t="s">
        <v>23</v>
      </c>
      <c r="C16"/>
      <c r="D16"/>
      <c r="E16"/>
      <c r="F16"/>
      <c r="W16" s="1">
        <v>16</v>
      </c>
      <c r="X16" s="13" t="s">
        <v>58</v>
      </c>
      <c r="Y16" t="s">
        <v>44</v>
      </c>
    </row>
    <row r="17" spans="1:33">
      <c r="A17" t="s">
        <v>134</v>
      </c>
      <c r="I17" s="14" t="s">
        <v>167</v>
      </c>
      <c r="J17" s="2">
        <f t="shared" ref="J17:J25" si="2">(L17/N17)*IF(N17&gt;5,1,IF(N17=5,0.9,IF(N17=4,0.8,0.7)))</f>
        <v>1.4</v>
      </c>
      <c r="K17" s="2">
        <f t="shared" ref="K17:K25" si="3">M17/N17</f>
        <v>0.5</v>
      </c>
      <c r="L17" s="1">
        <f>0+1+3</f>
        <v>4</v>
      </c>
      <c r="M17" s="1">
        <f>0+0+1</f>
        <v>1</v>
      </c>
      <c r="N17" s="1">
        <f t="shared" ref="N17:N20" si="4">0+1+1</f>
        <v>2</v>
      </c>
      <c r="W17" s="1">
        <v>17</v>
      </c>
      <c r="X17" s="13" t="s">
        <v>59</v>
      </c>
      <c r="Y17" t="s">
        <v>46</v>
      </c>
      <c r="AG17" s="18" t="s">
        <v>119</v>
      </c>
    </row>
    <row r="18" spans="1:33">
      <c r="A18" t="s">
        <v>33</v>
      </c>
      <c r="C18"/>
      <c r="D18"/>
      <c r="E18"/>
      <c r="F18"/>
      <c r="I18" s="14" t="s">
        <v>84</v>
      </c>
      <c r="J18" s="2">
        <f t="shared" si="2"/>
        <v>1.0499999999999998</v>
      </c>
      <c r="K18" s="2">
        <f t="shared" si="3"/>
        <v>0.5</v>
      </c>
      <c r="L18" s="1">
        <f>0+0+3</f>
        <v>3</v>
      </c>
      <c r="M18" s="1">
        <f>0-1+2</f>
        <v>1</v>
      </c>
      <c r="N18" s="1">
        <f t="shared" si="4"/>
        <v>2</v>
      </c>
      <c r="W18" s="1">
        <v>18</v>
      </c>
      <c r="X18" s="13" t="s">
        <v>60</v>
      </c>
      <c r="Y18" t="s">
        <v>47</v>
      </c>
      <c r="AG18" s="18" t="s">
        <v>113</v>
      </c>
    </row>
    <row r="19" spans="1:33">
      <c r="B19" t="s">
        <v>180</v>
      </c>
      <c r="I19" s="14" t="s">
        <v>91</v>
      </c>
      <c r="J19" s="2">
        <f t="shared" si="2"/>
        <v>1.0499999999999998</v>
      </c>
      <c r="K19" s="2">
        <f t="shared" si="3"/>
        <v>0</v>
      </c>
      <c r="L19" s="1">
        <f>0+0+3</f>
        <v>3</v>
      </c>
      <c r="M19" s="1">
        <f>0+-1+1</f>
        <v>0</v>
      </c>
      <c r="N19" s="1">
        <f t="shared" si="4"/>
        <v>2</v>
      </c>
      <c r="W19" s="1">
        <v>19</v>
      </c>
      <c r="X19" s="13" t="s">
        <v>26</v>
      </c>
      <c r="Y19" t="s">
        <v>48</v>
      </c>
      <c r="AG19" s="18" t="s">
        <v>120</v>
      </c>
    </row>
    <row r="20" spans="1:33">
      <c r="A20" t="s">
        <v>135</v>
      </c>
      <c r="I20" s="14" t="s">
        <v>140</v>
      </c>
      <c r="J20" s="2">
        <f t="shared" si="2"/>
        <v>1.0499999999999998</v>
      </c>
      <c r="K20" s="2">
        <f t="shared" si="3"/>
        <v>-0.5</v>
      </c>
      <c r="L20" s="1">
        <f>0+0+3</f>
        <v>3</v>
      </c>
      <c r="M20" s="1">
        <f>0+-2+1</f>
        <v>-1</v>
      </c>
      <c r="N20" s="1">
        <f t="shared" si="4"/>
        <v>2</v>
      </c>
      <c r="W20" s="1">
        <v>20</v>
      </c>
      <c r="X20" s="13" t="s">
        <v>61</v>
      </c>
      <c r="Y20" t="s">
        <v>49</v>
      </c>
      <c r="AG20" s="18" t="s">
        <v>146</v>
      </c>
    </row>
    <row r="21" spans="1:33">
      <c r="A21" t="s">
        <v>19</v>
      </c>
      <c r="I21" s="14" t="s">
        <v>164</v>
      </c>
      <c r="J21" s="2">
        <f t="shared" si="2"/>
        <v>2.0999999999999996</v>
      </c>
      <c r="K21" s="2">
        <f t="shared" si="3"/>
        <v>4</v>
      </c>
      <c r="L21" s="1">
        <f>0+3</f>
        <v>3</v>
      </c>
      <c r="M21" s="1">
        <f>0+4</f>
        <v>4</v>
      </c>
      <c r="N21" s="1">
        <f>0+1</f>
        <v>1</v>
      </c>
      <c r="W21" s="1">
        <v>21</v>
      </c>
      <c r="X21" s="13" t="s">
        <v>62</v>
      </c>
      <c r="Y21" t="s">
        <v>50</v>
      </c>
      <c r="AG21" s="18" t="s">
        <v>111</v>
      </c>
    </row>
    <row r="22" spans="1:33">
      <c r="B22" t="s">
        <v>20</v>
      </c>
      <c r="I22" s="14" t="s">
        <v>178</v>
      </c>
      <c r="J22" s="2">
        <f t="shared" si="2"/>
        <v>2.0999999999999996</v>
      </c>
      <c r="K22" s="2">
        <f t="shared" si="3"/>
        <v>1</v>
      </c>
      <c r="L22" s="1">
        <f>0+3</f>
        <v>3</v>
      </c>
      <c r="M22" s="1">
        <f>0+1</f>
        <v>1</v>
      </c>
      <c r="N22" s="1">
        <f>0+1</f>
        <v>1</v>
      </c>
      <c r="W22" s="1">
        <v>22</v>
      </c>
      <c r="X22" s="13" t="s">
        <v>63</v>
      </c>
      <c r="Y22" t="s">
        <v>51</v>
      </c>
      <c r="AG22" s="18" t="s">
        <v>113</v>
      </c>
    </row>
    <row r="23" spans="1:33">
      <c r="B23" t="s">
        <v>88</v>
      </c>
      <c r="I23" s="14" t="s">
        <v>160</v>
      </c>
      <c r="J23" s="2">
        <f t="shared" si="2"/>
        <v>0.7</v>
      </c>
      <c r="K23" s="2">
        <f t="shared" si="3"/>
        <v>0</v>
      </c>
      <c r="L23" s="1">
        <f>0+1</f>
        <v>1</v>
      </c>
      <c r="M23" s="1">
        <f>0+0</f>
        <v>0</v>
      </c>
      <c r="N23" s="1">
        <f>0+1</f>
        <v>1</v>
      </c>
      <c r="W23" s="1">
        <v>23</v>
      </c>
      <c r="X23" s="13" t="s">
        <v>28</v>
      </c>
      <c r="Y23" t="s">
        <v>52</v>
      </c>
      <c r="AG23" s="18" t="s">
        <v>120</v>
      </c>
    </row>
    <row r="24" spans="1:33">
      <c r="A24" t="s">
        <v>16</v>
      </c>
      <c r="C24"/>
      <c r="D24"/>
      <c r="E24"/>
      <c r="F24"/>
      <c r="I24" s="14" t="s">
        <v>158</v>
      </c>
      <c r="J24" s="2">
        <f t="shared" si="2"/>
        <v>0</v>
      </c>
      <c r="K24" s="2">
        <f t="shared" si="3"/>
        <v>-1</v>
      </c>
      <c r="L24" s="1">
        <f>0+0</f>
        <v>0</v>
      </c>
      <c r="M24" s="1">
        <f>0+-1</f>
        <v>-1</v>
      </c>
      <c r="N24" s="1">
        <f>0+1</f>
        <v>1</v>
      </c>
      <c r="W24" s="1">
        <v>24</v>
      </c>
      <c r="X24" s="13" t="s">
        <v>64</v>
      </c>
      <c r="Y24" t="s">
        <v>53</v>
      </c>
      <c r="AG24" s="18" t="s">
        <v>190</v>
      </c>
    </row>
    <row r="25" spans="1:33">
      <c r="A25" t="s">
        <v>17</v>
      </c>
      <c r="B25" s="2" t="e">
        <f t="shared" ref="B25" si="5">(D25/F25)*IF(F25&gt;5,1,IF(F25=5,0.9,IF(F25=4,0.8,0.7)))</f>
        <v>#DIV/0!</v>
      </c>
      <c r="C25" s="2" t="e">
        <f t="shared" ref="C25" si="6">E25/F25</f>
        <v>#DIV/0!</v>
      </c>
      <c r="D25" s="1">
        <f>0</f>
        <v>0</v>
      </c>
      <c r="E25" s="1">
        <f>0</f>
        <v>0</v>
      </c>
      <c r="F25" s="1">
        <f>0</f>
        <v>0</v>
      </c>
      <c r="I25" s="14" t="s">
        <v>171</v>
      </c>
      <c r="J25" s="2">
        <f t="shared" si="2"/>
        <v>0</v>
      </c>
      <c r="K25" s="2">
        <f t="shared" si="3"/>
        <v>-1</v>
      </c>
      <c r="L25" s="1">
        <f>0+0</f>
        <v>0</v>
      </c>
      <c r="M25" s="1">
        <f>0+-1</f>
        <v>-1</v>
      </c>
      <c r="N25" s="1">
        <f>0+1</f>
        <v>1</v>
      </c>
      <c r="W25" s="1">
        <v>25</v>
      </c>
      <c r="X25" s="13" t="s">
        <v>65</v>
      </c>
      <c r="Y25" t="s">
        <v>68</v>
      </c>
      <c r="AG25" s="18" t="s">
        <v>131</v>
      </c>
    </row>
    <row r="26" spans="1:33">
      <c r="A26" t="s">
        <v>18</v>
      </c>
      <c r="B26" t="s">
        <v>136</v>
      </c>
      <c r="W26" s="1">
        <v>26</v>
      </c>
      <c r="X26" s="13" t="s">
        <v>66</v>
      </c>
      <c r="Y26" t="s">
        <v>69</v>
      </c>
    </row>
    <row r="27" spans="1:33">
      <c r="A27" t="s">
        <v>14</v>
      </c>
      <c r="W27" s="1">
        <v>27</v>
      </c>
      <c r="X27" s="13" t="s">
        <v>67</v>
      </c>
      <c r="Y27" t="s">
        <v>70</v>
      </c>
    </row>
    <row r="28" spans="1:33">
      <c r="A28" t="s">
        <v>21</v>
      </c>
      <c r="W28" s="1">
        <v>28</v>
      </c>
    </row>
    <row r="29" spans="1:33">
      <c r="A29" t="s">
        <v>147</v>
      </c>
      <c r="W29" s="1">
        <v>29</v>
      </c>
    </row>
    <row r="30" spans="1:33">
      <c r="A30" t="s">
        <v>148</v>
      </c>
      <c r="W30" s="1">
        <v>30</v>
      </c>
    </row>
    <row r="31" spans="1:33">
      <c r="A31" t="s">
        <v>149</v>
      </c>
      <c r="W31" s="1">
        <v>31</v>
      </c>
    </row>
    <row r="32" spans="1:33">
      <c r="W32" s="1">
        <v>32</v>
      </c>
    </row>
    <row r="33" spans="9:23">
      <c r="W33" s="1">
        <v>33</v>
      </c>
    </row>
    <row r="34" spans="9:23">
      <c r="W34" s="1">
        <v>34</v>
      </c>
    </row>
    <row r="35" spans="9:23">
      <c r="I35"/>
      <c r="W35" s="1">
        <v>35</v>
      </c>
    </row>
    <row r="36" spans="9:23">
      <c r="I36"/>
      <c r="W36" s="1">
        <v>36</v>
      </c>
    </row>
    <row r="37" spans="9:23">
      <c r="I37"/>
      <c r="W37" s="1">
        <v>37</v>
      </c>
    </row>
    <row r="38" spans="9:23">
      <c r="I38"/>
      <c r="W38" s="1">
        <v>38</v>
      </c>
    </row>
    <row r="39" spans="9:23">
      <c r="I39"/>
      <c r="W39" s="1">
        <v>39</v>
      </c>
    </row>
    <row r="40" spans="9:23">
      <c r="I40"/>
      <c r="W40" s="1">
        <v>40</v>
      </c>
    </row>
    <row r="41" spans="9:23">
      <c r="I41"/>
      <c r="W41" s="1">
        <v>41</v>
      </c>
    </row>
    <row r="42" spans="9:23">
      <c r="I42"/>
      <c r="W42" s="1">
        <v>42</v>
      </c>
    </row>
    <row r="43" spans="9:23">
      <c r="I43"/>
      <c r="W43" s="1">
        <v>43</v>
      </c>
    </row>
    <row r="44" spans="9:23">
      <c r="I44"/>
      <c r="W44" s="1">
        <v>44</v>
      </c>
    </row>
    <row r="45" spans="9:23">
      <c r="I45"/>
      <c r="W45" s="1">
        <v>45</v>
      </c>
    </row>
    <row r="46" spans="9:23">
      <c r="I46"/>
      <c r="W46" s="1">
        <v>46</v>
      </c>
    </row>
    <row r="47" spans="9:23">
      <c r="I47"/>
      <c r="W47" s="1">
        <v>47</v>
      </c>
    </row>
    <row r="48" spans="9:23">
      <c r="I48"/>
      <c r="W48" s="1">
        <v>48</v>
      </c>
    </row>
    <row r="49" spans="9:23">
      <c r="I49"/>
      <c r="W49" s="1">
        <v>49</v>
      </c>
    </row>
    <row r="50" spans="9:23">
      <c r="I50"/>
      <c r="W50" s="1">
        <v>50</v>
      </c>
    </row>
    <row r="51" spans="9:23">
      <c r="I51"/>
      <c r="W51" s="1">
        <v>51</v>
      </c>
    </row>
    <row r="52" spans="9:23">
      <c r="I52"/>
      <c r="W52" s="1">
        <v>52</v>
      </c>
    </row>
    <row r="53" spans="9:23">
      <c r="I53"/>
      <c r="W53" s="1">
        <v>53</v>
      </c>
    </row>
    <row r="54" spans="9:23">
      <c r="I54"/>
      <c r="W54" s="1">
        <v>54</v>
      </c>
    </row>
    <row r="55" spans="9:23">
      <c r="I55"/>
      <c r="W55" s="1">
        <v>55</v>
      </c>
    </row>
    <row r="56" spans="9:23">
      <c r="I56"/>
      <c r="W56" s="1">
        <v>56</v>
      </c>
    </row>
    <row r="57" spans="9:23">
      <c r="I57"/>
      <c r="W57" s="1">
        <v>57</v>
      </c>
    </row>
    <row r="58" spans="9:23">
      <c r="I58"/>
      <c r="W58" s="1">
        <v>58</v>
      </c>
    </row>
    <row r="59" spans="9:23">
      <c r="I59"/>
      <c r="W59" s="1">
        <v>59</v>
      </c>
    </row>
    <row r="60" spans="9:23">
      <c r="I60"/>
      <c r="W60" s="1">
        <v>60</v>
      </c>
    </row>
    <row r="61" spans="9:23">
      <c r="W61" s="1">
        <v>61</v>
      </c>
    </row>
    <row r="62" spans="9:23">
      <c r="W62" s="1">
        <v>62</v>
      </c>
    </row>
    <row r="63" spans="9:23">
      <c r="W63" s="1">
        <v>63</v>
      </c>
    </row>
    <row r="64" spans="9:23">
      <c r="W64" s="1">
        <v>64</v>
      </c>
    </row>
    <row r="65" spans="23:23">
      <c r="W65" s="1">
        <v>65</v>
      </c>
    </row>
    <row r="66" spans="23:23">
      <c r="W66" s="1">
        <v>66</v>
      </c>
    </row>
    <row r="67" spans="23:23">
      <c r="W67" s="1">
        <v>67</v>
      </c>
    </row>
    <row r="68" spans="23:23">
      <c r="W68" s="1">
        <v>68</v>
      </c>
    </row>
    <row r="69" spans="23:23">
      <c r="W69" s="1">
        <v>69</v>
      </c>
    </row>
    <row r="70" spans="23:23">
      <c r="W70" s="1">
        <v>70</v>
      </c>
    </row>
    <row r="71" spans="23:23">
      <c r="W71" s="1">
        <v>71</v>
      </c>
    </row>
    <row r="72" spans="23:23">
      <c r="W72" s="1">
        <v>72</v>
      </c>
    </row>
    <row r="73" spans="23:23">
      <c r="W73" s="1">
        <v>73</v>
      </c>
    </row>
    <row r="74" spans="23:23">
      <c r="W74" s="1">
        <v>74</v>
      </c>
    </row>
    <row r="75" spans="23:23">
      <c r="W75" s="1">
        <v>75</v>
      </c>
    </row>
    <row r="76" spans="23:23">
      <c r="W76" s="1">
        <v>76</v>
      </c>
    </row>
    <row r="77" spans="23:23">
      <c r="W77" s="1">
        <v>77</v>
      </c>
    </row>
    <row r="78" spans="23:23">
      <c r="W78" s="1">
        <v>78</v>
      </c>
    </row>
    <row r="79" spans="23:23">
      <c r="W79" s="1">
        <v>79</v>
      </c>
    </row>
    <row r="80" spans="23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99"/>
  <sheetViews>
    <sheetView zoomScale="90" zoomScaleNormal="90" workbookViewId="0">
      <selection activeCell="I9" sqref="I9"/>
    </sheetView>
  </sheetViews>
  <sheetFormatPr defaultRowHeight="15"/>
  <cols>
    <col min="1" max="2" width="14.28515625" customWidth="1"/>
    <col min="3" max="6" width="5.7109375" style="1" customWidth="1"/>
    <col min="7" max="7" width="12" customWidth="1"/>
    <col min="8" max="8" width="2.140625" style="8" customWidth="1"/>
    <col min="9" max="9" width="14.28515625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1.85546875" customWidth="1"/>
    <col min="26" max="26" width="2.140625" style="8" customWidth="1"/>
    <col min="27" max="28" width="6.5703125" style="1" customWidth="1"/>
    <col min="29" max="29" width="2.140625" style="8" customWidth="1"/>
    <col min="30" max="31" width="6.42578125" style="1" customWidth="1"/>
    <col min="32" max="32" width="2.140625" style="8" customWidth="1"/>
    <col min="33" max="33" width="6.42578125" style="1" customWidth="1"/>
    <col min="34" max="34" width="2.140625" style="8" customWidth="1"/>
  </cols>
  <sheetData>
    <row r="1" spans="1:33">
      <c r="A1" s="4" t="s">
        <v>85</v>
      </c>
      <c r="B1" s="4" t="s">
        <v>86</v>
      </c>
      <c r="C1" s="5">
        <v>1</v>
      </c>
      <c r="D1" s="5">
        <v>1</v>
      </c>
      <c r="E1" s="1">
        <f>C1-D1</f>
        <v>0</v>
      </c>
      <c r="F1" s="1">
        <f>D1-C1</f>
        <v>0</v>
      </c>
      <c r="G1" s="10">
        <v>0.83333333333333337</v>
      </c>
      <c r="H1" s="6"/>
      <c r="I1" t="s">
        <v>83</v>
      </c>
      <c r="J1" s="2">
        <f>(L1/N1)*IF(N1&gt;5,1,IF(N1=5,0.9,IF(N1=4,0.8,0.7)))</f>
        <v>2.0999999999999996</v>
      </c>
      <c r="K1" s="2">
        <f>M1/N1</f>
        <v>1</v>
      </c>
      <c r="L1" s="1">
        <f>0+3</f>
        <v>3</v>
      </c>
      <c r="M1" s="1">
        <f>0+1</f>
        <v>1</v>
      </c>
      <c r="N1" s="1">
        <f>0+1</f>
        <v>1</v>
      </c>
      <c r="W1" s="1">
        <v>1</v>
      </c>
      <c r="X1" s="12" t="s">
        <v>29</v>
      </c>
      <c r="Y1" s="4" t="s">
        <v>45</v>
      </c>
      <c r="AA1" s="1" t="s">
        <v>79</v>
      </c>
      <c r="AB1" s="1" t="s">
        <v>78</v>
      </c>
      <c r="AD1" s="1">
        <v>2</v>
      </c>
      <c r="AE1" s="1">
        <v>34</v>
      </c>
    </row>
    <row r="2" spans="1:33">
      <c r="A2" s="4"/>
      <c r="B2" s="4"/>
      <c r="C2" s="5"/>
      <c r="D2" s="5"/>
      <c r="E2" s="1">
        <f t="shared" ref="E2:E8" si="0">C2-D2</f>
        <v>0</v>
      </c>
      <c r="F2" s="1">
        <f t="shared" ref="F2:F8" si="1">D2-C2</f>
        <v>0</v>
      </c>
      <c r="G2" s="10"/>
      <c r="H2" s="6"/>
      <c r="I2" t="s">
        <v>85</v>
      </c>
      <c r="J2" s="2">
        <f>(L2/N2)*IF(N2&gt;5,1,IF(N2=5,0.9,IF(N2=4,0.8,0.7)))</f>
        <v>0.7</v>
      </c>
      <c r="K2" s="2">
        <f>M2/N2</f>
        <v>0</v>
      </c>
      <c r="L2" s="1">
        <f>0+1</f>
        <v>1</v>
      </c>
      <c r="M2" s="1">
        <f>0+0</f>
        <v>0</v>
      </c>
      <c r="N2" s="1">
        <f>0+1</f>
        <v>1</v>
      </c>
      <c r="W2" s="1">
        <v>2</v>
      </c>
      <c r="X2" s="12"/>
      <c r="Y2" s="4"/>
      <c r="AA2" s="1" t="s">
        <v>80</v>
      </c>
    </row>
    <row r="3" spans="1:33">
      <c r="A3" s="4"/>
      <c r="B3" s="4"/>
      <c r="C3" s="5"/>
      <c r="D3" s="5"/>
      <c r="E3" s="1">
        <f t="shared" si="0"/>
        <v>0</v>
      </c>
      <c r="F3" s="1">
        <f t="shared" si="1"/>
        <v>0</v>
      </c>
      <c r="G3" s="10"/>
      <c r="H3" s="6"/>
      <c r="I3" t="s">
        <v>86</v>
      </c>
      <c r="J3" s="2">
        <f>(L3/N3)*IF(N3&gt;5,1,IF(N3=5,0.9,IF(N3=4,0.8,0.7)))</f>
        <v>0.7</v>
      </c>
      <c r="K3" s="2">
        <f>M3/N3</f>
        <v>0</v>
      </c>
      <c r="L3" s="1">
        <f>0+1</f>
        <v>1</v>
      </c>
      <c r="M3" s="1">
        <f>0+0</f>
        <v>0</v>
      </c>
      <c r="N3" s="1">
        <f>0+1</f>
        <v>1</v>
      </c>
      <c r="W3" s="1">
        <v>3</v>
      </c>
      <c r="X3" s="12"/>
      <c r="Y3" s="4"/>
      <c r="AA3" s="1" t="s">
        <v>80</v>
      </c>
    </row>
    <row r="4" spans="1:33">
      <c r="A4" s="4"/>
      <c r="B4" s="4"/>
      <c r="C4" s="5"/>
      <c r="D4" s="5"/>
      <c r="E4" s="1">
        <f t="shared" si="0"/>
        <v>0</v>
      </c>
      <c r="F4" s="1">
        <f t="shared" si="1"/>
        <v>0</v>
      </c>
      <c r="G4" s="10"/>
      <c r="H4" s="6"/>
      <c r="I4" t="s">
        <v>84</v>
      </c>
      <c r="J4" s="2">
        <f>(L4/N4)*IF(N4&gt;5,1,IF(N4=5,0.9,IF(N4=4,0.8,0.7)))</f>
        <v>0</v>
      </c>
      <c r="K4" s="2">
        <f>M4/N4</f>
        <v>-1</v>
      </c>
      <c r="L4" s="1">
        <f>0+0</f>
        <v>0</v>
      </c>
      <c r="M4" s="1">
        <f>0-1</f>
        <v>-1</v>
      </c>
      <c r="N4" s="1">
        <f>0+1</f>
        <v>1</v>
      </c>
      <c r="W4" s="1">
        <v>4</v>
      </c>
      <c r="X4" s="12"/>
      <c r="Y4" s="4"/>
      <c r="AA4" s="1" t="s">
        <v>81</v>
      </c>
    </row>
    <row r="5" spans="1:33">
      <c r="A5" s="4"/>
      <c r="B5" s="4"/>
      <c r="C5" s="5"/>
      <c r="D5" s="5"/>
      <c r="E5" s="1">
        <f t="shared" si="0"/>
        <v>0</v>
      </c>
      <c r="F5" s="1">
        <f t="shared" si="1"/>
        <v>0</v>
      </c>
      <c r="G5" s="5"/>
      <c r="H5" s="6"/>
      <c r="W5" s="1">
        <v>5</v>
      </c>
      <c r="X5" s="12"/>
      <c r="Y5" s="4"/>
    </row>
    <row r="6" spans="1:33">
      <c r="A6" s="4"/>
      <c r="B6" s="4"/>
      <c r="C6" s="5"/>
      <c r="D6" s="5"/>
      <c r="E6" s="1">
        <f t="shared" si="0"/>
        <v>0</v>
      </c>
      <c r="F6" s="1">
        <f t="shared" si="1"/>
        <v>0</v>
      </c>
      <c r="G6" s="5"/>
      <c r="H6" s="6"/>
      <c r="W6" s="1">
        <v>6</v>
      </c>
      <c r="X6" s="12"/>
      <c r="Y6" s="4"/>
    </row>
    <row r="7" spans="1:33">
      <c r="A7" s="4"/>
      <c r="B7" s="4"/>
      <c r="C7" s="5"/>
      <c r="D7" s="5"/>
      <c r="E7" s="1">
        <f t="shared" si="0"/>
        <v>0</v>
      </c>
      <c r="F7" s="1">
        <f t="shared" si="1"/>
        <v>0</v>
      </c>
      <c r="G7" s="5"/>
      <c r="H7" s="6"/>
      <c r="W7" s="1">
        <v>7</v>
      </c>
      <c r="X7" s="12"/>
      <c r="Y7" s="4"/>
    </row>
    <row r="8" spans="1:33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5"/>
      <c r="H8" s="6"/>
      <c r="W8" s="1">
        <v>8</v>
      </c>
      <c r="X8" s="12"/>
      <c r="Y8" s="4"/>
    </row>
    <row r="9" spans="1:33">
      <c r="A9" t="s">
        <v>6</v>
      </c>
      <c r="C9"/>
      <c r="D9"/>
      <c r="E9"/>
      <c r="F9"/>
      <c r="G9" s="11" t="s">
        <v>87</v>
      </c>
      <c r="H9" s="7"/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 t="s">
        <v>75</v>
      </c>
      <c r="AE9" s="3" t="s">
        <v>77</v>
      </c>
      <c r="AG9" s="3"/>
    </row>
    <row r="10" spans="1:33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35</v>
      </c>
      <c r="W10" s="1">
        <v>10</v>
      </c>
      <c r="X10" s="13" t="s">
        <v>54</v>
      </c>
      <c r="Y10" t="s">
        <v>38</v>
      </c>
    </row>
    <row r="11" spans="1:33">
      <c r="A11" t="s">
        <v>7</v>
      </c>
      <c r="C11"/>
      <c r="D11"/>
      <c r="E11"/>
      <c r="F11"/>
      <c r="W11" s="1">
        <v>11</v>
      </c>
      <c r="X11" s="13" t="s">
        <v>55</v>
      </c>
      <c r="Y11" t="s">
        <v>39</v>
      </c>
    </row>
    <row r="12" spans="1:33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W12" s="1">
        <v>12</v>
      </c>
      <c r="X12" s="13" t="s">
        <v>25</v>
      </c>
      <c r="Y12" t="s">
        <v>40</v>
      </c>
    </row>
    <row r="13" spans="1:33">
      <c r="A13" t="s">
        <v>15</v>
      </c>
      <c r="C13"/>
      <c r="D13"/>
      <c r="E13"/>
      <c r="F13"/>
      <c r="W13" s="1">
        <v>13</v>
      </c>
      <c r="X13" s="13" t="s">
        <v>29</v>
      </c>
      <c r="Y13" t="s">
        <v>45</v>
      </c>
    </row>
    <row r="14" spans="1:33">
      <c r="A14" s="3" t="s">
        <v>30</v>
      </c>
      <c r="C14"/>
      <c r="D14"/>
      <c r="E14"/>
      <c r="F14"/>
      <c r="W14" s="1">
        <v>14</v>
      </c>
      <c r="X14" s="13" t="s">
        <v>56</v>
      </c>
      <c r="Y14" t="s">
        <v>42</v>
      </c>
    </row>
    <row r="15" spans="1:33">
      <c r="A15" t="s">
        <v>31</v>
      </c>
      <c r="C15"/>
      <c r="D15"/>
      <c r="E15"/>
      <c r="F15"/>
      <c r="W15" s="1">
        <v>15</v>
      </c>
      <c r="X15" s="13" t="s">
        <v>57</v>
      </c>
      <c r="Y15" t="s">
        <v>43</v>
      </c>
    </row>
    <row r="16" spans="1:33">
      <c r="A16" t="s">
        <v>23</v>
      </c>
      <c r="C16"/>
      <c r="D16"/>
      <c r="E16"/>
      <c r="F16"/>
      <c r="W16" s="1">
        <v>16</v>
      </c>
      <c r="X16" s="13" t="s">
        <v>58</v>
      </c>
      <c r="Y16" t="s">
        <v>44</v>
      </c>
    </row>
    <row r="17" spans="1:25">
      <c r="A17" t="s">
        <v>32</v>
      </c>
      <c r="W17" s="1">
        <v>17</v>
      </c>
      <c r="X17" s="13" t="s">
        <v>59</v>
      </c>
      <c r="Y17" t="s">
        <v>46</v>
      </c>
    </row>
    <row r="18" spans="1:25">
      <c r="A18" t="s">
        <v>33</v>
      </c>
      <c r="C18"/>
      <c r="D18"/>
      <c r="E18"/>
      <c r="F18"/>
      <c r="W18" s="1">
        <v>18</v>
      </c>
      <c r="X18" s="13" t="s">
        <v>60</v>
      </c>
      <c r="Y18" t="s">
        <v>47</v>
      </c>
    </row>
    <row r="19" spans="1:25">
      <c r="A19" t="s">
        <v>34</v>
      </c>
      <c r="W19" s="1">
        <v>19</v>
      </c>
      <c r="X19" s="13" t="s">
        <v>26</v>
      </c>
      <c r="Y19" t="s">
        <v>48</v>
      </c>
    </row>
    <row r="20" spans="1:25">
      <c r="A20" t="s">
        <v>19</v>
      </c>
      <c r="W20" s="1">
        <v>20</v>
      </c>
      <c r="X20" s="13" t="s">
        <v>61</v>
      </c>
      <c r="Y20" t="s">
        <v>49</v>
      </c>
    </row>
    <row r="21" spans="1:25">
      <c r="B21" t="s">
        <v>20</v>
      </c>
      <c r="W21" s="1">
        <v>21</v>
      </c>
      <c r="X21" s="13" t="s">
        <v>62</v>
      </c>
      <c r="Y21" t="s">
        <v>50</v>
      </c>
    </row>
    <row r="22" spans="1:25">
      <c r="B22" t="s">
        <v>88</v>
      </c>
      <c r="W22" s="1">
        <v>22</v>
      </c>
      <c r="X22" s="13" t="s">
        <v>63</v>
      </c>
      <c r="Y22" t="s">
        <v>51</v>
      </c>
    </row>
    <row r="23" spans="1:25">
      <c r="A23" t="s">
        <v>16</v>
      </c>
      <c r="C23"/>
      <c r="D23"/>
      <c r="E23"/>
      <c r="F23"/>
      <c r="W23" s="1">
        <v>23</v>
      </c>
      <c r="X23" s="13" t="s">
        <v>28</v>
      </c>
      <c r="Y23" t="s">
        <v>52</v>
      </c>
    </row>
    <row r="24" spans="1:25">
      <c r="A24" t="s">
        <v>17</v>
      </c>
      <c r="B24" s="2" t="e">
        <f t="shared" ref="B24" si="2">(D24/F24)*IF(F24&gt;5,1,IF(F24=5,0.9,IF(F24=4,0.8,0.7)))</f>
        <v>#DIV/0!</v>
      </c>
      <c r="C24" s="2" t="e">
        <f t="shared" ref="C24" si="3">E24/F24</f>
        <v>#DIV/0!</v>
      </c>
      <c r="D24" s="1">
        <f>0</f>
        <v>0</v>
      </c>
      <c r="E24" s="1">
        <f>0</f>
        <v>0</v>
      </c>
      <c r="F24" s="1">
        <f>0</f>
        <v>0</v>
      </c>
      <c r="W24" s="1">
        <v>24</v>
      </c>
      <c r="X24" s="13" t="s">
        <v>64</v>
      </c>
      <c r="Y24" t="s">
        <v>53</v>
      </c>
    </row>
    <row r="25" spans="1:25">
      <c r="A25" t="s">
        <v>18</v>
      </c>
      <c r="B25" t="s">
        <v>22</v>
      </c>
      <c r="W25" s="1">
        <v>25</v>
      </c>
      <c r="X25" s="13" t="s">
        <v>65</v>
      </c>
      <c r="Y25" t="s">
        <v>68</v>
      </c>
    </row>
    <row r="26" spans="1:25">
      <c r="A26" t="s">
        <v>14</v>
      </c>
      <c r="W26" s="1">
        <v>26</v>
      </c>
      <c r="X26" s="13" t="s">
        <v>66</v>
      </c>
      <c r="Y26" t="s">
        <v>69</v>
      </c>
    </row>
    <row r="27" spans="1:25">
      <c r="A27" t="s">
        <v>21</v>
      </c>
      <c r="W27" s="1">
        <v>27</v>
      </c>
      <c r="X27" s="13" t="s">
        <v>67</v>
      </c>
      <c r="Y27" t="s">
        <v>70</v>
      </c>
    </row>
    <row r="28" spans="1:25">
      <c r="W28" s="1">
        <v>28</v>
      </c>
    </row>
    <row r="29" spans="1:25">
      <c r="W29" s="1">
        <v>29</v>
      </c>
    </row>
    <row r="30" spans="1:25">
      <c r="W30" s="1">
        <v>30</v>
      </c>
    </row>
    <row r="31" spans="1:25">
      <c r="W31" s="1">
        <v>31</v>
      </c>
    </row>
    <row r="32" spans="1:25">
      <c r="W32" s="1">
        <v>32</v>
      </c>
    </row>
    <row r="33" spans="23:23">
      <c r="W33" s="1">
        <v>33</v>
      </c>
    </row>
    <row r="34" spans="23:23">
      <c r="W34" s="1">
        <v>34</v>
      </c>
    </row>
    <row r="35" spans="23:23">
      <c r="W35" s="1">
        <v>35</v>
      </c>
    </row>
    <row r="36" spans="23:23">
      <c r="W36" s="1">
        <v>36</v>
      </c>
    </row>
    <row r="37" spans="23:23">
      <c r="W37" s="1">
        <v>37</v>
      </c>
    </row>
    <row r="38" spans="23:23">
      <c r="W38" s="1">
        <v>38</v>
      </c>
    </row>
    <row r="39" spans="23:23">
      <c r="W39" s="1">
        <v>39</v>
      </c>
    </row>
    <row r="40" spans="23:23">
      <c r="W40" s="1">
        <v>40</v>
      </c>
    </row>
    <row r="41" spans="23:23">
      <c r="W41" s="1">
        <v>41</v>
      </c>
    </row>
    <row r="42" spans="23:23">
      <c r="W42" s="1">
        <v>42</v>
      </c>
    </row>
    <row r="43" spans="23:23">
      <c r="W43" s="1">
        <v>43</v>
      </c>
    </row>
    <row r="44" spans="23:23">
      <c r="W44" s="1">
        <v>44</v>
      </c>
    </row>
    <row r="45" spans="23:23">
      <c r="W45" s="1">
        <v>45</v>
      </c>
    </row>
    <row r="46" spans="23:23">
      <c r="W46" s="1">
        <v>46</v>
      </c>
    </row>
    <row r="47" spans="23:23">
      <c r="W47" s="1">
        <v>47</v>
      </c>
    </row>
    <row r="48" spans="23:23">
      <c r="W48" s="1">
        <v>48</v>
      </c>
    </row>
    <row r="49" spans="23:23">
      <c r="W49" s="1">
        <v>49</v>
      </c>
    </row>
    <row r="50" spans="23:23">
      <c r="W50" s="1">
        <v>50</v>
      </c>
    </row>
    <row r="51" spans="23:23">
      <c r="W51" s="1">
        <v>51</v>
      </c>
    </row>
    <row r="52" spans="23:23">
      <c r="W52" s="1">
        <v>52</v>
      </c>
    </row>
    <row r="53" spans="23:23">
      <c r="W53" s="1">
        <v>53</v>
      </c>
    </row>
    <row r="54" spans="23:23">
      <c r="W54" s="1">
        <v>54</v>
      </c>
    </row>
    <row r="55" spans="23:23">
      <c r="W55" s="1">
        <v>55</v>
      </c>
    </row>
    <row r="56" spans="23:23">
      <c r="W56" s="1">
        <v>56</v>
      </c>
    </row>
    <row r="57" spans="23:23">
      <c r="W57" s="1">
        <v>57</v>
      </c>
    </row>
    <row r="58" spans="23:23">
      <c r="W58" s="1">
        <v>58</v>
      </c>
    </row>
    <row r="59" spans="23:23">
      <c r="W59" s="1">
        <v>59</v>
      </c>
    </row>
    <row r="60" spans="23:23">
      <c r="W60" s="1">
        <v>60</v>
      </c>
    </row>
    <row r="61" spans="23:23">
      <c r="W61" s="1">
        <v>61</v>
      </c>
    </row>
    <row r="62" spans="23:23">
      <c r="W62" s="1">
        <v>62</v>
      </c>
    </row>
    <row r="63" spans="23:23">
      <c r="W63" s="1">
        <v>63</v>
      </c>
    </row>
    <row r="64" spans="23:23">
      <c r="W64" s="1">
        <v>64</v>
      </c>
    </row>
    <row r="65" spans="23:23">
      <c r="W65" s="1">
        <v>65</v>
      </c>
    </row>
    <row r="66" spans="23:23">
      <c r="W66" s="1">
        <v>66</v>
      </c>
    </row>
    <row r="67" spans="23:23">
      <c r="W67" s="1">
        <v>67</v>
      </c>
    </row>
    <row r="68" spans="23:23">
      <c r="W68" s="1">
        <v>68</v>
      </c>
    </row>
    <row r="69" spans="23:23">
      <c r="W69" s="1">
        <v>69</v>
      </c>
    </row>
    <row r="70" spans="23:23">
      <c r="W70" s="1">
        <v>70</v>
      </c>
    </row>
    <row r="71" spans="23:23">
      <c r="W71" s="1">
        <v>71</v>
      </c>
    </row>
    <row r="72" spans="23:23">
      <c r="W72" s="1">
        <v>72</v>
      </c>
    </row>
    <row r="73" spans="23:23">
      <c r="W73" s="1">
        <v>73</v>
      </c>
    </row>
    <row r="74" spans="23:23">
      <c r="W74" s="1">
        <v>74</v>
      </c>
    </row>
    <row r="75" spans="23:23">
      <c r="W75" s="1">
        <v>75</v>
      </c>
    </row>
    <row r="76" spans="23:23">
      <c r="W76" s="1">
        <v>76</v>
      </c>
    </row>
    <row r="77" spans="23:23">
      <c r="W77" s="1">
        <v>77</v>
      </c>
    </row>
    <row r="78" spans="23:23">
      <c r="W78" s="1">
        <v>78</v>
      </c>
    </row>
    <row r="79" spans="23:23">
      <c r="W79" s="1">
        <v>79</v>
      </c>
    </row>
    <row r="80" spans="23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sortState ref="I1:N99">
    <sortCondition descending="1" ref="J1:J99"/>
    <sortCondition descending="1" ref="K1:K99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K99"/>
  <sheetViews>
    <sheetView zoomScale="73" zoomScaleNormal="73" workbookViewId="0">
      <selection activeCell="W25" sqref="W25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style="14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4.85546875" style="1" customWidth="1"/>
    <col min="29" max="29" width="2.140625" style="8" customWidth="1"/>
    <col min="30" max="31" width="4.85546875" style="1" customWidth="1"/>
    <col min="32" max="32" width="2.140625" style="8" customWidth="1"/>
    <col min="33" max="33" width="4.85546875" style="18" customWidth="1"/>
    <col min="34" max="34" width="2.140625" style="8" customWidth="1"/>
    <col min="35" max="35" width="9.7109375" customWidth="1"/>
    <col min="36" max="37" width="4.28515625" style="1" customWidth="1"/>
  </cols>
  <sheetData>
    <row r="1" spans="1:37">
      <c r="A1" s="4" t="s">
        <v>140</v>
      </c>
      <c r="B1" s="4" t="s">
        <v>162</v>
      </c>
      <c r="C1" s="5">
        <v>3</v>
      </c>
      <c r="D1" s="5">
        <v>1</v>
      </c>
      <c r="E1" s="1">
        <f t="shared" ref="E1:E8" si="0">C1-D1</f>
        <v>2</v>
      </c>
      <c r="F1" s="1">
        <f t="shared" ref="F1:F8" si="1">D1-C1</f>
        <v>-2</v>
      </c>
      <c r="G1" s="10">
        <v>0.75</v>
      </c>
      <c r="H1" s="17"/>
      <c r="I1" s="14" t="s">
        <v>90</v>
      </c>
      <c r="J1" s="2">
        <f t="shared" ref="J1:J34" si="2">(L1/N1)*IF(N1&gt;5,1,IF(N1=5,0.9,IF(N1=4,0.8,0.7)))</f>
        <v>2.3400000000000003</v>
      </c>
      <c r="K1" s="2">
        <f t="shared" ref="K1:K34" si="3">M1/N1</f>
        <v>2.6</v>
      </c>
      <c r="L1" s="1">
        <f>0+1+3+3+3+3</f>
        <v>13</v>
      </c>
      <c r="M1" s="1">
        <f>0+0+2+3+3+5</f>
        <v>13</v>
      </c>
      <c r="N1" s="1">
        <f>0+1+1+1+1+1</f>
        <v>5</v>
      </c>
      <c r="V1" s="1"/>
      <c r="W1" s="1">
        <v>1</v>
      </c>
      <c r="X1" s="12" t="s">
        <v>182</v>
      </c>
      <c r="Y1" s="4" t="s">
        <v>144</v>
      </c>
      <c r="AA1" s="18" t="s">
        <v>176</v>
      </c>
      <c r="AB1" s="18" t="s">
        <v>111</v>
      </c>
      <c r="AD1" s="1">
        <v>9</v>
      </c>
      <c r="AE1" s="1">
        <v>21</v>
      </c>
      <c r="AG1" s="18" t="s">
        <v>111</v>
      </c>
      <c r="AI1" s="12"/>
    </row>
    <row r="2" spans="1:37">
      <c r="A2" s="4"/>
      <c r="B2" s="4"/>
      <c r="C2" s="5"/>
      <c r="D2" s="5"/>
      <c r="E2" s="1">
        <f t="shared" si="0"/>
        <v>0</v>
      </c>
      <c r="F2" s="1">
        <f t="shared" si="1"/>
        <v>0</v>
      </c>
      <c r="G2" s="10"/>
      <c r="H2" s="17"/>
      <c r="I2" s="14" t="s">
        <v>95</v>
      </c>
      <c r="J2" s="2">
        <f t="shared" si="2"/>
        <v>1.6666666666666667</v>
      </c>
      <c r="K2" s="2">
        <f t="shared" si="3"/>
        <v>1</v>
      </c>
      <c r="L2" s="1">
        <f>0+0+3+3+3+0+1</f>
        <v>10</v>
      </c>
      <c r="M2" s="1">
        <f>0+-1+5+3+1+-2+0</f>
        <v>6</v>
      </c>
      <c r="N2" s="1">
        <f>0+1+1+1+1+1+1</f>
        <v>6</v>
      </c>
      <c r="W2" s="1">
        <v>2</v>
      </c>
      <c r="X2" s="12"/>
      <c r="Y2" s="4"/>
      <c r="AA2" s="18"/>
      <c r="AB2" s="18"/>
      <c r="AG2" s="18" t="s">
        <v>111</v>
      </c>
      <c r="AI2" s="12" t="s">
        <v>188</v>
      </c>
    </row>
    <row r="3" spans="1:37">
      <c r="A3" s="4" t="s">
        <v>167</v>
      </c>
      <c r="B3" s="4" t="s">
        <v>171</v>
      </c>
      <c r="C3" s="5">
        <v>1</v>
      </c>
      <c r="D3" s="5">
        <v>0</v>
      </c>
      <c r="E3" s="1">
        <f t="shared" si="0"/>
        <v>1</v>
      </c>
      <c r="F3" s="1">
        <f t="shared" si="1"/>
        <v>-1</v>
      </c>
      <c r="G3" s="10">
        <v>0.86458333333333337</v>
      </c>
      <c r="H3" s="17"/>
      <c r="I3" s="14" t="s">
        <v>89</v>
      </c>
      <c r="J3" s="2">
        <f t="shared" si="2"/>
        <v>1.6333333333333333</v>
      </c>
      <c r="K3" s="2">
        <f t="shared" si="3"/>
        <v>1</v>
      </c>
      <c r="L3" s="1">
        <f>0+1+3+3</f>
        <v>7</v>
      </c>
      <c r="M3" s="1">
        <f>0+0+1+2</f>
        <v>3</v>
      </c>
      <c r="N3" s="1">
        <f>0+1+1+1</f>
        <v>3</v>
      </c>
      <c r="W3" s="1">
        <v>3</v>
      </c>
      <c r="X3" s="12" t="s">
        <v>182</v>
      </c>
      <c r="Y3" s="4" t="s">
        <v>144</v>
      </c>
      <c r="AA3" s="18" t="s">
        <v>129</v>
      </c>
      <c r="AB3" s="18" t="s">
        <v>131</v>
      </c>
      <c r="AD3" s="1">
        <v>4</v>
      </c>
      <c r="AG3" s="18" t="s">
        <v>130</v>
      </c>
      <c r="AI3" s="12"/>
    </row>
    <row r="4" spans="1:37">
      <c r="A4" s="4"/>
      <c r="B4" s="4"/>
      <c r="C4" s="5"/>
      <c r="D4" s="5"/>
      <c r="E4" s="1">
        <f t="shared" si="0"/>
        <v>0</v>
      </c>
      <c r="F4" s="1">
        <f t="shared" si="1"/>
        <v>0</v>
      </c>
      <c r="G4" s="10"/>
      <c r="H4" s="17"/>
      <c r="I4" s="14" t="s">
        <v>167</v>
      </c>
      <c r="J4" s="2">
        <f t="shared" si="2"/>
        <v>1.6333333333333333</v>
      </c>
      <c r="K4" s="2">
        <f t="shared" si="3"/>
        <v>0.66666666666666663</v>
      </c>
      <c r="L4" s="1">
        <f>0+1+3+3</f>
        <v>7</v>
      </c>
      <c r="M4" s="1">
        <f>0+0+1+1</f>
        <v>2</v>
      </c>
      <c r="N4" s="1">
        <f>0+1+1+1</f>
        <v>3</v>
      </c>
      <c r="V4" s="1"/>
      <c r="W4" s="1">
        <v>4</v>
      </c>
      <c r="X4" s="12"/>
      <c r="Y4" s="4"/>
      <c r="AA4" s="18"/>
      <c r="AB4" s="18"/>
      <c r="AG4" s="18" t="s">
        <v>119</v>
      </c>
      <c r="AI4" s="12"/>
      <c r="AJ4" s="1" t="s">
        <v>150</v>
      </c>
    </row>
    <row r="5" spans="1:37">
      <c r="A5" s="4"/>
      <c r="B5" s="4"/>
      <c r="C5" s="5"/>
      <c r="D5" s="5"/>
      <c r="E5" s="1">
        <f t="shared" si="0"/>
        <v>0</v>
      </c>
      <c r="F5" s="1">
        <f t="shared" si="1"/>
        <v>0</v>
      </c>
      <c r="G5" s="10"/>
      <c r="H5" s="17"/>
      <c r="I5" s="14" t="s">
        <v>123</v>
      </c>
      <c r="J5" s="2">
        <f t="shared" si="2"/>
        <v>1.6</v>
      </c>
      <c r="K5" s="2">
        <f t="shared" si="3"/>
        <v>1.25</v>
      </c>
      <c r="L5" s="1">
        <f>0+1+3+3+1</f>
        <v>8</v>
      </c>
      <c r="M5" s="1">
        <f>0+0+1+4+0</f>
        <v>5</v>
      </c>
      <c r="N5" s="1">
        <f>0+1+1+1+1</f>
        <v>4</v>
      </c>
      <c r="W5" s="1">
        <v>5</v>
      </c>
      <c r="X5" s="12"/>
      <c r="Y5" s="4"/>
      <c r="AA5" s="18"/>
      <c r="AB5" s="18"/>
      <c r="AG5" s="18" t="s">
        <v>120</v>
      </c>
      <c r="AI5" s="12"/>
      <c r="AK5" s="1" t="s">
        <v>153</v>
      </c>
    </row>
    <row r="6" spans="1:37">
      <c r="A6" s="4"/>
      <c r="B6" s="4"/>
      <c r="C6" s="5"/>
      <c r="D6" s="5"/>
      <c r="E6" s="1">
        <f t="shared" si="0"/>
        <v>0</v>
      </c>
      <c r="F6" s="1">
        <f t="shared" si="1"/>
        <v>0</v>
      </c>
      <c r="G6" s="10"/>
      <c r="H6" s="17"/>
      <c r="I6" s="14" t="s">
        <v>126</v>
      </c>
      <c r="J6" s="2">
        <f t="shared" si="2"/>
        <v>1.6</v>
      </c>
      <c r="K6" s="2">
        <f t="shared" si="3"/>
        <v>0.75</v>
      </c>
      <c r="L6" s="1">
        <f>0+1+1+3+3</f>
        <v>8</v>
      </c>
      <c r="M6" s="1">
        <f>0+0+0+1+2</f>
        <v>3</v>
      </c>
      <c r="N6" s="1">
        <f>0+1+1+1+1</f>
        <v>4</v>
      </c>
      <c r="W6" s="1">
        <v>6</v>
      </c>
      <c r="X6" s="12"/>
      <c r="Y6" s="4"/>
      <c r="AA6" s="18"/>
      <c r="AB6" s="18"/>
      <c r="AD6" s="18"/>
      <c r="AG6" s="18" t="s">
        <v>111</v>
      </c>
      <c r="AI6" s="12"/>
      <c r="AK6" s="1" t="s">
        <v>153</v>
      </c>
    </row>
    <row r="7" spans="1:37">
      <c r="A7" s="4"/>
      <c r="B7" s="4"/>
      <c r="C7" s="5"/>
      <c r="D7" s="5"/>
      <c r="E7" s="1">
        <f t="shared" si="0"/>
        <v>0</v>
      </c>
      <c r="F7" s="1">
        <f t="shared" si="1"/>
        <v>0</v>
      </c>
      <c r="G7" s="10"/>
      <c r="H7" s="17"/>
      <c r="I7" s="14" t="s">
        <v>85</v>
      </c>
      <c r="J7" s="2">
        <f t="shared" si="2"/>
        <v>1.5714285714285714</v>
      </c>
      <c r="K7" s="2">
        <f t="shared" si="3"/>
        <v>0.5714285714285714</v>
      </c>
      <c r="L7" s="1">
        <f>0+1+3+1+3+3+0+0</f>
        <v>11</v>
      </c>
      <c r="M7" s="1">
        <f>0+0+2+0+1+3+-1+-1</f>
        <v>4</v>
      </c>
      <c r="N7" s="1">
        <f>0+1+1+1+1+1+1+1</f>
        <v>7</v>
      </c>
      <c r="W7" s="1">
        <v>7</v>
      </c>
      <c r="X7" s="12"/>
      <c r="Y7" s="4"/>
      <c r="AA7" s="18"/>
      <c r="AB7" s="18"/>
      <c r="AD7" s="18"/>
      <c r="AE7" s="18"/>
      <c r="AG7" s="18" t="s">
        <v>119</v>
      </c>
      <c r="AI7" s="12"/>
      <c r="AK7" s="1" t="s">
        <v>153</v>
      </c>
    </row>
    <row r="8" spans="1:37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10"/>
      <c r="H8" s="17"/>
      <c r="I8" s="20" t="s">
        <v>132</v>
      </c>
      <c r="J8" s="2">
        <f t="shared" si="2"/>
        <v>1.4400000000000002</v>
      </c>
      <c r="K8" s="2">
        <f t="shared" si="3"/>
        <v>0.6</v>
      </c>
      <c r="L8" s="1">
        <f>0+3+0+3+1+1</f>
        <v>8</v>
      </c>
      <c r="M8" s="1">
        <f>0+1+-1+3+0+0</f>
        <v>3</v>
      </c>
      <c r="N8" s="1">
        <f>0+1+1+1+1+1</f>
        <v>5</v>
      </c>
      <c r="W8" s="1">
        <v>8</v>
      </c>
      <c r="X8" s="12"/>
      <c r="Y8" s="4"/>
      <c r="AA8" s="18"/>
      <c r="AB8" s="18"/>
      <c r="AD8" s="18"/>
      <c r="AE8" s="18"/>
      <c r="AG8" s="18" t="s">
        <v>191</v>
      </c>
      <c r="AI8" s="12"/>
      <c r="AK8" s="1" t="s">
        <v>153</v>
      </c>
    </row>
    <row r="9" spans="1:37">
      <c r="A9" t="s">
        <v>6</v>
      </c>
      <c r="C9"/>
      <c r="D9"/>
      <c r="E9"/>
      <c r="F9"/>
      <c r="G9" s="15"/>
      <c r="H9" s="7"/>
      <c r="I9" s="14" t="s">
        <v>140</v>
      </c>
      <c r="J9" s="2">
        <f t="shared" si="2"/>
        <v>1.4</v>
      </c>
      <c r="K9" s="2">
        <f t="shared" si="3"/>
        <v>0.33333333333333331</v>
      </c>
      <c r="L9" s="1">
        <f>0+0+3+3</f>
        <v>6</v>
      </c>
      <c r="M9" s="1">
        <f>0+-2+1+2</f>
        <v>1</v>
      </c>
      <c r="N9" s="1">
        <f>0+1+1+1</f>
        <v>3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/>
      <c r="AE9" s="3"/>
      <c r="AG9" s="18" t="s">
        <v>146</v>
      </c>
      <c r="AI9" s="16" t="s">
        <v>187</v>
      </c>
      <c r="AJ9" s="1" t="s">
        <v>150</v>
      </c>
    </row>
    <row r="10" spans="1:37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I10" s="14" t="s">
        <v>139</v>
      </c>
      <c r="J10" s="2">
        <f t="shared" si="2"/>
        <v>1.26</v>
      </c>
      <c r="K10" s="2">
        <f t="shared" si="3"/>
        <v>0.2</v>
      </c>
      <c r="L10" s="1">
        <f>0+3+0+1+0+3</f>
        <v>7</v>
      </c>
      <c r="M10" s="1">
        <f>0+2+-1+0+-1+1</f>
        <v>1</v>
      </c>
      <c r="N10" s="1">
        <f>0+1+1+1+1+1</f>
        <v>5</v>
      </c>
      <c r="W10" s="1">
        <v>10</v>
      </c>
      <c r="X10" s="13" t="s">
        <v>54</v>
      </c>
      <c r="Y10" t="s">
        <v>38</v>
      </c>
      <c r="AG10" s="18" t="s">
        <v>113</v>
      </c>
      <c r="AK10" s="1" t="s">
        <v>153</v>
      </c>
    </row>
    <row r="11" spans="1:37">
      <c r="A11" t="s">
        <v>7</v>
      </c>
      <c r="C11"/>
      <c r="D11"/>
      <c r="E11"/>
      <c r="F11"/>
      <c r="I11" s="14" t="s">
        <v>96</v>
      </c>
      <c r="J11" s="2">
        <f t="shared" si="2"/>
        <v>1.1666666666666667</v>
      </c>
      <c r="K11" s="2">
        <f t="shared" si="3"/>
        <v>0.33333333333333331</v>
      </c>
      <c r="L11" s="1">
        <f>0+1+1+3</f>
        <v>5</v>
      </c>
      <c r="M11" s="1">
        <f>0+0+0+1</f>
        <v>1</v>
      </c>
      <c r="N11" s="1">
        <f>0+1+1+1</f>
        <v>3</v>
      </c>
      <c r="W11" s="1">
        <v>11</v>
      </c>
      <c r="X11" s="13" t="s">
        <v>55</v>
      </c>
      <c r="Y11" t="s">
        <v>39</v>
      </c>
      <c r="AG11" s="18" t="s">
        <v>112</v>
      </c>
      <c r="AK11" s="1" t="s">
        <v>153</v>
      </c>
    </row>
    <row r="12" spans="1:37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I12" s="14" t="s">
        <v>124</v>
      </c>
      <c r="J12" s="2">
        <f t="shared" si="2"/>
        <v>1</v>
      </c>
      <c r="K12" s="2">
        <f t="shared" si="3"/>
        <v>-0.25</v>
      </c>
      <c r="L12" s="1">
        <f>0+3+1+1+0</f>
        <v>5</v>
      </c>
      <c r="M12" s="1">
        <f>0+1+0+0+-2</f>
        <v>-1</v>
      </c>
      <c r="N12" s="1">
        <f>0+1+1+1+1</f>
        <v>4</v>
      </c>
      <c r="W12" s="1">
        <v>12</v>
      </c>
      <c r="X12" s="13" t="s">
        <v>25</v>
      </c>
      <c r="Y12" t="s">
        <v>40</v>
      </c>
      <c r="AG12" s="18" t="s">
        <v>119</v>
      </c>
      <c r="AK12" s="1" t="s">
        <v>153</v>
      </c>
    </row>
    <row r="13" spans="1:37">
      <c r="A13" t="s">
        <v>15</v>
      </c>
      <c r="C13"/>
      <c r="D13"/>
      <c r="E13"/>
      <c r="F13"/>
      <c r="I13" s="14" t="s">
        <v>83</v>
      </c>
      <c r="J13" s="2">
        <f t="shared" si="2"/>
        <v>0.93333333333333324</v>
      </c>
      <c r="K13" s="2">
        <f t="shared" si="3"/>
        <v>0</v>
      </c>
      <c r="L13" s="1">
        <f>0+3+1+0</f>
        <v>4</v>
      </c>
      <c r="M13" s="1">
        <f>0+1+0+-1</f>
        <v>0</v>
      </c>
      <c r="N13" s="1">
        <f>0+1+1+1</f>
        <v>3</v>
      </c>
      <c r="W13" s="1">
        <v>13</v>
      </c>
      <c r="X13" s="13" t="s">
        <v>29</v>
      </c>
      <c r="Y13" t="s">
        <v>45</v>
      </c>
      <c r="AG13" s="18" t="s">
        <v>192</v>
      </c>
      <c r="AK13" s="1" t="s">
        <v>153</v>
      </c>
    </row>
    <row r="14" spans="1:37">
      <c r="A14" s="3" t="s">
        <v>30</v>
      </c>
      <c r="C14"/>
      <c r="D14"/>
      <c r="E14"/>
      <c r="F14"/>
      <c r="I14" s="14" t="s">
        <v>86</v>
      </c>
      <c r="J14" s="2">
        <f t="shared" si="2"/>
        <v>0.83333333333333337</v>
      </c>
      <c r="K14" s="2">
        <f t="shared" si="3"/>
        <v>-0.16666666666666666</v>
      </c>
      <c r="L14" s="1">
        <f>0+1+1+1+1+1+0</f>
        <v>5</v>
      </c>
      <c r="M14" s="1">
        <f>0+0+0+0+0+0+-1</f>
        <v>-1</v>
      </c>
      <c r="N14" s="1">
        <f>0+1+1+1+1+1+1</f>
        <v>6</v>
      </c>
      <c r="W14" s="1">
        <v>14</v>
      </c>
      <c r="X14" s="13" t="s">
        <v>56</v>
      </c>
      <c r="Y14" t="s">
        <v>42</v>
      </c>
      <c r="AG14" s="18" t="s">
        <v>131</v>
      </c>
      <c r="AK14" s="1" t="s">
        <v>153</v>
      </c>
    </row>
    <row r="15" spans="1:37">
      <c r="A15" t="s">
        <v>133</v>
      </c>
      <c r="C15"/>
      <c r="D15"/>
      <c r="E15"/>
      <c r="F15"/>
      <c r="I15" s="14" t="s">
        <v>93</v>
      </c>
      <c r="J15" s="2">
        <f t="shared" si="2"/>
        <v>0.7</v>
      </c>
      <c r="K15" s="2">
        <f t="shared" si="3"/>
        <v>-0.66666666666666663</v>
      </c>
      <c r="L15" s="1">
        <f>0+0+0+3</f>
        <v>3</v>
      </c>
      <c r="M15" s="1">
        <f>0+-2+-1+1</f>
        <v>-2</v>
      </c>
      <c r="N15" s="1">
        <f t="shared" ref="N15:N20" si="4">0+1+1+1</f>
        <v>3</v>
      </c>
      <c r="W15" s="1">
        <v>15</v>
      </c>
      <c r="X15" s="13" t="s">
        <v>57</v>
      </c>
      <c r="Y15" t="s">
        <v>43</v>
      </c>
      <c r="AG15" s="18" t="s">
        <v>120</v>
      </c>
      <c r="AK15" s="1" t="s">
        <v>153</v>
      </c>
    </row>
    <row r="16" spans="1:37">
      <c r="A16" t="s">
        <v>23</v>
      </c>
      <c r="C16"/>
      <c r="D16"/>
      <c r="E16"/>
      <c r="F16"/>
      <c r="I16" s="14" t="s">
        <v>94</v>
      </c>
      <c r="J16" s="2">
        <f t="shared" si="2"/>
        <v>0.7</v>
      </c>
      <c r="K16" s="2">
        <f t="shared" si="3"/>
        <v>-1.3333333333333333</v>
      </c>
      <c r="L16" s="1">
        <f>0+3+0+0</f>
        <v>3</v>
      </c>
      <c r="M16" s="1">
        <f>0+1+-3+-2</f>
        <v>-4</v>
      </c>
      <c r="N16" s="1">
        <f t="shared" si="4"/>
        <v>3</v>
      </c>
      <c r="W16" s="1">
        <v>16</v>
      </c>
      <c r="X16" s="13" t="s">
        <v>58</v>
      </c>
      <c r="Y16" t="s">
        <v>44</v>
      </c>
      <c r="AG16" s="18" t="s">
        <v>131</v>
      </c>
      <c r="AK16" s="1" t="s">
        <v>153</v>
      </c>
    </row>
    <row r="17" spans="1:37">
      <c r="A17" t="s">
        <v>134</v>
      </c>
      <c r="I17" s="14" t="s">
        <v>114</v>
      </c>
      <c r="J17" s="2">
        <f t="shared" si="2"/>
        <v>0.7</v>
      </c>
      <c r="K17" s="2">
        <f t="shared" si="3"/>
        <v>-1.6666666666666667</v>
      </c>
      <c r="L17" s="1">
        <f>0+0+0+3</f>
        <v>3</v>
      </c>
      <c r="M17" s="1">
        <f>0+-2+-5+2</f>
        <v>-5</v>
      </c>
      <c r="N17" s="1">
        <f t="shared" si="4"/>
        <v>3</v>
      </c>
      <c r="W17" s="1">
        <v>17</v>
      </c>
      <c r="X17" s="13" t="s">
        <v>59</v>
      </c>
      <c r="Y17" t="s">
        <v>46</v>
      </c>
      <c r="AG17" s="18" t="s">
        <v>130</v>
      </c>
      <c r="AK17" s="1" t="s">
        <v>153</v>
      </c>
    </row>
    <row r="18" spans="1:37">
      <c r="A18" t="s">
        <v>33</v>
      </c>
      <c r="C18"/>
      <c r="D18"/>
      <c r="E18"/>
      <c r="F18"/>
      <c r="I18" s="14" t="s">
        <v>161</v>
      </c>
      <c r="J18" s="2">
        <f t="shared" si="2"/>
        <v>0.46666666666666662</v>
      </c>
      <c r="K18" s="2">
        <f t="shared" si="3"/>
        <v>-0.33333333333333331</v>
      </c>
      <c r="L18" s="1">
        <f>0+1+1+0</f>
        <v>2</v>
      </c>
      <c r="M18" s="1">
        <f>0+0+0+-1</f>
        <v>-1</v>
      </c>
      <c r="N18" s="1">
        <f t="shared" si="4"/>
        <v>3</v>
      </c>
      <c r="W18" s="1">
        <v>18</v>
      </c>
      <c r="X18" s="13" t="s">
        <v>60</v>
      </c>
      <c r="Y18" t="s">
        <v>47</v>
      </c>
      <c r="AG18" s="18" t="s">
        <v>120</v>
      </c>
      <c r="AK18" s="1" t="s">
        <v>153</v>
      </c>
    </row>
    <row r="19" spans="1:37">
      <c r="B19" t="s">
        <v>180</v>
      </c>
      <c r="I19" s="14" t="s">
        <v>155</v>
      </c>
      <c r="J19" s="2">
        <f t="shared" si="2"/>
        <v>0.46666666666666662</v>
      </c>
      <c r="K19" s="2">
        <f t="shared" si="3"/>
        <v>-0.33333333333333331</v>
      </c>
      <c r="L19" s="1">
        <f>0+1+1+0</f>
        <v>2</v>
      </c>
      <c r="M19" s="1">
        <f>0+0+0+-1</f>
        <v>-1</v>
      </c>
      <c r="N19" s="1">
        <f t="shared" si="4"/>
        <v>3</v>
      </c>
      <c r="W19" s="1">
        <v>19</v>
      </c>
      <c r="X19" s="13" t="s">
        <v>26</v>
      </c>
      <c r="Y19" t="s">
        <v>48</v>
      </c>
      <c r="AG19" s="18" t="s">
        <v>119</v>
      </c>
      <c r="AK19" s="1" t="s">
        <v>153</v>
      </c>
    </row>
    <row r="20" spans="1:37">
      <c r="A20" t="s">
        <v>135</v>
      </c>
      <c r="I20" s="14" t="s">
        <v>138</v>
      </c>
      <c r="J20" s="2">
        <f t="shared" si="2"/>
        <v>0.46666666666666662</v>
      </c>
      <c r="K20" s="2">
        <f t="shared" si="3"/>
        <v>-1.3333333333333333</v>
      </c>
      <c r="L20" s="1">
        <f>0+1+1+0</f>
        <v>2</v>
      </c>
      <c r="M20" s="1">
        <f>0+0+0+-4</f>
        <v>-4</v>
      </c>
      <c r="N20" s="1">
        <f t="shared" si="4"/>
        <v>3</v>
      </c>
      <c r="W20" s="1">
        <v>20</v>
      </c>
      <c r="X20" s="13" t="s">
        <v>61</v>
      </c>
      <c r="Y20" t="s">
        <v>49</v>
      </c>
      <c r="AG20" s="18" t="s">
        <v>113</v>
      </c>
      <c r="AK20" s="1" t="s">
        <v>153</v>
      </c>
    </row>
    <row r="21" spans="1:37">
      <c r="A21" t="s">
        <v>19</v>
      </c>
      <c r="I21" s="14" t="s">
        <v>162</v>
      </c>
      <c r="J21" s="2">
        <f t="shared" si="2"/>
        <v>0.4</v>
      </c>
      <c r="K21" s="2">
        <f t="shared" si="3"/>
        <v>-0.75</v>
      </c>
      <c r="L21" s="1">
        <f>0+0+1+1+0</f>
        <v>2</v>
      </c>
      <c r="M21" s="1">
        <f>0+-1+0+0+-2</f>
        <v>-3</v>
      </c>
      <c r="N21" s="1">
        <f>0+1+1+1+1</f>
        <v>4</v>
      </c>
      <c r="W21" s="1">
        <v>21</v>
      </c>
      <c r="X21" s="13" t="s">
        <v>62</v>
      </c>
      <c r="Y21" t="s">
        <v>50</v>
      </c>
      <c r="AG21" s="18" t="s">
        <v>111</v>
      </c>
      <c r="AK21" s="1" t="s">
        <v>153</v>
      </c>
    </row>
    <row r="22" spans="1:37">
      <c r="B22" t="s">
        <v>20</v>
      </c>
      <c r="I22" s="14" t="s">
        <v>159</v>
      </c>
      <c r="J22" s="2">
        <f t="shared" si="2"/>
        <v>0.4</v>
      </c>
      <c r="K22" s="2">
        <f t="shared" si="3"/>
        <v>-2</v>
      </c>
      <c r="L22" s="1">
        <f>0+1+0+0+1</f>
        <v>2</v>
      </c>
      <c r="M22" s="1">
        <f>0+0+-3+-5+0</f>
        <v>-8</v>
      </c>
      <c r="N22" s="1">
        <f>0+1+1+1+1</f>
        <v>4</v>
      </c>
      <c r="W22" s="1">
        <v>22</v>
      </c>
      <c r="X22" s="13" t="s">
        <v>63</v>
      </c>
      <c r="Y22" t="s">
        <v>51</v>
      </c>
      <c r="AG22" s="18" t="s">
        <v>193</v>
      </c>
      <c r="AK22" s="1" t="s">
        <v>153</v>
      </c>
    </row>
    <row r="23" spans="1:37">
      <c r="B23" t="s">
        <v>88</v>
      </c>
      <c r="I23" s="14" t="s">
        <v>157</v>
      </c>
      <c r="J23" s="2">
        <f t="shared" si="2"/>
        <v>0.23333333333333331</v>
      </c>
      <c r="K23" s="2">
        <f t="shared" si="3"/>
        <v>-1.6666666666666667</v>
      </c>
      <c r="L23" s="1">
        <f>0+0+1+0</f>
        <v>1</v>
      </c>
      <c r="M23" s="1">
        <f>0+-3+0+-2</f>
        <v>-5</v>
      </c>
      <c r="N23" s="1">
        <f>0+1+1+1</f>
        <v>3</v>
      </c>
      <c r="W23" s="1">
        <v>23</v>
      </c>
      <c r="X23" s="13" t="s">
        <v>28</v>
      </c>
      <c r="Y23" t="s">
        <v>52</v>
      </c>
      <c r="AG23" s="18" t="s">
        <v>120</v>
      </c>
      <c r="AK23" s="1" t="s">
        <v>153</v>
      </c>
    </row>
    <row r="24" spans="1:37">
      <c r="A24" t="s">
        <v>16</v>
      </c>
      <c r="C24"/>
      <c r="D24"/>
      <c r="E24"/>
      <c r="F24"/>
      <c r="I24" s="14" t="s">
        <v>137</v>
      </c>
      <c r="J24" s="2">
        <f t="shared" si="2"/>
        <v>0.23333333333333331</v>
      </c>
      <c r="K24" s="2">
        <f t="shared" si="3"/>
        <v>-1.6666666666666667</v>
      </c>
      <c r="L24" s="1">
        <f>0+1+0+0</f>
        <v>1</v>
      </c>
      <c r="M24" s="1">
        <f>0+0+-4+-1</f>
        <v>-5</v>
      </c>
      <c r="N24" s="1">
        <f>0+1+1+1</f>
        <v>3</v>
      </c>
      <c r="W24" s="1">
        <v>24</v>
      </c>
      <c r="X24" s="13" t="s">
        <v>64</v>
      </c>
      <c r="Y24" t="s">
        <v>53</v>
      </c>
      <c r="AG24" s="18" t="s">
        <v>111</v>
      </c>
      <c r="AK24" s="1" t="s">
        <v>153</v>
      </c>
    </row>
    <row r="25" spans="1:37">
      <c r="A25" t="s">
        <v>17</v>
      </c>
      <c r="B25" s="2" t="e">
        <f t="shared" ref="B25" si="5">(D25/F25)*IF(F25&gt;5,1,IF(F25=5,0.9,IF(F25=4,0.8,0.7)))</f>
        <v>#DIV/0!</v>
      </c>
      <c r="C25" s="2" t="e">
        <f t="shared" ref="C25" si="6">E25/F25</f>
        <v>#DIV/0!</v>
      </c>
      <c r="D25" s="1">
        <f>0</f>
        <v>0</v>
      </c>
      <c r="E25" s="1">
        <f>0</f>
        <v>0</v>
      </c>
      <c r="F25" s="1">
        <f>0</f>
        <v>0</v>
      </c>
      <c r="I25" s="14" t="s">
        <v>125</v>
      </c>
      <c r="J25" s="2">
        <f t="shared" si="2"/>
        <v>0</v>
      </c>
      <c r="K25" s="2">
        <f t="shared" si="3"/>
        <v>-2.3333333333333335</v>
      </c>
      <c r="L25" s="1">
        <f>0+0+0+0</f>
        <v>0</v>
      </c>
      <c r="M25" s="1">
        <f>0+-1+-3+-3</f>
        <v>-7</v>
      </c>
      <c r="N25" s="1">
        <f>0+1+1+1</f>
        <v>3</v>
      </c>
      <c r="W25" s="1">
        <v>25</v>
      </c>
      <c r="X25" s="13" t="s">
        <v>65</v>
      </c>
      <c r="Y25" t="s">
        <v>68</v>
      </c>
      <c r="AG25" s="18" t="s">
        <v>113</v>
      </c>
      <c r="AK25" s="1" t="s">
        <v>153</v>
      </c>
    </row>
    <row r="26" spans="1:37">
      <c r="A26" t="s">
        <v>18</v>
      </c>
      <c r="B26" t="s">
        <v>136</v>
      </c>
      <c r="I26" s="14" t="s">
        <v>163</v>
      </c>
      <c r="J26" s="2">
        <f t="shared" si="2"/>
        <v>1.4</v>
      </c>
      <c r="K26" s="2">
        <f t="shared" si="3"/>
        <v>0.5</v>
      </c>
      <c r="L26" s="1">
        <f>0+3+1</f>
        <v>4</v>
      </c>
      <c r="M26" s="1">
        <f>0+1+0</f>
        <v>1</v>
      </c>
      <c r="N26" s="1">
        <f>0+1+1</f>
        <v>2</v>
      </c>
      <c r="W26" s="1">
        <v>26</v>
      </c>
      <c r="X26" s="13" t="s">
        <v>66</v>
      </c>
      <c r="Y26" t="s">
        <v>69</v>
      </c>
    </row>
    <row r="27" spans="1:37">
      <c r="A27" t="s">
        <v>14</v>
      </c>
      <c r="I27" s="14" t="s">
        <v>156</v>
      </c>
      <c r="J27" s="2">
        <f t="shared" si="2"/>
        <v>1.4</v>
      </c>
      <c r="K27" s="2">
        <f t="shared" si="3"/>
        <v>0.5</v>
      </c>
      <c r="L27" s="1">
        <f>0+1+3</f>
        <v>4</v>
      </c>
      <c r="M27" s="1">
        <f>0+0+1</f>
        <v>1</v>
      </c>
      <c r="N27" s="1">
        <f>0+1+1</f>
        <v>2</v>
      </c>
      <c r="W27" s="1">
        <v>27</v>
      </c>
      <c r="X27" s="13" t="s">
        <v>67</v>
      </c>
      <c r="Y27" t="s">
        <v>70</v>
      </c>
    </row>
    <row r="28" spans="1:37">
      <c r="A28" t="s">
        <v>21</v>
      </c>
      <c r="I28" s="14" t="s">
        <v>84</v>
      </c>
      <c r="J28" s="2">
        <f t="shared" si="2"/>
        <v>1.0499999999999998</v>
      </c>
      <c r="K28" s="2">
        <f t="shared" si="3"/>
        <v>0.5</v>
      </c>
      <c r="L28" s="1">
        <f>0+0+3</f>
        <v>3</v>
      </c>
      <c r="M28" s="1">
        <f>0-1+2</f>
        <v>1</v>
      </c>
      <c r="N28" s="1">
        <f>0+1+1</f>
        <v>2</v>
      </c>
      <c r="W28" s="1">
        <v>28</v>
      </c>
    </row>
    <row r="29" spans="1:37">
      <c r="A29" t="s">
        <v>147</v>
      </c>
      <c r="I29" s="14" t="s">
        <v>91</v>
      </c>
      <c r="J29" s="2">
        <f t="shared" si="2"/>
        <v>1.0499999999999998</v>
      </c>
      <c r="K29" s="2">
        <f t="shared" si="3"/>
        <v>0</v>
      </c>
      <c r="L29" s="1">
        <f>0+0+3</f>
        <v>3</v>
      </c>
      <c r="M29" s="1">
        <f>0+-1+1</f>
        <v>0</v>
      </c>
      <c r="N29" s="1">
        <f>0+1+1</f>
        <v>2</v>
      </c>
      <c r="W29" s="1">
        <v>29</v>
      </c>
    </row>
    <row r="30" spans="1:37">
      <c r="A30" t="s">
        <v>148</v>
      </c>
      <c r="I30" s="14" t="s">
        <v>171</v>
      </c>
      <c r="J30" s="2">
        <f t="shared" si="2"/>
        <v>0</v>
      </c>
      <c r="K30" s="2">
        <f t="shared" si="3"/>
        <v>-1</v>
      </c>
      <c r="L30" s="1">
        <f>0+0+0</f>
        <v>0</v>
      </c>
      <c r="M30" s="1">
        <f>0+-1+-1</f>
        <v>-2</v>
      </c>
      <c r="N30" s="1">
        <f>0+1+1</f>
        <v>2</v>
      </c>
      <c r="W30" s="1">
        <v>30</v>
      </c>
    </row>
    <row r="31" spans="1:37">
      <c r="A31" t="s">
        <v>149</v>
      </c>
      <c r="I31" s="14" t="s">
        <v>164</v>
      </c>
      <c r="J31" s="2">
        <f t="shared" si="2"/>
        <v>2.0999999999999996</v>
      </c>
      <c r="K31" s="2">
        <f t="shared" si="3"/>
        <v>4</v>
      </c>
      <c r="L31" s="1">
        <f>0+3</f>
        <v>3</v>
      </c>
      <c r="M31" s="1">
        <f>0+4</f>
        <v>4</v>
      </c>
      <c r="N31" s="1">
        <f>0+1</f>
        <v>1</v>
      </c>
      <c r="W31" s="1">
        <v>31</v>
      </c>
    </row>
    <row r="32" spans="1:37">
      <c r="I32" s="14" t="s">
        <v>178</v>
      </c>
      <c r="J32" s="2">
        <f t="shared" si="2"/>
        <v>2.0999999999999996</v>
      </c>
      <c r="K32" s="2">
        <f t="shared" si="3"/>
        <v>1</v>
      </c>
      <c r="L32" s="1">
        <f>0+3</f>
        <v>3</v>
      </c>
      <c r="M32" s="1">
        <f>0+1</f>
        <v>1</v>
      </c>
      <c r="N32" s="1">
        <f>0+1</f>
        <v>1</v>
      </c>
      <c r="W32" s="1">
        <v>32</v>
      </c>
    </row>
    <row r="33" spans="9:23">
      <c r="I33" s="14" t="s">
        <v>160</v>
      </c>
      <c r="J33" s="2">
        <f t="shared" si="2"/>
        <v>0.7</v>
      </c>
      <c r="K33" s="2">
        <f t="shared" si="3"/>
        <v>0</v>
      </c>
      <c r="L33" s="1">
        <f>0+1</f>
        <v>1</v>
      </c>
      <c r="M33" s="1">
        <f>0+0</f>
        <v>0</v>
      </c>
      <c r="N33" s="1">
        <f>0+1</f>
        <v>1</v>
      </c>
      <c r="W33" s="1">
        <v>33</v>
      </c>
    </row>
    <row r="34" spans="9:23">
      <c r="I34" s="14" t="s">
        <v>158</v>
      </c>
      <c r="J34" s="2">
        <f t="shared" si="2"/>
        <v>0</v>
      </c>
      <c r="K34" s="2">
        <f t="shared" si="3"/>
        <v>-1</v>
      </c>
      <c r="L34" s="1">
        <f>0+0</f>
        <v>0</v>
      </c>
      <c r="M34" s="1">
        <f>0+-1</f>
        <v>-1</v>
      </c>
      <c r="N34" s="1">
        <f>0+1</f>
        <v>1</v>
      </c>
      <c r="W34" s="1">
        <v>34</v>
      </c>
    </row>
    <row r="35" spans="9:23">
      <c r="I35"/>
      <c r="W35" s="1">
        <v>35</v>
      </c>
    </row>
    <row r="36" spans="9:23">
      <c r="I36"/>
      <c r="W36" s="1">
        <v>36</v>
      </c>
    </row>
    <row r="37" spans="9:23">
      <c r="I37"/>
      <c r="W37" s="1">
        <v>37</v>
      </c>
    </row>
    <row r="38" spans="9:23">
      <c r="I38"/>
      <c r="W38" s="1">
        <v>38</v>
      </c>
    </row>
    <row r="39" spans="9:23">
      <c r="I39"/>
      <c r="W39" s="1">
        <v>39</v>
      </c>
    </row>
    <row r="40" spans="9:23">
      <c r="I40"/>
      <c r="W40" s="1">
        <v>40</v>
      </c>
    </row>
    <row r="41" spans="9:23">
      <c r="I41"/>
      <c r="W41" s="1">
        <v>41</v>
      </c>
    </row>
    <row r="42" spans="9:23">
      <c r="I42"/>
      <c r="W42" s="1">
        <v>42</v>
      </c>
    </row>
    <row r="43" spans="9:23">
      <c r="I43"/>
      <c r="W43" s="1">
        <v>43</v>
      </c>
    </row>
    <row r="44" spans="9:23">
      <c r="I44"/>
      <c r="W44" s="1">
        <v>44</v>
      </c>
    </row>
    <row r="45" spans="9:23">
      <c r="I45"/>
      <c r="W45" s="1">
        <v>45</v>
      </c>
    </row>
    <row r="46" spans="9:23">
      <c r="I46"/>
      <c r="W46" s="1">
        <v>46</v>
      </c>
    </row>
    <row r="47" spans="9:23">
      <c r="I47"/>
      <c r="W47" s="1">
        <v>47</v>
      </c>
    </row>
    <row r="48" spans="9:23">
      <c r="I48"/>
      <c r="W48" s="1">
        <v>48</v>
      </c>
    </row>
    <row r="49" spans="9:23">
      <c r="I49"/>
      <c r="W49" s="1">
        <v>49</v>
      </c>
    </row>
    <row r="50" spans="9:23">
      <c r="I50"/>
      <c r="W50" s="1">
        <v>50</v>
      </c>
    </row>
    <row r="51" spans="9:23">
      <c r="I51"/>
      <c r="W51" s="1">
        <v>51</v>
      </c>
    </row>
    <row r="52" spans="9:23">
      <c r="I52"/>
      <c r="W52" s="1">
        <v>52</v>
      </c>
    </row>
    <row r="53" spans="9:23">
      <c r="I53"/>
      <c r="W53" s="1">
        <v>53</v>
      </c>
    </row>
    <row r="54" spans="9:23">
      <c r="I54"/>
      <c r="W54" s="1">
        <v>54</v>
      </c>
    </row>
    <row r="55" spans="9:23">
      <c r="I55"/>
      <c r="W55" s="1">
        <v>55</v>
      </c>
    </row>
    <row r="56" spans="9:23">
      <c r="I56"/>
      <c r="W56" s="1">
        <v>56</v>
      </c>
    </row>
    <row r="57" spans="9:23">
      <c r="I57"/>
      <c r="W57" s="1">
        <v>57</v>
      </c>
    </row>
    <row r="58" spans="9:23">
      <c r="I58"/>
      <c r="W58" s="1">
        <v>58</v>
      </c>
    </row>
    <row r="59" spans="9:23">
      <c r="I59"/>
      <c r="W59" s="1">
        <v>59</v>
      </c>
    </row>
    <row r="60" spans="9:23">
      <c r="I60"/>
      <c r="W60" s="1">
        <v>60</v>
      </c>
    </row>
    <row r="61" spans="9:23">
      <c r="I61"/>
      <c r="W61" s="1">
        <v>61</v>
      </c>
    </row>
    <row r="62" spans="9:23">
      <c r="I62"/>
      <c r="W62" s="1">
        <v>62</v>
      </c>
    </row>
    <row r="63" spans="9:23">
      <c r="W63" s="1">
        <v>63</v>
      </c>
    </row>
    <row r="64" spans="9:23">
      <c r="W64" s="1">
        <v>64</v>
      </c>
    </row>
    <row r="65" spans="23:23">
      <c r="W65" s="1">
        <v>65</v>
      </c>
    </row>
    <row r="66" spans="23:23">
      <c r="W66" s="1">
        <v>66</v>
      </c>
    </row>
    <row r="67" spans="23:23">
      <c r="W67" s="1">
        <v>67</v>
      </c>
    </row>
    <row r="68" spans="23:23">
      <c r="W68" s="1">
        <v>68</v>
      </c>
    </row>
    <row r="69" spans="23:23">
      <c r="W69" s="1">
        <v>69</v>
      </c>
    </row>
    <row r="70" spans="23:23">
      <c r="W70" s="1">
        <v>70</v>
      </c>
    </row>
    <row r="71" spans="23:23">
      <c r="W71" s="1">
        <v>71</v>
      </c>
    </row>
    <row r="72" spans="23:23">
      <c r="W72" s="1">
        <v>72</v>
      </c>
    </row>
    <row r="73" spans="23:23">
      <c r="W73" s="1">
        <v>73</v>
      </c>
    </row>
    <row r="74" spans="23:23">
      <c r="W74" s="1">
        <v>74</v>
      </c>
    </row>
    <row r="75" spans="23:23">
      <c r="W75" s="1">
        <v>75</v>
      </c>
    </row>
    <row r="76" spans="23:23">
      <c r="W76" s="1">
        <v>76</v>
      </c>
    </row>
    <row r="77" spans="23:23">
      <c r="W77" s="1">
        <v>77</v>
      </c>
    </row>
    <row r="78" spans="23:23">
      <c r="W78" s="1">
        <v>78</v>
      </c>
    </row>
    <row r="79" spans="23:23">
      <c r="W79" s="1">
        <v>79</v>
      </c>
    </row>
    <row r="80" spans="23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sortState ref="I1:N99">
    <sortCondition descending="1" ref="J1:J99"/>
    <sortCondition descending="1" ref="K1:K99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K99"/>
  <sheetViews>
    <sheetView zoomScale="73" zoomScaleNormal="73" workbookViewId="0">
      <selection activeCell="Q14" sqref="Q14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style="14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4.85546875" style="1" customWidth="1"/>
    <col min="29" max="29" width="2.140625" style="8" customWidth="1"/>
    <col min="30" max="31" width="4.85546875" style="1" customWidth="1"/>
    <col min="32" max="32" width="2.140625" style="8" customWidth="1"/>
    <col min="33" max="33" width="4.85546875" style="18" customWidth="1"/>
    <col min="34" max="34" width="2.140625" style="8" customWidth="1"/>
    <col min="35" max="35" width="9.7109375" customWidth="1"/>
    <col min="36" max="37" width="4.28515625" style="1" customWidth="1"/>
  </cols>
  <sheetData>
    <row r="1" spans="1:35">
      <c r="A1" s="4" t="s">
        <v>84</v>
      </c>
      <c r="B1" s="4" t="s">
        <v>125</v>
      </c>
      <c r="C1" s="5">
        <v>3</v>
      </c>
      <c r="D1" s="5">
        <v>2</v>
      </c>
      <c r="E1" s="1">
        <f t="shared" ref="E1:E8" si="0">C1-D1</f>
        <v>1</v>
      </c>
      <c r="F1" s="1">
        <f t="shared" ref="F1:F8" si="1">D1-C1</f>
        <v>-1</v>
      </c>
      <c r="G1" s="10">
        <v>0.875</v>
      </c>
      <c r="H1" s="17"/>
      <c r="I1" s="14" t="s">
        <v>90</v>
      </c>
      <c r="J1" s="2">
        <f t="shared" ref="J1:J34" si="2">(L1/N1)*IF(N1&gt;5,1,IF(N1=5,0.9,IF(N1=4,0.8,0.7)))</f>
        <v>2.3400000000000003</v>
      </c>
      <c r="K1" s="2">
        <f t="shared" ref="K1:K34" si="3">M1/N1</f>
        <v>2.6</v>
      </c>
      <c r="L1" s="1">
        <f>0+1+3+3+3+3</f>
        <v>13</v>
      </c>
      <c r="M1" s="1">
        <f>0+0+2+3+3+5</f>
        <v>13</v>
      </c>
      <c r="N1" s="1">
        <f>0+1+1+1+1+1</f>
        <v>5</v>
      </c>
      <c r="V1" s="1"/>
      <c r="W1" s="1">
        <v>1</v>
      </c>
      <c r="X1" s="12" t="s">
        <v>58</v>
      </c>
      <c r="Y1" s="4" t="s">
        <v>38</v>
      </c>
      <c r="AA1" s="18" t="s">
        <v>198</v>
      </c>
      <c r="AB1" s="18" t="s">
        <v>113</v>
      </c>
      <c r="AE1" s="1">
        <v>25</v>
      </c>
      <c r="AI1" s="12"/>
    </row>
    <row r="2" spans="1:35">
      <c r="A2" s="4" t="s">
        <v>138</v>
      </c>
      <c r="B2" s="4" t="s">
        <v>139</v>
      </c>
      <c r="C2" s="5">
        <v>1</v>
      </c>
      <c r="D2" s="5">
        <v>0</v>
      </c>
      <c r="E2" s="1">
        <f t="shared" si="0"/>
        <v>1</v>
      </c>
      <c r="F2" s="1">
        <f t="shared" si="1"/>
        <v>-1</v>
      </c>
      <c r="G2" s="10">
        <v>0.875</v>
      </c>
      <c r="H2" s="17"/>
      <c r="I2" s="14" t="s">
        <v>123</v>
      </c>
      <c r="J2" s="2">
        <f t="shared" si="2"/>
        <v>1.9800000000000002</v>
      </c>
      <c r="K2" s="2">
        <f t="shared" si="3"/>
        <v>1.2</v>
      </c>
      <c r="L2" s="1">
        <f>0+1+3+3+1+3</f>
        <v>11</v>
      </c>
      <c r="M2" s="1">
        <f>0+0+1+4+0+1</f>
        <v>6</v>
      </c>
      <c r="N2" s="1">
        <f>0+1+1+1+1+1</f>
        <v>5</v>
      </c>
      <c r="W2" s="1">
        <v>2</v>
      </c>
      <c r="X2" s="12" t="s">
        <v>58</v>
      </c>
      <c r="Y2" s="4" t="s">
        <v>38</v>
      </c>
      <c r="AA2" s="18" t="s">
        <v>118</v>
      </c>
      <c r="AB2" s="18" t="s">
        <v>113</v>
      </c>
      <c r="AD2" s="1">
        <v>20</v>
      </c>
      <c r="AE2" s="1">
        <v>10</v>
      </c>
      <c r="AI2" s="12"/>
    </row>
    <row r="3" spans="1:35">
      <c r="A3" s="4" t="s">
        <v>126</v>
      </c>
      <c r="B3" s="4" t="s">
        <v>123</v>
      </c>
      <c r="C3" s="5">
        <v>2</v>
      </c>
      <c r="D3" s="5">
        <v>3</v>
      </c>
      <c r="E3" s="1">
        <f t="shared" si="0"/>
        <v>-1</v>
      </c>
      <c r="F3" s="1">
        <f t="shared" si="1"/>
        <v>1</v>
      </c>
      <c r="G3" s="10">
        <v>0.875</v>
      </c>
      <c r="H3" s="17"/>
      <c r="I3" s="14" t="s">
        <v>95</v>
      </c>
      <c r="J3" s="2">
        <f t="shared" si="2"/>
        <v>1.6666666666666667</v>
      </c>
      <c r="K3" s="2">
        <f t="shared" si="3"/>
        <v>1</v>
      </c>
      <c r="L3" s="1">
        <f>0+0+3+3+3+0+1</f>
        <v>10</v>
      </c>
      <c r="M3" s="1">
        <f>0+-1+5+3+1+-2+0</f>
        <v>6</v>
      </c>
      <c r="N3" s="1">
        <f>0+1+1+1+1+1+1</f>
        <v>6</v>
      </c>
      <c r="W3" s="1">
        <v>3</v>
      </c>
      <c r="X3" s="12" t="s">
        <v>58</v>
      </c>
      <c r="Y3" s="4" t="s">
        <v>38</v>
      </c>
      <c r="AA3" s="18" t="s">
        <v>128</v>
      </c>
      <c r="AB3" s="18" t="s">
        <v>120</v>
      </c>
      <c r="AD3" s="1">
        <v>6</v>
      </c>
      <c r="AE3" s="1">
        <v>5</v>
      </c>
      <c r="AI3" s="12"/>
    </row>
    <row r="4" spans="1:35">
      <c r="A4" s="4" t="s">
        <v>164</v>
      </c>
      <c r="B4" s="4" t="s">
        <v>93</v>
      </c>
      <c r="C4" s="5">
        <v>4</v>
      </c>
      <c r="D4" s="5">
        <v>0</v>
      </c>
      <c r="E4" s="1">
        <f t="shared" si="0"/>
        <v>4</v>
      </c>
      <c r="F4" s="1">
        <f t="shared" si="1"/>
        <v>-4</v>
      </c>
      <c r="G4" s="10">
        <v>0.875</v>
      </c>
      <c r="H4" s="17"/>
      <c r="I4" s="14" t="s">
        <v>163</v>
      </c>
      <c r="J4" s="2">
        <f t="shared" si="2"/>
        <v>1.6333333333333333</v>
      </c>
      <c r="K4" s="2">
        <f t="shared" si="3"/>
        <v>2</v>
      </c>
      <c r="L4" s="1">
        <f>0+3+1+3</f>
        <v>7</v>
      </c>
      <c r="M4" s="1">
        <f>0+1+0+5</f>
        <v>6</v>
      </c>
      <c r="N4" s="1">
        <f>0+1+1+1</f>
        <v>3</v>
      </c>
      <c r="V4" s="1"/>
      <c r="W4" s="1">
        <v>4</v>
      </c>
      <c r="X4" s="12" t="s">
        <v>58</v>
      </c>
      <c r="Y4" s="4" t="s">
        <v>38</v>
      </c>
      <c r="AA4" s="18" t="s">
        <v>128</v>
      </c>
      <c r="AB4" s="18" t="s">
        <v>120</v>
      </c>
      <c r="AE4" s="1">
        <v>15</v>
      </c>
      <c r="AI4" s="12"/>
    </row>
    <row r="5" spans="1:35">
      <c r="A5" s="4" t="s">
        <v>132</v>
      </c>
      <c r="B5" s="4" t="s">
        <v>163</v>
      </c>
      <c r="C5" s="5">
        <v>0</v>
      </c>
      <c r="D5" s="5">
        <v>5</v>
      </c>
      <c r="E5" s="1">
        <f t="shared" si="0"/>
        <v>-5</v>
      </c>
      <c r="F5" s="1">
        <f t="shared" si="1"/>
        <v>5</v>
      </c>
      <c r="G5" s="10">
        <v>0.875</v>
      </c>
      <c r="H5" s="17"/>
      <c r="I5" s="14" t="s">
        <v>89</v>
      </c>
      <c r="J5" s="2">
        <f t="shared" si="2"/>
        <v>1.6333333333333333</v>
      </c>
      <c r="K5" s="2">
        <f t="shared" si="3"/>
        <v>1</v>
      </c>
      <c r="L5" s="1">
        <f>0+1+3+3</f>
        <v>7</v>
      </c>
      <c r="M5" s="1">
        <f>0+0+1+2</f>
        <v>3</v>
      </c>
      <c r="N5" s="1">
        <f>0+1+1+1</f>
        <v>3</v>
      </c>
      <c r="W5" s="1">
        <v>5</v>
      </c>
      <c r="X5" s="12" t="s">
        <v>58</v>
      </c>
      <c r="Y5" s="4" t="s">
        <v>38</v>
      </c>
      <c r="AA5" s="18" t="s">
        <v>199</v>
      </c>
      <c r="AB5" s="18" t="s">
        <v>113</v>
      </c>
      <c r="AD5" s="1">
        <v>8</v>
      </c>
      <c r="AI5" s="12"/>
    </row>
    <row r="6" spans="1:35">
      <c r="A6" s="4"/>
      <c r="B6" s="4"/>
      <c r="C6" s="5"/>
      <c r="D6" s="5"/>
      <c r="E6" s="1">
        <f t="shared" si="0"/>
        <v>0</v>
      </c>
      <c r="F6" s="1">
        <f t="shared" si="1"/>
        <v>0</v>
      </c>
      <c r="G6" s="10"/>
      <c r="H6" s="17"/>
      <c r="I6" s="14" t="s">
        <v>167</v>
      </c>
      <c r="J6" s="2">
        <f t="shared" si="2"/>
        <v>1.6333333333333333</v>
      </c>
      <c r="K6" s="2">
        <f t="shared" si="3"/>
        <v>0.66666666666666663</v>
      </c>
      <c r="L6" s="1">
        <f>0+1+3+3</f>
        <v>7</v>
      </c>
      <c r="M6" s="1">
        <f>0+0+1+1</f>
        <v>2</v>
      </c>
      <c r="N6" s="1">
        <f>0+1+1+1</f>
        <v>3</v>
      </c>
      <c r="W6" s="1">
        <v>6</v>
      </c>
      <c r="X6" s="12"/>
      <c r="Y6" s="4"/>
      <c r="AA6" s="18"/>
      <c r="AB6" s="18"/>
      <c r="AD6" s="18"/>
      <c r="AI6" s="12"/>
    </row>
    <row r="7" spans="1:35">
      <c r="A7" s="4"/>
      <c r="B7" s="4"/>
      <c r="C7" s="5"/>
      <c r="D7" s="5"/>
      <c r="E7" s="1">
        <f t="shared" si="0"/>
        <v>0</v>
      </c>
      <c r="F7" s="1">
        <f t="shared" si="1"/>
        <v>0</v>
      </c>
      <c r="G7" s="10"/>
      <c r="H7" s="17"/>
      <c r="I7" s="14" t="s">
        <v>85</v>
      </c>
      <c r="J7" s="2">
        <f t="shared" si="2"/>
        <v>1.5714285714285714</v>
      </c>
      <c r="K7" s="2">
        <f t="shared" si="3"/>
        <v>0.5714285714285714</v>
      </c>
      <c r="L7" s="1">
        <f>0+1+3+1+3+3+0+0</f>
        <v>11</v>
      </c>
      <c r="M7" s="1">
        <f>0+0+2+0+1+3+-1+-1</f>
        <v>4</v>
      </c>
      <c r="N7" s="1">
        <f>0+1+1+1+1+1+1+1</f>
        <v>7</v>
      </c>
      <c r="W7" s="1">
        <v>7</v>
      </c>
      <c r="X7" s="12"/>
      <c r="Y7" s="4"/>
      <c r="AA7" s="18"/>
      <c r="AB7" s="18"/>
      <c r="AD7" s="18"/>
      <c r="AE7" s="18"/>
      <c r="AI7" s="12"/>
    </row>
    <row r="8" spans="1:35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10"/>
      <c r="H8" s="17"/>
      <c r="I8" s="14" t="s">
        <v>126</v>
      </c>
      <c r="J8" s="2">
        <f t="shared" si="2"/>
        <v>1.4400000000000002</v>
      </c>
      <c r="K8" s="2">
        <f t="shared" si="3"/>
        <v>0.4</v>
      </c>
      <c r="L8" s="1">
        <f>0+1+1+3+3+0</f>
        <v>8</v>
      </c>
      <c r="M8" s="1">
        <f>0+0+0+1+2+-1</f>
        <v>2</v>
      </c>
      <c r="N8" s="1">
        <f>0+1+1+1+1+1</f>
        <v>5</v>
      </c>
      <c r="W8" s="1">
        <v>8</v>
      </c>
      <c r="X8" s="12"/>
      <c r="Y8" s="4"/>
      <c r="AA8" s="18"/>
      <c r="AB8" s="18"/>
      <c r="AD8" s="18"/>
      <c r="AE8" s="18"/>
      <c r="AI8" s="12"/>
    </row>
    <row r="9" spans="1:35">
      <c r="A9" t="s">
        <v>6</v>
      </c>
      <c r="C9"/>
      <c r="D9"/>
      <c r="E9"/>
      <c r="F9"/>
      <c r="G9" s="15"/>
      <c r="H9" s="7"/>
      <c r="I9" s="14" t="s">
        <v>84</v>
      </c>
      <c r="J9" s="2">
        <f t="shared" si="2"/>
        <v>1.4</v>
      </c>
      <c r="K9" s="2">
        <f t="shared" si="3"/>
        <v>0.66666666666666663</v>
      </c>
      <c r="L9" s="1">
        <f>0+0+3+3</f>
        <v>6</v>
      </c>
      <c r="M9" s="1">
        <f>0-1+2+1</f>
        <v>2</v>
      </c>
      <c r="N9" s="1">
        <f>0+1+1+1</f>
        <v>3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/>
      <c r="AE9" s="3"/>
      <c r="AI9" s="16" t="s">
        <v>194</v>
      </c>
    </row>
    <row r="10" spans="1:35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I10" s="14" t="s">
        <v>140</v>
      </c>
      <c r="J10" s="2">
        <f t="shared" si="2"/>
        <v>1.4</v>
      </c>
      <c r="K10" s="2">
        <f t="shared" si="3"/>
        <v>0.33333333333333331</v>
      </c>
      <c r="L10" s="1">
        <f>0+0+3+3</f>
        <v>6</v>
      </c>
      <c r="M10" s="1">
        <f>0+-2+1+2</f>
        <v>1</v>
      </c>
      <c r="N10" s="1">
        <f>0+1+1+1</f>
        <v>3</v>
      </c>
      <c r="W10" s="1">
        <v>10</v>
      </c>
      <c r="X10" s="13" t="s">
        <v>54</v>
      </c>
      <c r="Y10" t="s">
        <v>38</v>
      </c>
    </row>
    <row r="11" spans="1:35">
      <c r="A11" t="s">
        <v>7</v>
      </c>
      <c r="C11"/>
      <c r="D11"/>
      <c r="E11"/>
      <c r="F11"/>
      <c r="I11" s="20" t="s">
        <v>132</v>
      </c>
      <c r="J11" s="2">
        <f t="shared" si="2"/>
        <v>1.3333333333333333</v>
      </c>
      <c r="K11" s="2">
        <f t="shared" si="3"/>
        <v>-0.33333333333333331</v>
      </c>
      <c r="L11" s="1">
        <f>0+3+0+3+1+1+0</f>
        <v>8</v>
      </c>
      <c r="M11" s="1">
        <f>0+1+-1+3+0+0+-5</f>
        <v>-2</v>
      </c>
      <c r="N11" s="1">
        <f>0+1+1+1+1+1+1</f>
        <v>6</v>
      </c>
      <c r="W11" s="1">
        <v>11</v>
      </c>
      <c r="X11" s="13" t="s">
        <v>55</v>
      </c>
      <c r="Y11" t="s">
        <v>39</v>
      </c>
    </row>
    <row r="12" spans="1:35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I12" s="14" t="s">
        <v>96</v>
      </c>
      <c r="J12" s="2">
        <f t="shared" si="2"/>
        <v>1.1666666666666667</v>
      </c>
      <c r="K12" s="2">
        <f t="shared" si="3"/>
        <v>0.33333333333333331</v>
      </c>
      <c r="L12" s="1">
        <f>0+1+1+3</f>
        <v>5</v>
      </c>
      <c r="M12" s="1">
        <f>0+0+0+1</f>
        <v>1</v>
      </c>
      <c r="N12" s="1">
        <f>0+1+1+1</f>
        <v>3</v>
      </c>
      <c r="W12" s="1">
        <v>12</v>
      </c>
      <c r="X12" s="13" t="s">
        <v>25</v>
      </c>
      <c r="Y12" t="s">
        <v>40</v>
      </c>
    </row>
    <row r="13" spans="1:35">
      <c r="A13" t="s">
        <v>15</v>
      </c>
      <c r="C13"/>
      <c r="D13"/>
      <c r="E13"/>
      <c r="F13"/>
      <c r="I13" s="14" t="s">
        <v>139</v>
      </c>
      <c r="J13" s="2">
        <f t="shared" si="2"/>
        <v>1.1666666666666667</v>
      </c>
      <c r="K13" s="2">
        <f t="shared" si="3"/>
        <v>0</v>
      </c>
      <c r="L13" s="1">
        <f>0+3+0+1+0+3+0</f>
        <v>7</v>
      </c>
      <c r="M13" s="1">
        <f>0+2+-1+0+-1+1+-1</f>
        <v>0</v>
      </c>
      <c r="N13" s="1">
        <f>0+1+1+1+1+1+1</f>
        <v>6</v>
      </c>
      <c r="W13" s="1">
        <v>13</v>
      </c>
      <c r="X13" s="13" t="s">
        <v>29</v>
      </c>
      <c r="Y13" t="s">
        <v>45</v>
      </c>
    </row>
    <row r="14" spans="1:35">
      <c r="A14" s="3" t="s">
        <v>30</v>
      </c>
      <c r="C14"/>
      <c r="D14"/>
      <c r="E14"/>
      <c r="F14"/>
      <c r="I14" s="14" t="s">
        <v>124</v>
      </c>
      <c r="J14" s="2">
        <f t="shared" si="2"/>
        <v>1</v>
      </c>
      <c r="K14" s="2">
        <f t="shared" si="3"/>
        <v>-0.25</v>
      </c>
      <c r="L14" s="1">
        <f>0+3+1+1+0</f>
        <v>5</v>
      </c>
      <c r="M14" s="1">
        <f>0+1+0+0+-2</f>
        <v>-1</v>
      </c>
      <c r="N14" s="1">
        <f>0+1+1+1+1</f>
        <v>4</v>
      </c>
      <c r="W14" s="1">
        <v>14</v>
      </c>
      <c r="X14" s="13" t="s">
        <v>56</v>
      </c>
      <c r="Y14" t="s">
        <v>42</v>
      </c>
    </row>
    <row r="15" spans="1:35">
      <c r="A15" t="s">
        <v>133</v>
      </c>
      <c r="C15"/>
      <c r="D15"/>
      <c r="E15"/>
      <c r="F15"/>
      <c r="I15" s="14" t="s">
        <v>138</v>
      </c>
      <c r="J15" s="2">
        <f t="shared" si="2"/>
        <v>1</v>
      </c>
      <c r="K15" s="2">
        <f t="shared" si="3"/>
        <v>-0.75</v>
      </c>
      <c r="L15" s="1">
        <f>0+1+1+0+3</f>
        <v>5</v>
      </c>
      <c r="M15" s="1">
        <f>0+0+0+-4+1</f>
        <v>-3</v>
      </c>
      <c r="N15" s="1">
        <f>0+1+1+1+1</f>
        <v>4</v>
      </c>
      <c r="W15" s="1">
        <v>15</v>
      </c>
      <c r="X15" s="13" t="s">
        <v>57</v>
      </c>
      <c r="Y15" t="s">
        <v>43</v>
      </c>
    </row>
    <row r="16" spans="1:35">
      <c r="A16" t="s">
        <v>23</v>
      </c>
      <c r="C16"/>
      <c r="D16"/>
      <c r="E16"/>
      <c r="F16"/>
      <c r="I16" s="14" t="s">
        <v>83</v>
      </c>
      <c r="J16" s="2">
        <f t="shared" si="2"/>
        <v>0.93333333333333324</v>
      </c>
      <c r="K16" s="2">
        <f t="shared" si="3"/>
        <v>0</v>
      </c>
      <c r="L16" s="1">
        <f>0+3+1+0</f>
        <v>4</v>
      </c>
      <c r="M16" s="1">
        <f>0+1+0+-1</f>
        <v>0</v>
      </c>
      <c r="N16" s="1">
        <f>0+1+1+1</f>
        <v>3</v>
      </c>
      <c r="W16" s="1">
        <v>16</v>
      </c>
      <c r="X16" s="13" t="s">
        <v>58</v>
      </c>
      <c r="Y16" t="s">
        <v>44</v>
      </c>
    </row>
    <row r="17" spans="1:25">
      <c r="A17" t="s">
        <v>134</v>
      </c>
      <c r="I17" s="14" t="s">
        <v>86</v>
      </c>
      <c r="J17" s="2">
        <f t="shared" si="2"/>
        <v>0.83333333333333337</v>
      </c>
      <c r="K17" s="2">
        <f t="shared" si="3"/>
        <v>-0.16666666666666666</v>
      </c>
      <c r="L17" s="1">
        <f>0+1+1+1+1+1+0</f>
        <v>5</v>
      </c>
      <c r="M17" s="1">
        <f>0+0+0+0+0+0+-1</f>
        <v>-1</v>
      </c>
      <c r="N17" s="1">
        <f>0+1+1+1+1+1+1</f>
        <v>6</v>
      </c>
      <c r="W17" s="1">
        <v>17</v>
      </c>
      <c r="X17" s="13" t="s">
        <v>59</v>
      </c>
      <c r="Y17" t="s">
        <v>46</v>
      </c>
    </row>
    <row r="18" spans="1:25">
      <c r="A18" t="s">
        <v>33</v>
      </c>
      <c r="C18"/>
      <c r="D18"/>
      <c r="E18"/>
      <c r="F18"/>
      <c r="I18" s="14" t="s">
        <v>94</v>
      </c>
      <c r="J18" s="2">
        <f t="shared" si="2"/>
        <v>0.7</v>
      </c>
      <c r="K18" s="2">
        <f t="shared" si="3"/>
        <v>-1.3333333333333333</v>
      </c>
      <c r="L18" s="1">
        <f>0+3+0+0</f>
        <v>3</v>
      </c>
      <c r="M18" s="1">
        <f>0+1+-3+-2</f>
        <v>-4</v>
      </c>
      <c r="N18" s="1">
        <f>0+1+1+1</f>
        <v>3</v>
      </c>
      <c r="W18" s="1">
        <v>18</v>
      </c>
      <c r="X18" s="13" t="s">
        <v>60</v>
      </c>
      <c r="Y18" t="s">
        <v>47</v>
      </c>
    </row>
    <row r="19" spans="1:25">
      <c r="B19" t="s">
        <v>180</v>
      </c>
      <c r="I19" s="14" t="s">
        <v>114</v>
      </c>
      <c r="J19" s="2">
        <f t="shared" si="2"/>
        <v>0.7</v>
      </c>
      <c r="K19" s="2">
        <f t="shared" si="3"/>
        <v>-1.6666666666666667</v>
      </c>
      <c r="L19" s="1">
        <f>0+0+0+3</f>
        <v>3</v>
      </c>
      <c r="M19" s="1">
        <f>0+-2+-5+2</f>
        <v>-5</v>
      </c>
      <c r="N19" s="1">
        <f>0+1+1+1</f>
        <v>3</v>
      </c>
      <c r="W19" s="1">
        <v>19</v>
      </c>
      <c r="X19" s="13" t="s">
        <v>26</v>
      </c>
      <c r="Y19" t="s">
        <v>48</v>
      </c>
    </row>
    <row r="20" spans="1:25">
      <c r="A20" t="s">
        <v>135</v>
      </c>
      <c r="I20" s="14" t="s">
        <v>93</v>
      </c>
      <c r="J20" s="2">
        <f t="shared" si="2"/>
        <v>0.60000000000000009</v>
      </c>
      <c r="K20" s="2">
        <f t="shared" si="3"/>
        <v>-1.5</v>
      </c>
      <c r="L20" s="1">
        <f>0+0+0+3+0</f>
        <v>3</v>
      </c>
      <c r="M20" s="1">
        <f>0+-2+-1+1+-4</f>
        <v>-6</v>
      </c>
      <c r="N20" s="1">
        <f>0+1+1+1+1</f>
        <v>4</v>
      </c>
      <c r="W20" s="1">
        <v>20</v>
      </c>
      <c r="X20" s="13" t="s">
        <v>61</v>
      </c>
      <c r="Y20" t="s">
        <v>49</v>
      </c>
    </row>
    <row r="21" spans="1:25">
      <c r="A21" t="s">
        <v>19</v>
      </c>
      <c r="I21" s="14" t="s">
        <v>161</v>
      </c>
      <c r="J21" s="2">
        <f t="shared" si="2"/>
        <v>0.46666666666666662</v>
      </c>
      <c r="K21" s="2">
        <f t="shared" si="3"/>
        <v>-0.33333333333333331</v>
      </c>
      <c r="L21" s="1">
        <f>0+1+1+0</f>
        <v>2</v>
      </c>
      <c r="M21" s="1">
        <f>0+0+0+-1</f>
        <v>-1</v>
      </c>
      <c r="N21" s="1">
        <f>0+1+1+1</f>
        <v>3</v>
      </c>
      <c r="W21" s="1">
        <v>21</v>
      </c>
      <c r="X21" s="13" t="s">
        <v>62</v>
      </c>
      <c r="Y21" t="s">
        <v>50</v>
      </c>
    </row>
    <row r="22" spans="1:25">
      <c r="B22" t="s">
        <v>20</v>
      </c>
      <c r="I22" s="14" t="s">
        <v>155</v>
      </c>
      <c r="J22" s="2">
        <f t="shared" si="2"/>
        <v>0.46666666666666662</v>
      </c>
      <c r="K22" s="2">
        <f t="shared" si="3"/>
        <v>-0.33333333333333331</v>
      </c>
      <c r="L22" s="1">
        <f>0+1+1+0</f>
        <v>2</v>
      </c>
      <c r="M22" s="1">
        <f>0+0+0+-1</f>
        <v>-1</v>
      </c>
      <c r="N22" s="1">
        <f>0+1+1+1</f>
        <v>3</v>
      </c>
      <c r="W22" s="1">
        <v>22</v>
      </c>
      <c r="X22" s="13" t="s">
        <v>63</v>
      </c>
      <c r="Y22" t="s">
        <v>51</v>
      </c>
    </row>
    <row r="23" spans="1:25">
      <c r="B23" t="s">
        <v>88</v>
      </c>
      <c r="I23" s="14" t="s">
        <v>162</v>
      </c>
      <c r="J23" s="2">
        <f t="shared" si="2"/>
        <v>0.4</v>
      </c>
      <c r="K23" s="2">
        <f t="shared" si="3"/>
        <v>-0.75</v>
      </c>
      <c r="L23" s="1">
        <f>0+0+1+1+0</f>
        <v>2</v>
      </c>
      <c r="M23" s="1">
        <f>0+-1+0+0+-2</f>
        <v>-3</v>
      </c>
      <c r="N23" s="1">
        <f>0+1+1+1+1</f>
        <v>4</v>
      </c>
      <c r="W23" s="1">
        <v>23</v>
      </c>
      <c r="X23" s="13" t="s">
        <v>28</v>
      </c>
      <c r="Y23" t="s">
        <v>52</v>
      </c>
    </row>
    <row r="24" spans="1:25">
      <c r="A24" t="s">
        <v>16</v>
      </c>
      <c r="C24"/>
      <c r="D24"/>
      <c r="E24"/>
      <c r="F24"/>
      <c r="I24" s="14" t="s">
        <v>159</v>
      </c>
      <c r="J24" s="2">
        <f t="shared" si="2"/>
        <v>0.4</v>
      </c>
      <c r="K24" s="2">
        <f t="shared" si="3"/>
        <v>-2</v>
      </c>
      <c r="L24" s="1">
        <f>0+1+0+0+1</f>
        <v>2</v>
      </c>
      <c r="M24" s="1">
        <f>0+0+-3+-5+0</f>
        <v>-8</v>
      </c>
      <c r="N24" s="1">
        <f>0+1+1+1+1</f>
        <v>4</v>
      </c>
      <c r="W24" s="1">
        <v>24</v>
      </c>
      <c r="X24" s="13" t="s">
        <v>64</v>
      </c>
      <c r="Y24" t="s">
        <v>53</v>
      </c>
    </row>
    <row r="25" spans="1:25">
      <c r="A25" t="s">
        <v>17</v>
      </c>
      <c r="B25" s="2" t="e">
        <f t="shared" ref="B25" si="4">(D25/F25)*IF(F25&gt;5,1,IF(F25=5,0.9,IF(F25=4,0.8,0.7)))</f>
        <v>#DIV/0!</v>
      </c>
      <c r="C25" s="2" t="e">
        <f t="shared" ref="C25" si="5">E25/F25</f>
        <v>#DIV/0!</v>
      </c>
      <c r="D25" s="1">
        <f>0</f>
        <v>0</v>
      </c>
      <c r="E25" s="1">
        <f>0</f>
        <v>0</v>
      </c>
      <c r="F25" s="1">
        <f>0</f>
        <v>0</v>
      </c>
      <c r="I25" s="14" t="s">
        <v>157</v>
      </c>
      <c r="J25" s="2">
        <f t="shared" si="2"/>
        <v>0.23333333333333331</v>
      </c>
      <c r="K25" s="2">
        <f t="shared" si="3"/>
        <v>-1.6666666666666667</v>
      </c>
      <c r="L25" s="1">
        <f>0+0+1+0</f>
        <v>1</v>
      </c>
      <c r="M25" s="1">
        <f>0+-3+0+-2</f>
        <v>-5</v>
      </c>
      <c r="N25" s="1">
        <f>0+1+1+1</f>
        <v>3</v>
      </c>
      <c r="W25" s="1">
        <v>25</v>
      </c>
      <c r="X25" s="13" t="s">
        <v>65</v>
      </c>
      <c r="Y25" t="s">
        <v>68</v>
      </c>
    </row>
    <row r="26" spans="1:25">
      <c r="A26" t="s">
        <v>18</v>
      </c>
      <c r="B26" t="s">
        <v>136</v>
      </c>
      <c r="I26" s="14" t="s">
        <v>137</v>
      </c>
      <c r="J26" s="2">
        <f t="shared" si="2"/>
        <v>0.23333333333333331</v>
      </c>
      <c r="K26" s="2">
        <f t="shared" si="3"/>
        <v>-1.6666666666666667</v>
      </c>
      <c r="L26" s="1">
        <f>0+1+0+0</f>
        <v>1</v>
      </c>
      <c r="M26" s="1">
        <f>0+0+-4+-1</f>
        <v>-5</v>
      </c>
      <c r="N26" s="1">
        <f>0+1+1+1</f>
        <v>3</v>
      </c>
      <c r="W26" s="1">
        <v>26</v>
      </c>
      <c r="X26" s="13" t="s">
        <v>66</v>
      </c>
      <c r="Y26" t="s">
        <v>69</v>
      </c>
    </row>
    <row r="27" spans="1:25">
      <c r="A27" t="s">
        <v>14</v>
      </c>
      <c r="I27" s="14" t="s">
        <v>125</v>
      </c>
      <c r="J27" s="2">
        <f t="shared" si="2"/>
        <v>0</v>
      </c>
      <c r="K27" s="2">
        <f t="shared" si="3"/>
        <v>-2</v>
      </c>
      <c r="L27" s="1">
        <f>0+0+0+0+0</f>
        <v>0</v>
      </c>
      <c r="M27" s="1">
        <f>0+-1+-3+-3+-1</f>
        <v>-8</v>
      </c>
      <c r="N27" s="1">
        <f>0+1+1+1+1</f>
        <v>4</v>
      </c>
      <c r="W27" s="1">
        <v>27</v>
      </c>
      <c r="X27" s="13" t="s">
        <v>67</v>
      </c>
      <c r="Y27" t="s">
        <v>70</v>
      </c>
    </row>
    <row r="28" spans="1:25">
      <c r="A28" t="s">
        <v>21</v>
      </c>
      <c r="I28" s="14" t="s">
        <v>164</v>
      </c>
      <c r="J28" s="2">
        <f t="shared" si="2"/>
        <v>2.0999999999999996</v>
      </c>
      <c r="K28" s="2">
        <f t="shared" si="3"/>
        <v>4</v>
      </c>
      <c r="L28" s="1">
        <f>0+3+3</f>
        <v>6</v>
      </c>
      <c r="M28" s="1">
        <f>0+4+4</f>
        <v>8</v>
      </c>
      <c r="N28" s="1">
        <f>0+1+1</f>
        <v>2</v>
      </c>
      <c r="W28" s="1">
        <v>28</v>
      </c>
    </row>
    <row r="29" spans="1:25">
      <c r="A29" t="s">
        <v>147</v>
      </c>
      <c r="I29" s="14" t="s">
        <v>156</v>
      </c>
      <c r="J29" s="2">
        <f t="shared" si="2"/>
        <v>1.4</v>
      </c>
      <c r="K29" s="2">
        <f t="shared" si="3"/>
        <v>0.5</v>
      </c>
      <c r="L29" s="1">
        <f>0+1+3</f>
        <v>4</v>
      </c>
      <c r="M29" s="1">
        <f>0+0+1</f>
        <v>1</v>
      </c>
      <c r="N29" s="1">
        <f>0+1+1</f>
        <v>2</v>
      </c>
      <c r="W29" s="1">
        <v>29</v>
      </c>
    </row>
    <row r="30" spans="1:25">
      <c r="A30" t="s">
        <v>148</v>
      </c>
      <c r="I30" s="14" t="s">
        <v>91</v>
      </c>
      <c r="J30" s="2">
        <f t="shared" si="2"/>
        <v>1.0499999999999998</v>
      </c>
      <c r="K30" s="2">
        <f t="shared" si="3"/>
        <v>0</v>
      </c>
      <c r="L30" s="1">
        <f>0+0+3</f>
        <v>3</v>
      </c>
      <c r="M30" s="1">
        <f>0+-1+1</f>
        <v>0</v>
      </c>
      <c r="N30" s="1">
        <f>0+1+1</f>
        <v>2</v>
      </c>
      <c r="W30" s="1">
        <v>30</v>
      </c>
    </row>
    <row r="31" spans="1:25">
      <c r="A31" t="s">
        <v>149</v>
      </c>
      <c r="I31" s="14" t="s">
        <v>171</v>
      </c>
      <c r="J31" s="2">
        <f t="shared" si="2"/>
        <v>0</v>
      </c>
      <c r="K31" s="2">
        <f t="shared" si="3"/>
        <v>-1</v>
      </c>
      <c r="L31" s="1">
        <f>0+0+0</f>
        <v>0</v>
      </c>
      <c r="M31" s="1">
        <f>0+-1+-1</f>
        <v>-2</v>
      </c>
      <c r="N31" s="1">
        <f>0+1+1</f>
        <v>2</v>
      </c>
      <c r="W31" s="1">
        <v>31</v>
      </c>
    </row>
    <row r="32" spans="1:25">
      <c r="I32" s="14" t="s">
        <v>178</v>
      </c>
      <c r="J32" s="2">
        <f t="shared" si="2"/>
        <v>2.0999999999999996</v>
      </c>
      <c r="K32" s="2">
        <f t="shared" si="3"/>
        <v>1</v>
      </c>
      <c r="L32" s="1">
        <f>0+3</f>
        <v>3</v>
      </c>
      <c r="M32" s="1">
        <f>0+1</f>
        <v>1</v>
      </c>
      <c r="N32" s="1">
        <f>0+1</f>
        <v>1</v>
      </c>
      <c r="W32" s="1">
        <v>32</v>
      </c>
    </row>
    <row r="33" spans="9:23">
      <c r="I33" s="14" t="s">
        <v>160</v>
      </c>
      <c r="J33" s="2">
        <f t="shared" si="2"/>
        <v>0.7</v>
      </c>
      <c r="K33" s="2">
        <f t="shared" si="3"/>
        <v>0</v>
      </c>
      <c r="L33" s="1">
        <f>0+1</f>
        <v>1</v>
      </c>
      <c r="M33" s="1">
        <f>0+0</f>
        <v>0</v>
      </c>
      <c r="N33" s="1">
        <f>0+1</f>
        <v>1</v>
      </c>
      <c r="W33" s="1">
        <v>33</v>
      </c>
    </row>
    <row r="34" spans="9:23">
      <c r="I34" s="14" t="s">
        <v>158</v>
      </c>
      <c r="J34" s="2">
        <f t="shared" si="2"/>
        <v>0</v>
      </c>
      <c r="K34" s="2">
        <f t="shared" si="3"/>
        <v>-1</v>
      </c>
      <c r="L34" s="1">
        <f>0+0</f>
        <v>0</v>
      </c>
      <c r="M34" s="1">
        <f>0+-1</f>
        <v>-1</v>
      </c>
      <c r="N34" s="1">
        <f>0+1</f>
        <v>1</v>
      </c>
      <c r="W34" s="1">
        <v>34</v>
      </c>
    </row>
    <row r="35" spans="9:23">
      <c r="I35"/>
      <c r="W35" s="1">
        <v>35</v>
      </c>
    </row>
    <row r="36" spans="9:23">
      <c r="I36"/>
      <c r="W36" s="1">
        <v>36</v>
      </c>
    </row>
    <row r="37" spans="9:23">
      <c r="I37"/>
      <c r="W37" s="1">
        <v>37</v>
      </c>
    </row>
    <row r="38" spans="9:23">
      <c r="I38"/>
      <c r="W38" s="1">
        <v>38</v>
      </c>
    </row>
    <row r="39" spans="9:23">
      <c r="I39"/>
      <c r="W39" s="1">
        <v>39</v>
      </c>
    </row>
    <row r="40" spans="9:23">
      <c r="I40"/>
      <c r="W40" s="1">
        <v>40</v>
      </c>
    </row>
    <row r="41" spans="9:23">
      <c r="I41"/>
      <c r="W41" s="1">
        <v>41</v>
      </c>
    </row>
    <row r="42" spans="9:23">
      <c r="I42"/>
      <c r="W42" s="1">
        <v>42</v>
      </c>
    </row>
    <row r="43" spans="9:23">
      <c r="I43"/>
      <c r="W43" s="1">
        <v>43</v>
      </c>
    </row>
    <row r="44" spans="9:23">
      <c r="I44"/>
      <c r="W44" s="1">
        <v>44</v>
      </c>
    </row>
    <row r="45" spans="9:23">
      <c r="I45"/>
      <c r="W45" s="1">
        <v>45</v>
      </c>
    </row>
    <row r="46" spans="9:23">
      <c r="I46"/>
      <c r="W46" s="1">
        <v>46</v>
      </c>
    </row>
    <row r="47" spans="9:23">
      <c r="I47"/>
      <c r="W47" s="1">
        <v>47</v>
      </c>
    </row>
    <row r="48" spans="9:23">
      <c r="I48"/>
      <c r="W48" s="1">
        <v>48</v>
      </c>
    </row>
    <row r="49" spans="9:23">
      <c r="I49"/>
      <c r="W49" s="1">
        <v>49</v>
      </c>
    </row>
    <row r="50" spans="9:23">
      <c r="I50"/>
      <c r="W50" s="1">
        <v>50</v>
      </c>
    </row>
    <row r="51" spans="9:23">
      <c r="I51"/>
      <c r="W51" s="1">
        <v>51</v>
      </c>
    </row>
    <row r="52" spans="9:23">
      <c r="I52"/>
      <c r="W52" s="1">
        <v>52</v>
      </c>
    </row>
    <row r="53" spans="9:23">
      <c r="I53"/>
      <c r="W53" s="1">
        <v>53</v>
      </c>
    </row>
    <row r="54" spans="9:23">
      <c r="I54"/>
      <c r="W54" s="1">
        <v>54</v>
      </c>
    </row>
    <row r="55" spans="9:23">
      <c r="I55"/>
      <c r="W55" s="1">
        <v>55</v>
      </c>
    </row>
    <row r="56" spans="9:23">
      <c r="I56"/>
      <c r="W56" s="1">
        <v>56</v>
      </c>
    </row>
    <row r="57" spans="9:23">
      <c r="I57"/>
      <c r="W57" s="1">
        <v>57</v>
      </c>
    </row>
    <row r="58" spans="9:23">
      <c r="I58"/>
      <c r="W58" s="1">
        <v>58</v>
      </c>
    </row>
    <row r="59" spans="9:23">
      <c r="I59"/>
      <c r="W59" s="1">
        <v>59</v>
      </c>
    </row>
    <row r="60" spans="9:23">
      <c r="I60"/>
      <c r="W60" s="1">
        <v>60</v>
      </c>
    </row>
    <row r="61" spans="9:23">
      <c r="I61"/>
      <c r="W61" s="1">
        <v>61</v>
      </c>
    </row>
    <row r="62" spans="9:23">
      <c r="I62"/>
      <c r="W62" s="1">
        <v>62</v>
      </c>
    </row>
    <row r="63" spans="9:23">
      <c r="I63"/>
      <c r="W63" s="1">
        <v>63</v>
      </c>
    </row>
    <row r="64" spans="9:23">
      <c r="I64"/>
      <c r="W64" s="1">
        <v>64</v>
      </c>
    </row>
    <row r="65" spans="23:23">
      <c r="W65" s="1">
        <v>65</v>
      </c>
    </row>
    <row r="66" spans="23:23">
      <c r="W66" s="1">
        <v>66</v>
      </c>
    </row>
    <row r="67" spans="23:23">
      <c r="W67" s="1">
        <v>67</v>
      </c>
    </row>
    <row r="68" spans="23:23">
      <c r="W68" s="1">
        <v>68</v>
      </c>
    </row>
    <row r="69" spans="23:23">
      <c r="W69" s="1">
        <v>69</v>
      </c>
    </row>
    <row r="70" spans="23:23">
      <c r="W70" s="1">
        <v>70</v>
      </c>
    </row>
    <row r="71" spans="23:23">
      <c r="W71" s="1">
        <v>71</v>
      </c>
    </row>
    <row r="72" spans="23:23">
      <c r="W72" s="1">
        <v>72</v>
      </c>
    </row>
    <row r="73" spans="23:23">
      <c r="W73" s="1">
        <v>73</v>
      </c>
    </row>
    <row r="74" spans="23:23">
      <c r="W74" s="1">
        <v>74</v>
      </c>
    </row>
    <row r="75" spans="23:23">
      <c r="W75" s="1">
        <v>75</v>
      </c>
    </row>
    <row r="76" spans="23:23">
      <c r="W76" s="1">
        <v>76</v>
      </c>
    </row>
    <row r="77" spans="23:23">
      <c r="W77" s="1">
        <v>77</v>
      </c>
    </row>
    <row r="78" spans="23:23">
      <c r="W78" s="1">
        <v>78</v>
      </c>
    </row>
    <row r="79" spans="23:23">
      <c r="W79" s="1">
        <v>79</v>
      </c>
    </row>
    <row r="80" spans="23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sortState ref="I1:N99">
    <sortCondition descending="1" ref="J1:J99"/>
    <sortCondition descending="1" ref="K1:K99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K99"/>
  <sheetViews>
    <sheetView zoomScale="73" zoomScaleNormal="73" workbookViewId="0">
      <selection activeCell="AG36" sqref="AG36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style="14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4.85546875" style="1" customWidth="1"/>
    <col min="29" max="29" width="2.140625" style="8" customWidth="1"/>
    <col min="30" max="31" width="4.85546875" style="1" customWidth="1"/>
    <col min="32" max="32" width="2.140625" style="8" customWidth="1"/>
    <col min="33" max="33" width="4.85546875" style="18" customWidth="1"/>
    <col min="34" max="34" width="2.140625" style="8" customWidth="1"/>
    <col min="35" max="35" width="9.7109375" customWidth="1"/>
    <col min="36" max="37" width="4.28515625" style="1" customWidth="1"/>
  </cols>
  <sheetData>
    <row r="1" spans="1:37">
      <c r="A1" s="4" t="s">
        <v>157</v>
      </c>
      <c r="B1" s="4" t="s">
        <v>159</v>
      </c>
      <c r="C1" s="5">
        <v>1</v>
      </c>
      <c r="D1" s="5">
        <v>0</v>
      </c>
      <c r="E1" s="1">
        <f t="shared" ref="E1:E8" si="0">C1-D1</f>
        <v>1</v>
      </c>
      <c r="F1" s="1">
        <f t="shared" ref="F1:F8" si="1">D1-C1</f>
        <v>-1</v>
      </c>
      <c r="G1" s="10">
        <v>0.78125</v>
      </c>
      <c r="H1" s="17"/>
      <c r="I1" s="14" t="s">
        <v>90</v>
      </c>
      <c r="J1" s="2">
        <f t="shared" ref="J1:J35" si="2">(L1/N1)*IF(N1&gt;5,1,IF(N1=5,0.9,IF(N1=4,0.8,0.7)))</f>
        <v>2.3400000000000003</v>
      </c>
      <c r="K1" s="2">
        <f t="shared" ref="K1:K35" si="3">M1/N1</f>
        <v>2.6</v>
      </c>
      <c r="L1" s="1">
        <f>0+1+3+3+3+3</f>
        <v>13</v>
      </c>
      <c r="M1" s="1">
        <f>0+0+2+3+3+5</f>
        <v>13</v>
      </c>
      <c r="N1" s="1">
        <f>0+1+1+1+1+1</f>
        <v>5</v>
      </c>
      <c r="V1" s="1"/>
      <c r="W1" s="1">
        <v>1</v>
      </c>
      <c r="X1" s="12" t="s">
        <v>58</v>
      </c>
      <c r="Y1" s="4" t="s">
        <v>38</v>
      </c>
      <c r="AA1" s="18" t="s">
        <v>110</v>
      </c>
      <c r="AB1" s="18" t="s">
        <v>193</v>
      </c>
      <c r="AD1" s="1">
        <v>23</v>
      </c>
      <c r="AE1" s="1">
        <v>22</v>
      </c>
      <c r="AG1" s="18" t="s">
        <v>111</v>
      </c>
      <c r="AI1" s="12"/>
    </row>
    <row r="2" spans="1:37">
      <c r="A2" s="4" t="s">
        <v>156</v>
      </c>
      <c r="B2" s="4" t="s">
        <v>124</v>
      </c>
      <c r="C2" s="5">
        <v>3</v>
      </c>
      <c r="D2" s="5">
        <v>1</v>
      </c>
      <c r="E2" s="1">
        <f t="shared" si="0"/>
        <v>2</v>
      </c>
      <c r="F2" s="1">
        <f t="shared" si="1"/>
        <v>-2</v>
      </c>
      <c r="G2" s="10">
        <v>0.78125</v>
      </c>
      <c r="H2" s="17"/>
      <c r="I2" s="14" t="s">
        <v>167</v>
      </c>
      <c r="J2" s="2">
        <f t="shared" si="2"/>
        <v>2</v>
      </c>
      <c r="K2" s="2">
        <f t="shared" si="3"/>
        <v>0.75</v>
      </c>
      <c r="L2" s="1">
        <f>0+1+3+3+3</f>
        <v>10</v>
      </c>
      <c r="M2" s="1">
        <f>0+0+1+1+1</f>
        <v>3</v>
      </c>
      <c r="N2" s="1">
        <f>0+1+1+1+1</f>
        <v>4</v>
      </c>
      <c r="W2" s="1">
        <v>2</v>
      </c>
      <c r="X2" s="12" t="s">
        <v>58</v>
      </c>
      <c r="Y2" s="4" t="s">
        <v>38</v>
      </c>
      <c r="AA2" s="18" t="s">
        <v>198</v>
      </c>
      <c r="AB2" s="18" t="s">
        <v>119</v>
      </c>
      <c r="AE2" s="1">
        <v>12</v>
      </c>
      <c r="AG2" s="18" t="s">
        <v>119</v>
      </c>
      <c r="AI2" s="12"/>
      <c r="AJ2" s="1" t="s">
        <v>150</v>
      </c>
    </row>
    <row r="3" spans="1:37">
      <c r="A3" s="4" t="s">
        <v>178</v>
      </c>
      <c r="B3" s="4" t="s">
        <v>161</v>
      </c>
      <c r="C3" s="5">
        <v>3</v>
      </c>
      <c r="D3" s="5">
        <v>2</v>
      </c>
      <c r="E3" s="1">
        <f t="shared" si="0"/>
        <v>1</v>
      </c>
      <c r="F3" s="1">
        <f t="shared" si="1"/>
        <v>-1</v>
      </c>
      <c r="G3" s="10">
        <v>0.875</v>
      </c>
      <c r="H3" s="17"/>
      <c r="I3" s="14" t="s">
        <v>123</v>
      </c>
      <c r="J3" s="2">
        <f t="shared" si="2"/>
        <v>1.9800000000000002</v>
      </c>
      <c r="K3" s="2">
        <f t="shared" si="3"/>
        <v>1.2</v>
      </c>
      <c r="L3" s="1">
        <f>0+1+3+3+1+3</f>
        <v>11</v>
      </c>
      <c r="M3" s="1">
        <f>0+0+1+4+0+1</f>
        <v>6</v>
      </c>
      <c r="N3" s="1">
        <f>0+1+1+1+1+1</f>
        <v>5</v>
      </c>
      <c r="W3" s="1">
        <v>3</v>
      </c>
      <c r="X3" s="12" t="s">
        <v>58</v>
      </c>
      <c r="Y3" s="4" t="s">
        <v>38</v>
      </c>
      <c r="AA3" s="18" t="s">
        <v>118</v>
      </c>
      <c r="AB3" s="18" t="s">
        <v>120</v>
      </c>
      <c r="AE3" s="1">
        <v>18</v>
      </c>
      <c r="AG3" s="18" t="s">
        <v>120</v>
      </c>
      <c r="AI3" s="12"/>
      <c r="AJ3" s="1" t="s">
        <v>150</v>
      </c>
    </row>
    <row r="4" spans="1:37">
      <c r="A4" s="4" t="s">
        <v>158</v>
      </c>
      <c r="B4" s="4" t="s">
        <v>167</v>
      </c>
      <c r="C4" s="5">
        <v>0</v>
      </c>
      <c r="D4" s="5">
        <v>1</v>
      </c>
      <c r="E4" s="1">
        <f t="shared" si="0"/>
        <v>-1</v>
      </c>
      <c r="F4" s="1">
        <f t="shared" si="1"/>
        <v>1</v>
      </c>
      <c r="G4" s="10">
        <v>0.875</v>
      </c>
      <c r="H4" s="17"/>
      <c r="I4" s="14" t="s">
        <v>95</v>
      </c>
      <c r="J4" s="2">
        <f t="shared" si="2"/>
        <v>1.6666666666666667</v>
      </c>
      <c r="K4" s="2">
        <f t="shared" si="3"/>
        <v>1</v>
      </c>
      <c r="L4" s="1">
        <f>0+0+3+3+3+0+1</f>
        <v>10</v>
      </c>
      <c r="M4" s="1">
        <f>0+-1+5+3+1+-2+0</f>
        <v>6</v>
      </c>
      <c r="N4" s="1">
        <f>0+1+1+1+1+1+1</f>
        <v>6</v>
      </c>
      <c r="V4" s="1"/>
      <c r="W4" s="1">
        <v>4</v>
      </c>
      <c r="X4" s="12" t="s">
        <v>58</v>
      </c>
      <c r="Y4" s="4" t="s">
        <v>38</v>
      </c>
      <c r="AA4" s="18" t="s">
        <v>198</v>
      </c>
      <c r="AB4" s="18" t="s">
        <v>119</v>
      </c>
      <c r="AE4" s="1">
        <v>4</v>
      </c>
      <c r="AG4" s="18" t="s">
        <v>111</v>
      </c>
      <c r="AI4" s="12"/>
      <c r="AK4" s="1" t="s">
        <v>153</v>
      </c>
    </row>
    <row r="5" spans="1:37">
      <c r="A5" s="4"/>
      <c r="B5" s="4"/>
      <c r="C5" s="5"/>
      <c r="D5" s="5"/>
      <c r="E5" s="1">
        <f t="shared" si="0"/>
        <v>0</v>
      </c>
      <c r="F5" s="1">
        <f t="shared" si="1"/>
        <v>0</v>
      </c>
      <c r="G5" s="10"/>
      <c r="H5" s="17"/>
      <c r="I5" s="14" t="s">
        <v>163</v>
      </c>
      <c r="J5" s="2">
        <f t="shared" si="2"/>
        <v>1.6333333333333333</v>
      </c>
      <c r="K5" s="2">
        <f t="shared" si="3"/>
        <v>2</v>
      </c>
      <c r="L5" s="1">
        <f>0+3+1+3</f>
        <v>7</v>
      </c>
      <c r="M5" s="1">
        <f>0+1+0+5</f>
        <v>6</v>
      </c>
      <c r="N5" s="1">
        <f>0+1+1+1</f>
        <v>3</v>
      </c>
      <c r="W5" s="1">
        <v>5</v>
      </c>
      <c r="X5" s="12"/>
      <c r="Y5" s="4"/>
      <c r="AA5" s="18"/>
      <c r="AB5" s="18"/>
      <c r="AG5" s="18" t="s">
        <v>113</v>
      </c>
      <c r="AI5" s="12" t="s">
        <v>196</v>
      </c>
      <c r="AJ5" s="1" t="s">
        <v>150</v>
      </c>
    </row>
    <row r="6" spans="1:37">
      <c r="A6" s="4" t="s">
        <v>140</v>
      </c>
      <c r="B6" s="4" t="s">
        <v>197</v>
      </c>
      <c r="C6" s="5">
        <v>0</v>
      </c>
      <c r="D6" s="5">
        <v>0</v>
      </c>
      <c r="E6" s="1">
        <f t="shared" si="0"/>
        <v>0</v>
      </c>
      <c r="F6" s="1">
        <f t="shared" si="1"/>
        <v>0</v>
      </c>
      <c r="G6" s="10">
        <v>0.78125</v>
      </c>
      <c r="H6" s="17"/>
      <c r="I6" s="14" t="s">
        <v>89</v>
      </c>
      <c r="J6" s="2">
        <f t="shared" si="2"/>
        <v>1.6333333333333333</v>
      </c>
      <c r="K6" s="2">
        <f t="shared" si="3"/>
        <v>1</v>
      </c>
      <c r="L6" s="1">
        <f>0+1+3+3</f>
        <v>7</v>
      </c>
      <c r="M6" s="1">
        <f>0+0+1+2</f>
        <v>3</v>
      </c>
      <c r="N6" s="1">
        <f>0+1+1+1</f>
        <v>3</v>
      </c>
      <c r="W6" s="1">
        <v>6</v>
      </c>
      <c r="X6" s="12" t="s">
        <v>58</v>
      </c>
      <c r="Y6" s="4" t="s">
        <v>39</v>
      </c>
      <c r="AA6" s="18" t="s">
        <v>176</v>
      </c>
      <c r="AB6" s="18" t="s">
        <v>200</v>
      </c>
      <c r="AD6" s="1">
        <v>9</v>
      </c>
      <c r="AG6" s="18" t="s">
        <v>130</v>
      </c>
      <c r="AI6" s="12"/>
      <c r="AK6" s="1" t="s">
        <v>153</v>
      </c>
    </row>
    <row r="7" spans="1:37">
      <c r="A7" s="4"/>
      <c r="B7" s="4"/>
      <c r="C7" s="5"/>
      <c r="D7" s="5"/>
      <c r="E7" s="1">
        <f t="shared" si="0"/>
        <v>0</v>
      </c>
      <c r="F7" s="1">
        <f t="shared" si="1"/>
        <v>0</v>
      </c>
      <c r="G7" s="10"/>
      <c r="H7" s="17"/>
      <c r="I7" s="14" t="s">
        <v>156</v>
      </c>
      <c r="J7" s="2">
        <f t="shared" si="2"/>
        <v>1.6333333333333333</v>
      </c>
      <c r="K7" s="2">
        <f t="shared" si="3"/>
        <v>1</v>
      </c>
      <c r="L7" s="1">
        <f>0+1+3+3</f>
        <v>7</v>
      </c>
      <c r="M7" s="1">
        <f>0+0+1+2</f>
        <v>3</v>
      </c>
      <c r="N7" s="1">
        <f>0+1+1+1</f>
        <v>3</v>
      </c>
      <c r="W7" s="1">
        <v>7</v>
      </c>
      <c r="X7" s="12"/>
      <c r="Y7" s="4"/>
      <c r="AA7" s="18"/>
      <c r="AB7" s="18"/>
      <c r="AD7" s="18"/>
      <c r="AE7" s="18"/>
      <c r="AG7" s="18" t="s">
        <v>193</v>
      </c>
      <c r="AI7" s="12"/>
      <c r="AJ7" s="1" t="s">
        <v>150</v>
      </c>
    </row>
    <row r="8" spans="1:37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10"/>
      <c r="H8" s="17"/>
      <c r="I8" s="14" t="s">
        <v>85</v>
      </c>
      <c r="J8" s="2">
        <f t="shared" si="2"/>
        <v>1.5714285714285714</v>
      </c>
      <c r="K8" s="2">
        <f t="shared" si="3"/>
        <v>0.5714285714285714</v>
      </c>
      <c r="L8" s="1">
        <f>0+1+3+1+3+3+0+0</f>
        <v>11</v>
      </c>
      <c r="M8" s="1">
        <f>0+0+2+0+1+3+-1+-1</f>
        <v>4</v>
      </c>
      <c r="N8" s="1">
        <f>0+1+1+1+1+1+1+1</f>
        <v>7</v>
      </c>
      <c r="W8" s="1">
        <v>8</v>
      </c>
      <c r="X8" s="12"/>
      <c r="Y8" s="4"/>
      <c r="AA8" s="18"/>
      <c r="AB8" s="18"/>
      <c r="AD8" s="18"/>
      <c r="AE8" s="18"/>
      <c r="AG8" s="18" t="s">
        <v>119</v>
      </c>
      <c r="AI8" s="12"/>
      <c r="AK8" s="1" t="s">
        <v>153</v>
      </c>
    </row>
    <row r="9" spans="1:37">
      <c r="A9" t="s">
        <v>6</v>
      </c>
      <c r="C9"/>
      <c r="D9"/>
      <c r="E9"/>
      <c r="F9"/>
      <c r="G9" s="15"/>
      <c r="H9" s="7"/>
      <c r="I9" s="14" t="s">
        <v>126</v>
      </c>
      <c r="J9" s="2">
        <f t="shared" si="2"/>
        <v>1.4400000000000002</v>
      </c>
      <c r="K9" s="2">
        <f t="shared" si="3"/>
        <v>0.4</v>
      </c>
      <c r="L9" s="1">
        <f>0+1+1+3+3+0</f>
        <v>8</v>
      </c>
      <c r="M9" s="1">
        <f>0+0+0+1+2+-1</f>
        <v>2</v>
      </c>
      <c r="N9" s="1">
        <f>0+1+1+1+1+1</f>
        <v>5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/>
      <c r="AE9" s="3"/>
      <c r="AG9" s="18" t="s">
        <v>111</v>
      </c>
      <c r="AI9" s="16" t="s">
        <v>195</v>
      </c>
      <c r="AK9" s="1" t="s">
        <v>153</v>
      </c>
    </row>
    <row r="10" spans="1:37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I10" s="14" t="s">
        <v>140</v>
      </c>
      <c r="J10" s="2">
        <f t="shared" si="2"/>
        <v>1.4000000000000001</v>
      </c>
      <c r="K10" s="2">
        <f t="shared" si="3"/>
        <v>0.25</v>
      </c>
      <c r="L10" s="1">
        <f>0+0+3+3+1</f>
        <v>7</v>
      </c>
      <c r="M10" s="1">
        <f>0+-2+1+2+0</f>
        <v>1</v>
      </c>
      <c r="N10" s="1">
        <f>0+1+1+1+1</f>
        <v>4</v>
      </c>
      <c r="W10" s="1">
        <v>10</v>
      </c>
      <c r="X10" s="13" t="s">
        <v>54</v>
      </c>
      <c r="Y10" t="s">
        <v>38</v>
      </c>
      <c r="AG10" s="18" t="s">
        <v>146</v>
      </c>
      <c r="AK10" s="1" t="s">
        <v>153</v>
      </c>
    </row>
    <row r="11" spans="1:37">
      <c r="A11" t="s">
        <v>7</v>
      </c>
      <c r="C11"/>
      <c r="D11"/>
      <c r="E11"/>
      <c r="F11"/>
      <c r="I11" s="14" t="s">
        <v>84</v>
      </c>
      <c r="J11" s="2">
        <f t="shared" si="2"/>
        <v>1.4</v>
      </c>
      <c r="K11" s="2">
        <f t="shared" si="3"/>
        <v>0.66666666666666663</v>
      </c>
      <c r="L11" s="1">
        <f>0+0+3+3</f>
        <v>6</v>
      </c>
      <c r="M11" s="1">
        <f>0-1+2+1</f>
        <v>2</v>
      </c>
      <c r="N11" s="1">
        <f>0+1+1+1</f>
        <v>3</v>
      </c>
      <c r="W11" s="1">
        <v>11</v>
      </c>
      <c r="X11" s="13" t="s">
        <v>55</v>
      </c>
      <c r="Y11" t="s">
        <v>39</v>
      </c>
      <c r="AG11" s="18" t="s">
        <v>193</v>
      </c>
      <c r="AJ11" s="1" t="s">
        <v>150</v>
      </c>
    </row>
    <row r="12" spans="1:37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I12" s="20" t="s">
        <v>132</v>
      </c>
      <c r="J12" s="2">
        <f t="shared" si="2"/>
        <v>1.3333333333333333</v>
      </c>
      <c r="K12" s="2">
        <f t="shared" si="3"/>
        <v>-0.33333333333333331</v>
      </c>
      <c r="L12" s="1">
        <f>0+3+0+3+1+1+0</f>
        <v>8</v>
      </c>
      <c r="M12" s="1">
        <f>0+1+-1+3+0+0+-5</f>
        <v>-2</v>
      </c>
      <c r="N12" s="1">
        <f>0+1+1+1+1+1+1</f>
        <v>6</v>
      </c>
      <c r="W12" s="1">
        <v>12</v>
      </c>
      <c r="X12" s="13" t="s">
        <v>25</v>
      </c>
      <c r="Y12" t="s">
        <v>40</v>
      </c>
      <c r="AG12" s="18" t="s">
        <v>191</v>
      </c>
      <c r="AK12" s="1" t="s">
        <v>153</v>
      </c>
    </row>
    <row r="13" spans="1:37">
      <c r="A13" t="s">
        <v>15</v>
      </c>
      <c r="C13"/>
      <c r="D13"/>
      <c r="E13"/>
      <c r="F13"/>
      <c r="I13" s="14" t="s">
        <v>96</v>
      </c>
      <c r="J13" s="2">
        <f t="shared" si="2"/>
        <v>1.1666666666666667</v>
      </c>
      <c r="K13" s="2">
        <f t="shared" si="3"/>
        <v>0.33333333333333331</v>
      </c>
      <c r="L13" s="1">
        <f>0+1+1+3</f>
        <v>5</v>
      </c>
      <c r="M13" s="1">
        <f>0+0+0+1</f>
        <v>1</v>
      </c>
      <c r="N13" s="1">
        <f>0+1+1+1</f>
        <v>3</v>
      </c>
      <c r="W13" s="1">
        <v>13</v>
      </c>
      <c r="X13" s="13" t="s">
        <v>29</v>
      </c>
      <c r="Y13" t="s">
        <v>45</v>
      </c>
      <c r="AG13" s="18" t="s">
        <v>112</v>
      </c>
      <c r="AK13" s="1" t="s">
        <v>153</v>
      </c>
    </row>
    <row r="14" spans="1:37">
      <c r="A14" s="3" t="s">
        <v>30</v>
      </c>
      <c r="C14"/>
      <c r="D14"/>
      <c r="E14"/>
      <c r="F14"/>
      <c r="I14" s="14" t="s">
        <v>139</v>
      </c>
      <c r="J14" s="2">
        <f t="shared" si="2"/>
        <v>1.1666666666666667</v>
      </c>
      <c r="K14" s="2">
        <f t="shared" si="3"/>
        <v>0</v>
      </c>
      <c r="L14" s="1">
        <f>0+3+0+1+0+3+0</f>
        <v>7</v>
      </c>
      <c r="M14" s="1">
        <f>0+2+-1+0+-1+1+-1</f>
        <v>0</v>
      </c>
      <c r="N14" s="1">
        <f>0+1+1+1+1+1+1</f>
        <v>6</v>
      </c>
      <c r="W14" s="1">
        <v>14</v>
      </c>
      <c r="X14" s="13" t="s">
        <v>56</v>
      </c>
      <c r="Y14" t="s">
        <v>42</v>
      </c>
      <c r="AG14" s="18" t="s">
        <v>113</v>
      </c>
      <c r="AK14" s="1" t="s">
        <v>153</v>
      </c>
    </row>
    <row r="15" spans="1:37">
      <c r="A15" t="s">
        <v>133</v>
      </c>
      <c r="C15"/>
      <c r="D15"/>
      <c r="E15"/>
      <c r="F15"/>
      <c r="I15" s="14" t="s">
        <v>138</v>
      </c>
      <c r="J15" s="2">
        <f t="shared" si="2"/>
        <v>1</v>
      </c>
      <c r="K15" s="2">
        <f t="shared" si="3"/>
        <v>-0.75</v>
      </c>
      <c r="L15" s="1">
        <f>0+1+1+0+3</f>
        <v>5</v>
      </c>
      <c r="M15" s="1">
        <f>0+0+0+-4+1</f>
        <v>-3</v>
      </c>
      <c r="N15" s="1">
        <f>0+1+1+1+1</f>
        <v>4</v>
      </c>
      <c r="W15" s="1">
        <v>15</v>
      </c>
      <c r="X15" s="13" t="s">
        <v>57</v>
      </c>
      <c r="Y15" t="s">
        <v>43</v>
      </c>
      <c r="AG15" s="18" t="s">
        <v>113</v>
      </c>
      <c r="AJ15" s="1" t="s">
        <v>150</v>
      </c>
    </row>
    <row r="16" spans="1:37">
      <c r="A16" t="s">
        <v>23</v>
      </c>
      <c r="C16"/>
      <c r="D16"/>
      <c r="E16"/>
      <c r="F16"/>
      <c r="I16" s="14" t="s">
        <v>83</v>
      </c>
      <c r="J16" s="2">
        <f t="shared" si="2"/>
        <v>0.93333333333333324</v>
      </c>
      <c r="K16" s="2">
        <f t="shared" si="3"/>
        <v>0</v>
      </c>
      <c r="L16" s="1">
        <f>0+3+1+0</f>
        <v>4</v>
      </c>
      <c r="M16" s="1">
        <f>0+1+0+-1</f>
        <v>0</v>
      </c>
      <c r="N16" s="1">
        <f>0+1+1+1</f>
        <v>3</v>
      </c>
      <c r="W16" s="1">
        <v>16</v>
      </c>
      <c r="X16" s="13" t="s">
        <v>58</v>
      </c>
      <c r="Y16" t="s">
        <v>44</v>
      </c>
      <c r="AG16" s="18" t="s">
        <v>192</v>
      </c>
      <c r="AK16" s="1" t="s">
        <v>153</v>
      </c>
    </row>
    <row r="17" spans="1:37">
      <c r="A17" t="s">
        <v>134</v>
      </c>
      <c r="I17" s="14" t="s">
        <v>124</v>
      </c>
      <c r="J17" s="2">
        <f t="shared" si="2"/>
        <v>0.9</v>
      </c>
      <c r="K17" s="2">
        <f t="shared" si="3"/>
        <v>-0.6</v>
      </c>
      <c r="L17" s="1">
        <f>0+3+1+1+0+0</f>
        <v>5</v>
      </c>
      <c r="M17" s="1">
        <f>0+1+0+0+-2+-2</f>
        <v>-3</v>
      </c>
      <c r="N17" s="1">
        <f>0+1+1+1+1+1</f>
        <v>5</v>
      </c>
      <c r="W17" s="1">
        <v>17</v>
      </c>
      <c r="X17" s="13" t="s">
        <v>59</v>
      </c>
      <c r="Y17" t="s">
        <v>46</v>
      </c>
      <c r="AG17" s="18" t="s">
        <v>119</v>
      </c>
      <c r="AK17" s="1" t="s">
        <v>153</v>
      </c>
    </row>
    <row r="18" spans="1:37">
      <c r="A18" t="s">
        <v>33</v>
      </c>
      <c r="C18"/>
      <c r="D18"/>
      <c r="E18"/>
      <c r="F18"/>
      <c r="I18" s="14" t="s">
        <v>86</v>
      </c>
      <c r="J18" s="2">
        <f t="shared" si="2"/>
        <v>0.83333333333333337</v>
      </c>
      <c r="K18" s="2">
        <f t="shared" si="3"/>
        <v>-0.16666666666666666</v>
      </c>
      <c r="L18" s="1">
        <f>0+1+1+1+1+1+0</f>
        <v>5</v>
      </c>
      <c r="M18" s="1">
        <f>0+0+0+0+0+0+-1</f>
        <v>-1</v>
      </c>
      <c r="N18" s="1">
        <f>0+1+1+1+1+1+1</f>
        <v>6</v>
      </c>
      <c r="W18" s="1">
        <v>18</v>
      </c>
      <c r="X18" s="13" t="s">
        <v>60</v>
      </c>
      <c r="Y18" t="s">
        <v>47</v>
      </c>
      <c r="AG18" s="18" t="s">
        <v>131</v>
      </c>
      <c r="AK18" s="1" t="s">
        <v>153</v>
      </c>
    </row>
    <row r="19" spans="1:37">
      <c r="B19" t="s">
        <v>180</v>
      </c>
      <c r="I19" s="14" t="s">
        <v>157</v>
      </c>
      <c r="J19" s="2">
        <f t="shared" si="2"/>
        <v>0.8</v>
      </c>
      <c r="K19" s="2">
        <f t="shared" si="3"/>
        <v>-1</v>
      </c>
      <c r="L19" s="1">
        <f>0+0+1+0+3</f>
        <v>4</v>
      </c>
      <c r="M19" s="1">
        <f>0+-3+0+-2+1</f>
        <v>-4</v>
      </c>
      <c r="N19" s="1">
        <f>0+1+1+1+1</f>
        <v>4</v>
      </c>
      <c r="W19" s="1">
        <v>19</v>
      </c>
      <c r="X19" s="13" t="s">
        <v>26</v>
      </c>
      <c r="Y19" t="s">
        <v>48</v>
      </c>
      <c r="AG19" s="18" t="s">
        <v>120</v>
      </c>
      <c r="AJ19" s="1" t="s">
        <v>150</v>
      </c>
    </row>
    <row r="20" spans="1:37">
      <c r="A20" t="s">
        <v>135</v>
      </c>
      <c r="I20" s="14" t="s">
        <v>94</v>
      </c>
      <c r="J20" s="2">
        <f t="shared" si="2"/>
        <v>0.7</v>
      </c>
      <c r="K20" s="2">
        <f t="shared" si="3"/>
        <v>-1.3333333333333333</v>
      </c>
      <c r="L20" s="1">
        <f>0+3+0+0</f>
        <v>3</v>
      </c>
      <c r="M20" s="1">
        <f>0+1+-3+-2</f>
        <v>-4</v>
      </c>
      <c r="N20" s="1">
        <f>0+1+1+1</f>
        <v>3</v>
      </c>
      <c r="W20" s="1">
        <v>20</v>
      </c>
      <c r="X20" s="13" t="s">
        <v>61</v>
      </c>
      <c r="Y20" t="s">
        <v>49</v>
      </c>
      <c r="AG20" s="18" t="s">
        <v>131</v>
      </c>
      <c r="AK20" s="1" t="s">
        <v>153</v>
      </c>
    </row>
    <row r="21" spans="1:37">
      <c r="A21" t="s">
        <v>19</v>
      </c>
      <c r="I21" s="14" t="s">
        <v>114</v>
      </c>
      <c r="J21" s="2">
        <f t="shared" si="2"/>
        <v>0.7</v>
      </c>
      <c r="K21" s="2">
        <f t="shared" si="3"/>
        <v>-1.6666666666666667</v>
      </c>
      <c r="L21" s="1">
        <f>0+0+0+3</f>
        <v>3</v>
      </c>
      <c r="M21" s="1">
        <f>0+-2+-5+2</f>
        <v>-5</v>
      </c>
      <c r="N21" s="1">
        <f>0+1+1+1</f>
        <v>3</v>
      </c>
      <c r="W21" s="1">
        <v>21</v>
      </c>
      <c r="X21" s="13" t="s">
        <v>62</v>
      </c>
      <c r="Y21" t="s">
        <v>50</v>
      </c>
      <c r="AG21" s="18" t="s">
        <v>130</v>
      </c>
      <c r="AK21" s="1" t="s">
        <v>153</v>
      </c>
    </row>
    <row r="22" spans="1:37">
      <c r="B22" t="s">
        <v>20</v>
      </c>
      <c r="I22" s="14" t="s">
        <v>93</v>
      </c>
      <c r="J22" s="2">
        <f t="shared" si="2"/>
        <v>0.60000000000000009</v>
      </c>
      <c r="K22" s="2">
        <f t="shared" si="3"/>
        <v>-1.5</v>
      </c>
      <c r="L22" s="1">
        <f>0+0+0+3+0</f>
        <v>3</v>
      </c>
      <c r="M22" s="1">
        <f>0+-2+-1+1+-4</f>
        <v>-6</v>
      </c>
      <c r="N22" s="1">
        <f>0+1+1+1+1</f>
        <v>4</v>
      </c>
      <c r="W22" s="1">
        <v>22</v>
      </c>
      <c r="X22" s="13" t="s">
        <v>63</v>
      </c>
      <c r="Y22" t="s">
        <v>51</v>
      </c>
      <c r="AG22" s="18" t="s">
        <v>120</v>
      </c>
      <c r="AK22" s="1" t="s">
        <v>153</v>
      </c>
    </row>
    <row r="23" spans="1:37">
      <c r="B23" t="s">
        <v>88</v>
      </c>
      <c r="I23" s="14" t="s">
        <v>155</v>
      </c>
      <c r="J23" s="2">
        <f t="shared" si="2"/>
        <v>0.46666666666666662</v>
      </c>
      <c r="K23" s="2">
        <f t="shared" si="3"/>
        <v>-0.33333333333333331</v>
      </c>
      <c r="L23" s="1">
        <f>0+1+1+0</f>
        <v>2</v>
      </c>
      <c r="M23" s="1">
        <f>0+0+0+-1</f>
        <v>-1</v>
      </c>
      <c r="N23" s="1">
        <f>0+1+1+1</f>
        <v>3</v>
      </c>
      <c r="W23" s="1">
        <v>23</v>
      </c>
      <c r="X23" s="13" t="s">
        <v>28</v>
      </c>
      <c r="Y23" t="s">
        <v>52</v>
      </c>
      <c r="AG23" s="18" t="s">
        <v>119</v>
      </c>
      <c r="AK23" s="1" t="s">
        <v>153</v>
      </c>
    </row>
    <row r="24" spans="1:37">
      <c r="A24" t="s">
        <v>16</v>
      </c>
      <c r="C24"/>
      <c r="D24"/>
      <c r="E24"/>
      <c r="F24"/>
      <c r="I24" s="14" t="s">
        <v>161</v>
      </c>
      <c r="J24" s="2">
        <f t="shared" si="2"/>
        <v>0.4</v>
      </c>
      <c r="K24" s="2">
        <f t="shared" si="3"/>
        <v>-0.5</v>
      </c>
      <c r="L24" s="1">
        <f>0+1+1+0+0</f>
        <v>2</v>
      </c>
      <c r="M24" s="1">
        <f>0+0+0+-1+-1</f>
        <v>-2</v>
      </c>
      <c r="N24" s="1">
        <f>0+1+1+1+1</f>
        <v>4</v>
      </c>
      <c r="W24" s="1">
        <v>24</v>
      </c>
      <c r="X24" s="13" t="s">
        <v>64</v>
      </c>
      <c r="Y24" t="s">
        <v>53</v>
      </c>
      <c r="AG24" s="18" t="s">
        <v>120</v>
      </c>
      <c r="AK24" s="1" t="s">
        <v>153</v>
      </c>
    </row>
    <row r="25" spans="1:37">
      <c r="A25" t="s">
        <v>17</v>
      </c>
      <c r="B25" s="2" t="e">
        <f t="shared" ref="B25" si="4">(D25/F25)*IF(F25&gt;5,1,IF(F25=5,0.9,IF(F25=4,0.8,0.7)))</f>
        <v>#DIV/0!</v>
      </c>
      <c r="C25" s="2" t="e">
        <f t="shared" ref="C25" si="5">E25/F25</f>
        <v>#DIV/0!</v>
      </c>
      <c r="D25" s="1">
        <f>0</f>
        <v>0</v>
      </c>
      <c r="E25" s="1">
        <f>0</f>
        <v>0</v>
      </c>
      <c r="F25" s="1">
        <f>0</f>
        <v>0</v>
      </c>
      <c r="I25" s="14" t="s">
        <v>162</v>
      </c>
      <c r="J25" s="2">
        <f t="shared" si="2"/>
        <v>0.4</v>
      </c>
      <c r="K25" s="2">
        <f t="shared" si="3"/>
        <v>-0.75</v>
      </c>
      <c r="L25" s="1">
        <f>0+0+1+1+0</f>
        <v>2</v>
      </c>
      <c r="M25" s="1">
        <f>0+-1+0+0+-2</f>
        <v>-3</v>
      </c>
      <c r="N25" s="1">
        <f>0+1+1+1+1</f>
        <v>4</v>
      </c>
      <c r="W25" s="1">
        <v>25</v>
      </c>
      <c r="X25" s="13" t="s">
        <v>65</v>
      </c>
      <c r="Y25" t="s">
        <v>68</v>
      </c>
      <c r="AG25" s="18" t="s">
        <v>111</v>
      </c>
      <c r="AK25" s="1" t="s">
        <v>153</v>
      </c>
    </row>
    <row r="26" spans="1:37">
      <c r="A26" t="s">
        <v>18</v>
      </c>
      <c r="B26" t="s">
        <v>136</v>
      </c>
      <c r="I26" s="14" t="s">
        <v>159</v>
      </c>
      <c r="J26" s="2">
        <f t="shared" si="2"/>
        <v>0.36000000000000004</v>
      </c>
      <c r="K26" s="2">
        <f t="shared" si="3"/>
        <v>-1.8</v>
      </c>
      <c r="L26" s="1">
        <f>0+1+0+0+1+0</f>
        <v>2</v>
      </c>
      <c r="M26" s="1">
        <f>0+0+-3+-5+0+-1</f>
        <v>-9</v>
      </c>
      <c r="N26" s="1">
        <f>0+1+1+1+1+1</f>
        <v>5</v>
      </c>
      <c r="W26" s="1">
        <v>26</v>
      </c>
      <c r="X26" s="13" t="s">
        <v>66</v>
      </c>
      <c r="Y26" t="s">
        <v>69</v>
      </c>
      <c r="AG26" s="18" t="s">
        <v>193</v>
      </c>
      <c r="AK26" s="1" t="s">
        <v>153</v>
      </c>
    </row>
    <row r="27" spans="1:37">
      <c r="A27" t="s">
        <v>14</v>
      </c>
      <c r="I27" s="14" t="s">
        <v>137</v>
      </c>
      <c r="J27" s="2">
        <f t="shared" si="2"/>
        <v>0.23333333333333331</v>
      </c>
      <c r="K27" s="2">
        <f t="shared" si="3"/>
        <v>-1.6666666666666667</v>
      </c>
      <c r="L27" s="1">
        <f>0+1+0+0</f>
        <v>1</v>
      </c>
      <c r="M27" s="1">
        <f>0+0+-4+-1</f>
        <v>-5</v>
      </c>
      <c r="N27" s="1">
        <f>0+1+1+1</f>
        <v>3</v>
      </c>
      <c r="W27" s="1">
        <v>27</v>
      </c>
      <c r="X27" s="13" t="s">
        <v>67</v>
      </c>
      <c r="Y27" t="s">
        <v>70</v>
      </c>
      <c r="AG27" s="18" t="s">
        <v>111</v>
      </c>
      <c r="AK27" s="1" t="s">
        <v>153</v>
      </c>
    </row>
    <row r="28" spans="1:37">
      <c r="A28" t="s">
        <v>21</v>
      </c>
      <c r="I28" s="14" t="s">
        <v>125</v>
      </c>
      <c r="J28" s="2">
        <f t="shared" si="2"/>
        <v>0</v>
      </c>
      <c r="K28" s="2">
        <f t="shared" si="3"/>
        <v>-2</v>
      </c>
      <c r="L28" s="1">
        <f>0+0+0+0+0</f>
        <v>0</v>
      </c>
      <c r="M28" s="1">
        <f>0+-1+-3+-3+-1</f>
        <v>-8</v>
      </c>
      <c r="N28" s="1">
        <f>0+1+1+1+1</f>
        <v>4</v>
      </c>
      <c r="W28" s="1">
        <v>28</v>
      </c>
      <c r="AG28" s="18" t="s">
        <v>113</v>
      </c>
      <c r="AK28" s="1" t="s">
        <v>153</v>
      </c>
    </row>
    <row r="29" spans="1:37">
      <c r="A29" t="s">
        <v>147</v>
      </c>
      <c r="I29" s="14" t="s">
        <v>164</v>
      </c>
      <c r="J29" s="2">
        <f t="shared" si="2"/>
        <v>2.0999999999999996</v>
      </c>
      <c r="K29" s="2">
        <f t="shared" si="3"/>
        <v>4</v>
      </c>
      <c r="L29" s="1">
        <f>0+3+3</f>
        <v>6</v>
      </c>
      <c r="M29" s="1">
        <f>0+4+4</f>
        <v>8</v>
      </c>
      <c r="N29" s="1">
        <f>0+1+1</f>
        <v>2</v>
      </c>
      <c r="W29" s="1">
        <v>29</v>
      </c>
      <c r="AG29" s="18" t="s">
        <v>111</v>
      </c>
    </row>
    <row r="30" spans="1:37">
      <c r="A30" t="s">
        <v>148</v>
      </c>
      <c r="I30" s="14" t="s">
        <v>178</v>
      </c>
      <c r="J30" s="2">
        <f t="shared" si="2"/>
        <v>2.0999999999999996</v>
      </c>
      <c r="K30" s="2">
        <f t="shared" si="3"/>
        <v>1</v>
      </c>
      <c r="L30" s="1">
        <f>0+3+3</f>
        <v>6</v>
      </c>
      <c r="M30" s="1">
        <f>0+1+1</f>
        <v>2</v>
      </c>
      <c r="N30" s="1">
        <f>0+1+1</f>
        <v>2</v>
      </c>
      <c r="W30" s="1">
        <v>30</v>
      </c>
      <c r="AG30" s="18" t="s">
        <v>113</v>
      </c>
    </row>
    <row r="31" spans="1:37">
      <c r="A31" t="s">
        <v>149</v>
      </c>
      <c r="I31" s="14" t="s">
        <v>91</v>
      </c>
      <c r="J31" s="2">
        <f t="shared" si="2"/>
        <v>1.0499999999999998</v>
      </c>
      <c r="K31" s="2">
        <f t="shared" si="3"/>
        <v>0</v>
      </c>
      <c r="L31" s="1">
        <f>0+0+3</f>
        <v>3</v>
      </c>
      <c r="M31" s="1">
        <f>0+-1+1</f>
        <v>0</v>
      </c>
      <c r="N31" s="1">
        <f>0+1+1</f>
        <v>2</v>
      </c>
      <c r="W31" s="1">
        <v>31</v>
      </c>
      <c r="AG31" s="18" t="s">
        <v>201</v>
      </c>
    </row>
    <row r="32" spans="1:37">
      <c r="I32" s="14" t="s">
        <v>171</v>
      </c>
      <c r="J32" s="2">
        <f t="shared" si="2"/>
        <v>0</v>
      </c>
      <c r="K32" s="2">
        <f t="shared" si="3"/>
        <v>-1</v>
      </c>
      <c r="L32" s="1">
        <f>0+0+0</f>
        <v>0</v>
      </c>
      <c r="M32" s="1">
        <f>0+-1+-1</f>
        <v>-2</v>
      </c>
      <c r="N32" s="1">
        <f>0+1+1</f>
        <v>2</v>
      </c>
      <c r="W32" s="1">
        <v>32</v>
      </c>
      <c r="AG32" s="18" t="s">
        <v>131</v>
      </c>
    </row>
    <row r="33" spans="9:33">
      <c r="I33" s="14" t="s">
        <v>158</v>
      </c>
      <c r="J33" s="2">
        <f t="shared" si="2"/>
        <v>0</v>
      </c>
      <c r="K33" s="2">
        <f t="shared" si="3"/>
        <v>-1</v>
      </c>
      <c r="L33" s="1">
        <f>0+0+0</f>
        <v>0</v>
      </c>
      <c r="M33" s="1">
        <f>0+-1+-1</f>
        <v>-2</v>
      </c>
      <c r="N33" s="1">
        <f>0+1+1</f>
        <v>2</v>
      </c>
      <c r="W33" s="1">
        <v>33</v>
      </c>
      <c r="AG33" s="18" t="s">
        <v>111</v>
      </c>
    </row>
    <row r="34" spans="9:33">
      <c r="I34" s="14" t="s">
        <v>160</v>
      </c>
      <c r="J34" s="2">
        <f t="shared" si="2"/>
        <v>0.7</v>
      </c>
      <c r="K34" s="2">
        <f t="shared" si="3"/>
        <v>0</v>
      </c>
      <c r="L34" s="1">
        <f>0+1</f>
        <v>1</v>
      </c>
      <c r="M34" s="1">
        <f>0+0</f>
        <v>0</v>
      </c>
      <c r="N34" s="1">
        <f>0+1</f>
        <v>1</v>
      </c>
      <c r="W34" s="1">
        <v>34</v>
      </c>
      <c r="AG34" s="18" t="s">
        <v>120</v>
      </c>
    </row>
    <row r="35" spans="9:33">
      <c r="I35" s="14" t="s">
        <v>197</v>
      </c>
      <c r="J35" s="2">
        <f t="shared" si="2"/>
        <v>0.7</v>
      </c>
      <c r="K35" s="2">
        <f t="shared" si="3"/>
        <v>0</v>
      </c>
      <c r="L35" s="1">
        <f>0+1</f>
        <v>1</v>
      </c>
      <c r="M35" s="1">
        <f>0+0</f>
        <v>0</v>
      </c>
      <c r="N35" s="1">
        <f>0+1</f>
        <v>1</v>
      </c>
      <c r="W35" s="1">
        <v>35</v>
      </c>
      <c r="AG35" s="18" t="s">
        <v>207</v>
      </c>
    </row>
    <row r="36" spans="9:33">
      <c r="I36"/>
      <c r="W36" s="1">
        <v>36</v>
      </c>
    </row>
    <row r="37" spans="9:33">
      <c r="I37"/>
      <c r="W37" s="1">
        <v>37</v>
      </c>
    </row>
    <row r="38" spans="9:33">
      <c r="I38" s="21"/>
      <c r="W38" s="1">
        <v>38</v>
      </c>
    </row>
    <row r="39" spans="9:33">
      <c r="I39"/>
      <c r="W39" s="1">
        <v>39</v>
      </c>
    </row>
    <row r="40" spans="9:33">
      <c r="I40"/>
      <c r="W40" s="1">
        <v>40</v>
      </c>
    </row>
    <row r="41" spans="9:33">
      <c r="I41"/>
      <c r="W41" s="1">
        <v>41</v>
      </c>
    </row>
    <row r="42" spans="9:33">
      <c r="I42"/>
      <c r="W42" s="1">
        <v>42</v>
      </c>
    </row>
    <row r="43" spans="9:33">
      <c r="I43"/>
      <c r="W43" s="1">
        <v>43</v>
      </c>
    </row>
    <row r="44" spans="9:33">
      <c r="I44"/>
      <c r="W44" s="1">
        <v>44</v>
      </c>
    </row>
    <row r="45" spans="9:33">
      <c r="I45"/>
      <c r="W45" s="1">
        <v>45</v>
      </c>
    </row>
    <row r="46" spans="9:33">
      <c r="I46"/>
      <c r="W46" s="1">
        <v>46</v>
      </c>
    </row>
    <row r="47" spans="9:33">
      <c r="I47"/>
      <c r="W47" s="1">
        <v>47</v>
      </c>
    </row>
    <row r="48" spans="9:33">
      <c r="I48"/>
      <c r="W48" s="1">
        <v>48</v>
      </c>
    </row>
    <row r="49" spans="9:23">
      <c r="I49"/>
      <c r="W49" s="1">
        <v>49</v>
      </c>
    </row>
    <row r="50" spans="9:23">
      <c r="I50"/>
      <c r="W50" s="1">
        <v>50</v>
      </c>
    </row>
    <row r="51" spans="9:23">
      <c r="I51"/>
      <c r="W51" s="1">
        <v>51</v>
      </c>
    </row>
    <row r="52" spans="9:23">
      <c r="I52"/>
      <c r="W52" s="1">
        <v>52</v>
      </c>
    </row>
    <row r="53" spans="9:23">
      <c r="I53"/>
      <c r="W53" s="1">
        <v>53</v>
      </c>
    </row>
    <row r="54" spans="9:23">
      <c r="I54"/>
      <c r="W54" s="1">
        <v>54</v>
      </c>
    </row>
    <row r="55" spans="9:23">
      <c r="I55"/>
      <c r="W55" s="1">
        <v>55</v>
      </c>
    </row>
    <row r="56" spans="9:23">
      <c r="I56"/>
      <c r="W56" s="1">
        <v>56</v>
      </c>
    </row>
    <row r="57" spans="9:23">
      <c r="I57"/>
      <c r="W57" s="1">
        <v>57</v>
      </c>
    </row>
    <row r="58" spans="9:23">
      <c r="I58"/>
      <c r="W58" s="1">
        <v>58</v>
      </c>
    </row>
    <row r="59" spans="9:23">
      <c r="I59"/>
      <c r="W59" s="1">
        <v>59</v>
      </c>
    </row>
    <row r="60" spans="9:23">
      <c r="I60"/>
      <c r="W60" s="1">
        <v>60</v>
      </c>
    </row>
    <row r="61" spans="9:23">
      <c r="I61"/>
      <c r="W61" s="1">
        <v>61</v>
      </c>
    </row>
    <row r="62" spans="9:23">
      <c r="I62"/>
      <c r="W62" s="1">
        <v>62</v>
      </c>
    </row>
    <row r="63" spans="9:23">
      <c r="I63"/>
      <c r="W63" s="1">
        <v>63</v>
      </c>
    </row>
    <row r="64" spans="9:23">
      <c r="I64"/>
      <c r="W64" s="1">
        <v>64</v>
      </c>
    </row>
    <row r="65" spans="9:23">
      <c r="I65"/>
      <c r="W65" s="1">
        <v>65</v>
      </c>
    </row>
    <row r="66" spans="9:23">
      <c r="W66" s="1">
        <v>66</v>
      </c>
    </row>
    <row r="67" spans="9:23">
      <c r="W67" s="1">
        <v>67</v>
      </c>
    </row>
    <row r="68" spans="9:23">
      <c r="W68" s="1">
        <v>68</v>
      </c>
    </row>
    <row r="69" spans="9:23">
      <c r="W69" s="1">
        <v>69</v>
      </c>
    </row>
    <row r="70" spans="9:23">
      <c r="W70" s="1">
        <v>70</v>
      </c>
    </row>
    <row r="71" spans="9:23">
      <c r="W71" s="1">
        <v>71</v>
      </c>
    </row>
    <row r="72" spans="9:23">
      <c r="W72" s="1">
        <v>72</v>
      </c>
    </row>
    <row r="73" spans="9:23">
      <c r="W73" s="1">
        <v>73</v>
      </c>
    </row>
    <row r="74" spans="9:23">
      <c r="W74" s="1">
        <v>74</v>
      </c>
    </row>
    <row r="75" spans="9:23">
      <c r="W75" s="1">
        <v>75</v>
      </c>
    </row>
    <row r="76" spans="9:23">
      <c r="W76" s="1">
        <v>76</v>
      </c>
    </row>
    <row r="77" spans="9:23">
      <c r="W77" s="1">
        <v>77</v>
      </c>
    </row>
    <row r="78" spans="9:23">
      <c r="W78" s="1">
        <v>78</v>
      </c>
    </row>
    <row r="79" spans="9:23">
      <c r="W79" s="1">
        <v>79</v>
      </c>
    </row>
    <row r="80" spans="9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sortState ref="I1:N99">
    <sortCondition descending="1" ref="J1:J99"/>
    <sortCondition descending="1" ref="K1:K99"/>
  </sortState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K99"/>
  <sheetViews>
    <sheetView zoomScale="73" zoomScaleNormal="73" workbookViewId="0">
      <selection activeCell="R30" sqref="R30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style="14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4.85546875" style="1" customWidth="1"/>
    <col min="29" max="29" width="2.140625" style="8" customWidth="1"/>
    <col min="30" max="31" width="4.85546875" style="1" customWidth="1"/>
    <col min="32" max="32" width="2.140625" style="8" customWidth="1"/>
    <col min="33" max="33" width="4.85546875" style="18" customWidth="1"/>
    <col min="34" max="34" width="2.140625" style="8" customWidth="1"/>
    <col min="35" max="35" width="9.7109375" customWidth="1"/>
    <col min="36" max="37" width="4.28515625" style="1" customWidth="1"/>
  </cols>
  <sheetData>
    <row r="1" spans="1:37">
      <c r="A1" s="4" t="s">
        <v>157</v>
      </c>
      <c r="B1" s="4" t="s">
        <v>163</v>
      </c>
      <c r="C1" s="5">
        <v>1</v>
      </c>
      <c r="D1" s="5">
        <v>2</v>
      </c>
      <c r="E1" s="1">
        <f t="shared" ref="E1:E8" si="0">C1-D1</f>
        <v>-1</v>
      </c>
      <c r="F1" s="1">
        <f t="shared" ref="F1:F8" si="1">D1-C1</f>
        <v>1</v>
      </c>
      <c r="G1" s="10">
        <v>0.67708333333333337</v>
      </c>
      <c r="H1" s="17"/>
      <c r="I1" s="14" t="s">
        <v>90</v>
      </c>
      <c r="J1" s="2">
        <f t="shared" ref="J1:J35" si="2">(L1/N1)*IF(N1&gt;5,1,IF(N1=5,0.9,IF(N1=4,0.8,0.7)))</f>
        <v>2.3400000000000003</v>
      </c>
      <c r="K1" s="2">
        <f t="shared" ref="K1:K35" si="3">M1/N1</f>
        <v>2.6</v>
      </c>
      <c r="L1" s="1">
        <f>0+1+3+3+3+3</f>
        <v>13</v>
      </c>
      <c r="M1" s="1">
        <f>0+0+2+3+3+5</f>
        <v>13</v>
      </c>
      <c r="N1" s="1">
        <f>0+1+1+1+1+1</f>
        <v>5</v>
      </c>
      <c r="V1" s="1"/>
      <c r="W1" s="1">
        <v>1</v>
      </c>
      <c r="X1" s="12" t="s">
        <v>203</v>
      </c>
      <c r="Y1" s="4" t="s">
        <v>98</v>
      </c>
      <c r="AA1" s="18" t="s">
        <v>110</v>
      </c>
      <c r="AB1" s="18" t="s">
        <v>113</v>
      </c>
      <c r="AD1" s="1">
        <v>19</v>
      </c>
      <c r="AE1" s="1">
        <v>5</v>
      </c>
      <c r="AG1" s="18" t="s">
        <v>111</v>
      </c>
      <c r="AI1" s="12"/>
    </row>
    <row r="2" spans="1:37">
      <c r="A2" s="4" t="s">
        <v>178</v>
      </c>
      <c r="B2" s="4" t="s">
        <v>123</v>
      </c>
      <c r="C2" s="5">
        <v>0</v>
      </c>
      <c r="D2" s="5">
        <v>5</v>
      </c>
      <c r="E2" s="1">
        <f t="shared" si="0"/>
        <v>-5</v>
      </c>
      <c r="F2" s="1">
        <f t="shared" si="1"/>
        <v>5</v>
      </c>
      <c r="G2" s="10">
        <v>0.72916666666666663</v>
      </c>
      <c r="H2" s="17"/>
      <c r="I2" s="14" t="s">
        <v>123</v>
      </c>
      <c r="J2" s="2">
        <f t="shared" si="2"/>
        <v>2.3333333333333335</v>
      </c>
      <c r="K2" s="2">
        <f t="shared" si="3"/>
        <v>1.8333333333333333</v>
      </c>
      <c r="L2" s="1">
        <f>0+1+3+3+1+3+3</f>
        <v>14</v>
      </c>
      <c r="M2" s="1">
        <f>0+0+1+4+0+1+5</f>
        <v>11</v>
      </c>
      <c r="N2" s="1">
        <f>0+1+1+1+1+1+1</f>
        <v>6</v>
      </c>
      <c r="W2" s="1">
        <v>2</v>
      </c>
      <c r="X2" s="12" t="s">
        <v>203</v>
      </c>
      <c r="Y2" s="4" t="s">
        <v>41</v>
      </c>
      <c r="AA2" s="18" t="s">
        <v>118</v>
      </c>
      <c r="AB2" s="18" t="s">
        <v>120</v>
      </c>
      <c r="AE2" s="1">
        <v>3</v>
      </c>
      <c r="AG2" s="18" t="s">
        <v>120</v>
      </c>
      <c r="AI2" s="12"/>
      <c r="AJ2" s="1" t="s">
        <v>150</v>
      </c>
    </row>
    <row r="3" spans="1:37">
      <c r="A3" s="4" t="s">
        <v>162</v>
      </c>
      <c r="B3" s="4" t="s">
        <v>167</v>
      </c>
      <c r="C3" s="5">
        <v>1</v>
      </c>
      <c r="D3" s="5">
        <v>1</v>
      </c>
      <c r="E3" s="1">
        <f t="shared" si="0"/>
        <v>0</v>
      </c>
      <c r="F3" s="1">
        <f t="shared" si="1"/>
        <v>0</v>
      </c>
      <c r="G3" s="10">
        <v>0.94791666666666663</v>
      </c>
      <c r="H3" s="17"/>
      <c r="I3" s="14" t="s">
        <v>163</v>
      </c>
      <c r="J3" s="2">
        <f t="shared" si="2"/>
        <v>2</v>
      </c>
      <c r="K3" s="2">
        <f t="shared" si="3"/>
        <v>1.75</v>
      </c>
      <c r="L3" s="1">
        <f>0+3+1+3+3</f>
        <v>10</v>
      </c>
      <c r="M3" s="1">
        <f>0+1+0+5+1</f>
        <v>7</v>
      </c>
      <c r="N3" s="1">
        <f>0+1+1+1+1</f>
        <v>4</v>
      </c>
      <c r="W3" s="1">
        <v>3</v>
      </c>
      <c r="X3" s="12" t="s">
        <v>203</v>
      </c>
      <c r="Y3" s="4" t="s">
        <v>144</v>
      </c>
      <c r="AA3" s="18" t="s">
        <v>128</v>
      </c>
      <c r="AB3" s="18" t="s">
        <v>119</v>
      </c>
      <c r="AD3" s="1">
        <v>25</v>
      </c>
      <c r="AE3" s="1">
        <v>2</v>
      </c>
      <c r="AG3" s="18" t="s">
        <v>113</v>
      </c>
      <c r="AI3" s="12"/>
      <c r="AJ3" s="1" t="s">
        <v>150</v>
      </c>
    </row>
    <row r="4" spans="1:37">
      <c r="A4" s="4" t="s">
        <v>197</v>
      </c>
      <c r="B4" s="4" t="s">
        <v>84</v>
      </c>
      <c r="C4" s="5">
        <v>0</v>
      </c>
      <c r="D4" s="5">
        <v>0</v>
      </c>
      <c r="E4" s="1">
        <f t="shared" si="0"/>
        <v>0</v>
      </c>
      <c r="F4" s="1">
        <f t="shared" si="1"/>
        <v>0</v>
      </c>
      <c r="G4" s="10">
        <v>0.94791666666666663</v>
      </c>
      <c r="H4" s="17"/>
      <c r="I4" s="14" t="s">
        <v>167</v>
      </c>
      <c r="J4" s="2">
        <f t="shared" si="2"/>
        <v>1.9800000000000002</v>
      </c>
      <c r="K4" s="2">
        <f t="shared" si="3"/>
        <v>0.6</v>
      </c>
      <c r="L4" s="1">
        <f>0+1+3+3+3+1</f>
        <v>11</v>
      </c>
      <c r="M4" s="1">
        <f>0+0+1+1+1+0</f>
        <v>3</v>
      </c>
      <c r="N4" s="1">
        <f>0+1+1+1+1+1</f>
        <v>5</v>
      </c>
      <c r="V4" s="1"/>
      <c r="W4" s="1">
        <v>4</v>
      </c>
      <c r="X4" s="12" t="s">
        <v>204</v>
      </c>
      <c r="Y4" s="4" t="s">
        <v>202</v>
      </c>
      <c r="AA4" s="18" t="s">
        <v>206</v>
      </c>
      <c r="AB4" s="18" t="s">
        <v>193</v>
      </c>
      <c r="AE4" s="1">
        <v>11</v>
      </c>
      <c r="AG4" s="18" t="s">
        <v>119</v>
      </c>
      <c r="AI4" s="12"/>
      <c r="AK4" s="1" t="s">
        <v>153</v>
      </c>
    </row>
    <row r="5" spans="1:37">
      <c r="A5" s="4"/>
      <c r="B5" s="4"/>
      <c r="C5" s="5"/>
      <c r="D5" s="5"/>
      <c r="E5" s="1">
        <f t="shared" si="0"/>
        <v>0</v>
      </c>
      <c r="F5" s="1">
        <f t="shared" si="1"/>
        <v>0</v>
      </c>
      <c r="G5" s="10"/>
      <c r="H5" s="17"/>
      <c r="I5" s="14" t="s">
        <v>95</v>
      </c>
      <c r="J5" s="2">
        <f t="shared" si="2"/>
        <v>1.6666666666666667</v>
      </c>
      <c r="K5" s="2">
        <f t="shared" si="3"/>
        <v>1</v>
      </c>
      <c r="L5" s="1">
        <f>0+0+3+3+3+0+1</f>
        <v>10</v>
      </c>
      <c r="M5" s="1">
        <f>0+-1+5+3+1+-2+0</f>
        <v>6</v>
      </c>
      <c r="N5" s="1">
        <f>0+1+1+1+1+1+1</f>
        <v>6</v>
      </c>
      <c r="W5" s="1">
        <v>5</v>
      </c>
      <c r="X5" s="12"/>
      <c r="Y5" s="4"/>
      <c r="AA5" s="18"/>
      <c r="AB5" s="18"/>
      <c r="AG5" s="18" t="s">
        <v>111</v>
      </c>
      <c r="AI5" s="12"/>
      <c r="AK5" s="1" t="s">
        <v>153</v>
      </c>
    </row>
    <row r="6" spans="1:37">
      <c r="A6" s="4"/>
      <c r="B6" s="4"/>
      <c r="C6" s="5"/>
      <c r="D6" s="5"/>
      <c r="E6" s="1">
        <f t="shared" si="0"/>
        <v>0</v>
      </c>
      <c r="F6" s="1">
        <f t="shared" si="1"/>
        <v>0</v>
      </c>
      <c r="G6" s="10"/>
      <c r="H6" s="17"/>
      <c r="I6" s="14" t="s">
        <v>89</v>
      </c>
      <c r="J6" s="2">
        <f t="shared" si="2"/>
        <v>1.6333333333333333</v>
      </c>
      <c r="K6" s="2">
        <f t="shared" si="3"/>
        <v>1</v>
      </c>
      <c r="L6" s="1">
        <f>0+1+3+3</f>
        <v>7</v>
      </c>
      <c r="M6" s="1">
        <f>0+0+1+2</f>
        <v>3</v>
      </c>
      <c r="N6" s="1">
        <f>0+1+1+1</f>
        <v>3</v>
      </c>
      <c r="W6" s="1">
        <v>6</v>
      </c>
      <c r="X6" s="12"/>
      <c r="Y6" s="4"/>
      <c r="AA6" s="18"/>
      <c r="AB6" s="18"/>
      <c r="AD6" s="18"/>
      <c r="AG6" s="18" t="s">
        <v>130</v>
      </c>
      <c r="AI6" s="12"/>
    </row>
    <row r="7" spans="1:37">
      <c r="A7" s="4"/>
      <c r="B7" s="4"/>
      <c r="C7" s="5"/>
      <c r="D7" s="5"/>
      <c r="E7" s="1">
        <f t="shared" si="0"/>
        <v>0</v>
      </c>
      <c r="F7" s="1">
        <f t="shared" si="1"/>
        <v>0</v>
      </c>
      <c r="G7" s="10"/>
      <c r="H7" s="17"/>
      <c r="I7" s="14" t="s">
        <v>156</v>
      </c>
      <c r="J7" s="2">
        <f t="shared" si="2"/>
        <v>1.6333333333333333</v>
      </c>
      <c r="K7" s="2">
        <f t="shared" si="3"/>
        <v>1</v>
      </c>
      <c r="L7" s="1">
        <f>0+1+3+3</f>
        <v>7</v>
      </c>
      <c r="M7" s="1">
        <f>0+0+1+2</f>
        <v>3</v>
      </c>
      <c r="N7" s="1">
        <f>0+1+1+1</f>
        <v>3</v>
      </c>
      <c r="W7" s="1">
        <v>7</v>
      </c>
      <c r="X7" s="12"/>
      <c r="Y7" s="4"/>
      <c r="AA7" s="18"/>
      <c r="AB7" s="18"/>
      <c r="AD7" s="18"/>
      <c r="AE7" s="18"/>
      <c r="AG7" s="18" t="s">
        <v>193</v>
      </c>
      <c r="AI7" s="12"/>
    </row>
    <row r="8" spans="1:37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10"/>
      <c r="H8" s="17"/>
      <c r="I8" s="14" t="s">
        <v>85</v>
      </c>
      <c r="J8" s="2">
        <f t="shared" si="2"/>
        <v>1.5714285714285714</v>
      </c>
      <c r="K8" s="2">
        <f t="shared" si="3"/>
        <v>0.5714285714285714</v>
      </c>
      <c r="L8" s="1">
        <f>0+1+3+1+3+3+0+0</f>
        <v>11</v>
      </c>
      <c r="M8" s="1">
        <f>0+0+2+0+1+3+-1+-1</f>
        <v>4</v>
      </c>
      <c r="N8" s="1">
        <f>0+1+1+1+1+1+1+1</f>
        <v>7</v>
      </c>
      <c r="W8" s="1">
        <v>8</v>
      </c>
      <c r="X8" s="12"/>
      <c r="Y8" s="4"/>
      <c r="AA8" s="18"/>
      <c r="AB8" s="18"/>
      <c r="AD8" s="18"/>
      <c r="AE8" s="18"/>
      <c r="AG8" s="18" t="s">
        <v>119</v>
      </c>
      <c r="AI8" s="12"/>
    </row>
    <row r="9" spans="1:37">
      <c r="A9" t="s">
        <v>6</v>
      </c>
      <c r="C9"/>
      <c r="D9"/>
      <c r="E9"/>
      <c r="F9"/>
      <c r="G9" s="15"/>
      <c r="H9" s="7"/>
      <c r="I9" s="14" t="s">
        <v>126</v>
      </c>
      <c r="J9" s="2">
        <f t="shared" si="2"/>
        <v>1.4400000000000002</v>
      </c>
      <c r="K9" s="2">
        <f t="shared" si="3"/>
        <v>0.4</v>
      </c>
      <c r="L9" s="1">
        <f>0+1+1+3+3+0</f>
        <v>8</v>
      </c>
      <c r="M9" s="1">
        <f>0+0+0+1+2+-1</f>
        <v>2</v>
      </c>
      <c r="N9" s="1">
        <f>0+1+1+1+1+1</f>
        <v>5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/>
      <c r="AE9" s="3"/>
      <c r="AG9" s="18" t="s">
        <v>111</v>
      </c>
      <c r="AI9" s="16" t="s">
        <v>205</v>
      </c>
    </row>
    <row r="10" spans="1:37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I10" s="14" t="s">
        <v>84</v>
      </c>
      <c r="J10" s="2">
        <f t="shared" si="2"/>
        <v>1.4000000000000001</v>
      </c>
      <c r="K10" s="2">
        <f t="shared" si="3"/>
        <v>0.5</v>
      </c>
      <c r="L10" s="1">
        <f>0+0+3+3+1</f>
        <v>7</v>
      </c>
      <c r="M10" s="1">
        <f>0-1+2+1+0</f>
        <v>2</v>
      </c>
      <c r="N10" s="1">
        <f>0+1+1+1+1</f>
        <v>4</v>
      </c>
      <c r="W10" s="1">
        <v>10</v>
      </c>
      <c r="X10" s="13" t="s">
        <v>54</v>
      </c>
      <c r="Y10" t="s">
        <v>38</v>
      </c>
      <c r="AG10" s="18" t="s">
        <v>193</v>
      </c>
      <c r="AJ10" s="1" t="s">
        <v>150</v>
      </c>
    </row>
    <row r="11" spans="1:37">
      <c r="A11" t="s">
        <v>7</v>
      </c>
      <c r="C11"/>
      <c r="D11"/>
      <c r="E11"/>
      <c r="F11"/>
      <c r="I11" s="14" t="s">
        <v>140</v>
      </c>
      <c r="J11" s="2">
        <f t="shared" si="2"/>
        <v>1.4000000000000001</v>
      </c>
      <c r="K11" s="2">
        <f t="shared" si="3"/>
        <v>0.25</v>
      </c>
      <c r="L11" s="1">
        <f>0+0+3+3+1</f>
        <v>7</v>
      </c>
      <c r="M11" s="1">
        <f>0+-2+1+2+0</f>
        <v>1</v>
      </c>
      <c r="N11" s="1">
        <f>0+1+1+1+1</f>
        <v>4</v>
      </c>
      <c r="W11" s="1">
        <v>11</v>
      </c>
      <c r="X11" s="13" t="s">
        <v>55</v>
      </c>
      <c r="Y11" t="s">
        <v>39</v>
      </c>
      <c r="AG11" s="18" t="s">
        <v>146</v>
      </c>
      <c r="AK11" s="1" t="s">
        <v>153</v>
      </c>
    </row>
    <row r="12" spans="1:37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I12" s="14" t="s">
        <v>178</v>
      </c>
      <c r="J12" s="2">
        <f t="shared" si="2"/>
        <v>1.4</v>
      </c>
      <c r="K12" s="2">
        <f t="shared" si="3"/>
        <v>-1</v>
      </c>
      <c r="L12" s="1">
        <f>0+3+3+0</f>
        <v>6</v>
      </c>
      <c r="M12" s="1">
        <f>0+1+1+-5</f>
        <v>-3</v>
      </c>
      <c r="N12" s="1">
        <f>0+1+1+1</f>
        <v>3</v>
      </c>
      <c r="W12" s="1">
        <v>12</v>
      </c>
      <c r="X12" s="13" t="s">
        <v>25</v>
      </c>
      <c r="Y12" t="s">
        <v>40</v>
      </c>
      <c r="AG12" s="18" t="s">
        <v>113</v>
      </c>
      <c r="AJ12" s="1" t="s">
        <v>150</v>
      </c>
    </row>
    <row r="13" spans="1:37">
      <c r="A13" t="s">
        <v>15</v>
      </c>
      <c r="C13"/>
      <c r="D13"/>
      <c r="E13"/>
      <c r="F13"/>
      <c r="I13" s="20" t="s">
        <v>132</v>
      </c>
      <c r="J13" s="2">
        <f t="shared" si="2"/>
        <v>1.3333333333333333</v>
      </c>
      <c r="K13" s="2">
        <f t="shared" si="3"/>
        <v>-0.33333333333333331</v>
      </c>
      <c r="L13" s="1">
        <f>0+3+0+3+1+1+0</f>
        <v>8</v>
      </c>
      <c r="M13" s="1">
        <f>0+1+-1+3+0+0+-5</f>
        <v>-2</v>
      </c>
      <c r="N13" s="1">
        <f>0+1+1+1+1+1+1</f>
        <v>6</v>
      </c>
      <c r="W13" s="1">
        <v>13</v>
      </c>
      <c r="X13" s="13" t="s">
        <v>29</v>
      </c>
      <c r="Y13" t="s">
        <v>45</v>
      </c>
      <c r="AG13" s="18" t="s">
        <v>191</v>
      </c>
      <c r="AK13" s="1" t="s">
        <v>153</v>
      </c>
    </row>
    <row r="14" spans="1:37">
      <c r="A14" s="3" t="s">
        <v>30</v>
      </c>
      <c r="C14"/>
      <c r="D14"/>
      <c r="E14"/>
      <c r="F14"/>
      <c r="I14" s="14" t="s">
        <v>96</v>
      </c>
      <c r="J14" s="2">
        <f t="shared" si="2"/>
        <v>1.1666666666666667</v>
      </c>
      <c r="K14" s="2">
        <f t="shared" si="3"/>
        <v>0.33333333333333331</v>
      </c>
      <c r="L14" s="1">
        <f>0+1+1+3</f>
        <v>5</v>
      </c>
      <c r="M14" s="1">
        <f>0+0+0+1</f>
        <v>1</v>
      </c>
      <c r="N14" s="1">
        <f>0+1+1+1</f>
        <v>3</v>
      </c>
      <c r="W14" s="1">
        <v>14</v>
      </c>
      <c r="X14" s="13" t="s">
        <v>56</v>
      </c>
      <c r="Y14" t="s">
        <v>42</v>
      </c>
      <c r="AG14" s="18" t="s">
        <v>112</v>
      </c>
      <c r="AK14" s="1" t="s">
        <v>153</v>
      </c>
    </row>
    <row r="15" spans="1:37">
      <c r="A15" t="s">
        <v>133</v>
      </c>
      <c r="C15"/>
      <c r="D15"/>
      <c r="E15"/>
      <c r="F15"/>
      <c r="I15" s="14" t="s">
        <v>139</v>
      </c>
      <c r="J15" s="2">
        <f t="shared" si="2"/>
        <v>1.1666666666666667</v>
      </c>
      <c r="K15" s="2">
        <f t="shared" si="3"/>
        <v>0</v>
      </c>
      <c r="L15" s="1">
        <f>0+3+0+1+0+3+0</f>
        <v>7</v>
      </c>
      <c r="M15" s="1">
        <f>0+2+-1+0+-1+1+-1</f>
        <v>0</v>
      </c>
      <c r="N15" s="1">
        <f>0+1+1+1+1+1+1</f>
        <v>6</v>
      </c>
      <c r="W15" s="1">
        <v>15</v>
      </c>
      <c r="X15" s="13" t="s">
        <v>57</v>
      </c>
      <c r="Y15" t="s">
        <v>43</v>
      </c>
      <c r="AG15" s="18" t="s">
        <v>113</v>
      </c>
      <c r="AK15" s="1" t="s">
        <v>153</v>
      </c>
    </row>
    <row r="16" spans="1:37">
      <c r="A16" t="s">
        <v>23</v>
      </c>
      <c r="C16"/>
      <c r="D16"/>
      <c r="E16"/>
      <c r="F16"/>
      <c r="I16" s="14" t="s">
        <v>138</v>
      </c>
      <c r="J16" s="2">
        <f t="shared" si="2"/>
        <v>1</v>
      </c>
      <c r="K16" s="2">
        <f t="shared" si="3"/>
        <v>-0.75</v>
      </c>
      <c r="L16" s="1">
        <f>0+1+1+0+3</f>
        <v>5</v>
      </c>
      <c r="M16" s="1">
        <f>0+0+0+-4+1</f>
        <v>-3</v>
      </c>
      <c r="N16" s="1">
        <f>0+1+1+1+1</f>
        <v>4</v>
      </c>
      <c r="W16" s="1">
        <v>16</v>
      </c>
      <c r="X16" s="13" t="s">
        <v>58</v>
      </c>
      <c r="Y16" t="s">
        <v>44</v>
      </c>
      <c r="AG16" s="18" t="s">
        <v>113</v>
      </c>
      <c r="AK16" s="1" t="s">
        <v>153</v>
      </c>
    </row>
    <row r="17" spans="1:37">
      <c r="A17" t="s">
        <v>134</v>
      </c>
      <c r="I17" s="14" t="s">
        <v>83</v>
      </c>
      <c r="J17" s="2">
        <f t="shared" si="2"/>
        <v>0.93333333333333324</v>
      </c>
      <c r="K17" s="2">
        <f t="shared" si="3"/>
        <v>0</v>
      </c>
      <c r="L17" s="1">
        <f>0+3+1+0</f>
        <v>4</v>
      </c>
      <c r="M17" s="1">
        <f>0+1+0+-1</f>
        <v>0</v>
      </c>
      <c r="N17" s="1">
        <f>0+1+1+1</f>
        <v>3</v>
      </c>
      <c r="W17" s="1">
        <v>17</v>
      </c>
      <c r="X17" s="13" t="s">
        <v>59</v>
      </c>
      <c r="Y17" t="s">
        <v>46</v>
      </c>
      <c r="AG17" s="18" t="s">
        <v>201</v>
      </c>
      <c r="AK17" s="1" t="s">
        <v>153</v>
      </c>
    </row>
    <row r="18" spans="1:37">
      <c r="A18" t="s">
        <v>33</v>
      </c>
      <c r="C18"/>
      <c r="D18"/>
      <c r="E18"/>
      <c r="F18"/>
      <c r="I18" s="14" t="s">
        <v>124</v>
      </c>
      <c r="J18" s="2">
        <f t="shared" si="2"/>
        <v>0.9</v>
      </c>
      <c r="K18" s="2">
        <f t="shared" si="3"/>
        <v>-0.6</v>
      </c>
      <c r="L18" s="1">
        <f>0+3+1+1+0+0</f>
        <v>5</v>
      </c>
      <c r="M18" s="1">
        <f>0+1+0+0+-2+-2</f>
        <v>-3</v>
      </c>
      <c r="N18" s="1">
        <f>0+1+1+1+1+1</f>
        <v>5</v>
      </c>
      <c r="W18" s="1">
        <v>18</v>
      </c>
      <c r="X18" s="13" t="s">
        <v>60</v>
      </c>
      <c r="Y18" t="s">
        <v>47</v>
      </c>
      <c r="AG18" s="18" t="s">
        <v>119</v>
      </c>
      <c r="AK18" s="1" t="s">
        <v>153</v>
      </c>
    </row>
    <row r="19" spans="1:37">
      <c r="B19" t="s">
        <v>180</v>
      </c>
      <c r="I19" s="14" t="s">
        <v>86</v>
      </c>
      <c r="J19" s="2">
        <f t="shared" si="2"/>
        <v>0.83333333333333337</v>
      </c>
      <c r="K19" s="2">
        <f t="shared" si="3"/>
        <v>-0.16666666666666666</v>
      </c>
      <c r="L19" s="1">
        <f>0+1+1+1+1+1+0</f>
        <v>5</v>
      </c>
      <c r="M19" s="1">
        <f>0+0+0+0+0+0+-1</f>
        <v>-1</v>
      </c>
      <c r="N19" s="1">
        <f>0+1+1+1+1+1+1</f>
        <v>6</v>
      </c>
      <c r="W19" s="1">
        <v>19</v>
      </c>
      <c r="X19" s="13" t="s">
        <v>26</v>
      </c>
      <c r="Y19" t="s">
        <v>48</v>
      </c>
      <c r="AG19" s="18" t="s">
        <v>131</v>
      </c>
      <c r="AK19" s="1" t="s">
        <v>153</v>
      </c>
    </row>
    <row r="20" spans="1:37">
      <c r="A20" t="s">
        <v>135</v>
      </c>
      <c r="I20" s="14" t="s">
        <v>157</v>
      </c>
      <c r="J20" s="2">
        <f t="shared" si="2"/>
        <v>0.72000000000000008</v>
      </c>
      <c r="K20" s="2">
        <f t="shared" si="3"/>
        <v>-1</v>
      </c>
      <c r="L20" s="1">
        <f>0+0+1+0+3+0</f>
        <v>4</v>
      </c>
      <c r="M20" s="1">
        <f>0+-3+0+-2+1+-1</f>
        <v>-5</v>
      </c>
      <c r="N20" s="1">
        <f>0+1+1+1+1+1</f>
        <v>5</v>
      </c>
      <c r="W20" s="1">
        <v>20</v>
      </c>
      <c r="X20" s="13" t="s">
        <v>61</v>
      </c>
      <c r="Y20" t="s">
        <v>49</v>
      </c>
      <c r="AG20" s="18" t="s">
        <v>120</v>
      </c>
      <c r="AK20" s="1" t="s">
        <v>153</v>
      </c>
    </row>
    <row r="21" spans="1:37">
      <c r="A21" t="s">
        <v>19</v>
      </c>
      <c r="I21" s="14" t="s">
        <v>94</v>
      </c>
      <c r="J21" s="2">
        <f t="shared" si="2"/>
        <v>0.7</v>
      </c>
      <c r="K21" s="2">
        <f t="shared" si="3"/>
        <v>-1.3333333333333333</v>
      </c>
      <c r="L21" s="1">
        <f>0+3+0+0</f>
        <v>3</v>
      </c>
      <c r="M21" s="1">
        <f>0+1+-3+-2</f>
        <v>-4</v>
      </c>
      <c r="N21" s="1">
        <f>0+1+1+1</f>
        <v>3</v>
      </c>
      <c r="W21" s="1">
        <v>21</v>
      </c>
      <c r="X21" s="13" t="s">
        <v>62</v>
      </c>
      <c r="Y21" t="s">
        <v>50</v>
      </c>
      <c r="AG21" s="18" t="s">
        <v>131</v>
      </c>
      <c r="AK21" s="1" t="s">
        <v>153</v>
      </c>
    </row>
    <row r="22" spans="1:37">
      <c r="B22" t="s">
        <v>20</v>
      </c>
      <c r="I22" s="14" t="s">
        <v>114</v>
      </c>
      <c r="J22" s="2">
        <f t="shared" si="2"/>
        <v>0.7</v>
      </c>
      <c r="K22" s="2">
        <f t="shared" si="3"/>
        <v>-1.6666666666666667</v>
      </c>
      <c r="L22" s="1">
        <f>0+0+0+3</f>
        <v>3</v>
      </c>
      <c r="M22" s="1">
        <f>0+-2+-5+2</f>
        <v>-5</v>
      </c>
      <c r="N22" s="1">
        <f>0+1+1+1</f>
        <v>3</v>
      </c>
      <c r="W22" s="1">
        <v>22</v>
      </c>
      <c r="X22" s="13" t="s">
        <v>63</v>
      </c>
      <c r="Y22" t="s">
        <v>51</v>
      </c>
      <c r="AG22" s="18" t="s">
        <v>130</v>
      </c>
      <c r="AK22" s="1" t="s">
        <v>153</v>
      </c>
    </row>
    <row r="23" spans="1:37">
      <c r="B23" t="s">
        <v>88</v>
      </c>
      <c r="I23" s="14" t="s">
        <v>93</v>
      </c>
      <c r="J23" s="2">
        <f t="shared" si="2"/>
        <v>0.60000000000000009</v>
      </c>
      <c r="K23" s="2">
        <f t="shared" si="3"/>
        <v>-1.5</v>
      </c>
      <c r="L23" s="1">
        <f>0+0+0+3+0</f>
        <v>3</v>
      </c>
      <c r="M23" s="1">
        <f>0+-2+-1+1+-4</f>
        <v>-6</v>
      </c>
      <c r="N23" s="1">
        <f>0+1+1+1+1</f>
        <v>4</v>
      </c>
      <c r="W23" s="1">
        <v>23</v>
      </c>
      <c r="X23" s="13" t="s">
        <v>28</v>
      </c>
      <c r="Y23" t="s">
        <v>52</v>
      </c>
      <c r="AG23" s="18" t="s">
        <v>120</v>
      </c>
      <c r="AK23" s="1" t="s">
        <v>153</v>
      </c>
    </row>
    <row r="24" spans="1:37">
      <c r="A24" t="s">
        <v>16</v>
      </c>
      <c r="C24"/>
      <c r="D24"/>
      <c r="E24"/>
      <c r="F24"/>
      <c r="I24" s="14" t="s">
        <v>162</v>
      </c>
      <c r="J24" s="2">
        <f t="shared" si="2"/>
        <v>0.54</v>
      </c>
      <c r="K24" s="2">
        <f t="shared" si="3"/>
        <v>-0.6</v>
      </c>
      <c r="L24" s="1">
        <f>0+0+1+1+0+1</f>
        <v>3</v>
      </c>
      <c r="M24" s="1">
        <f>0+-1+0+0+-2+0</f>
        <v>-3</v>
      </c>
      <c r="N24" s="1">
        <f>0+1+1+1+1+1</f>
        <v>5</v>
      </c>
      <c r="W24" s="1">
        <v>24</v>
      </c>
      <c r="X24" s="13" t="s">
        <v>64</v>
      </c>
      <c r="Y24" t="s">
        <v>53</v>
      </c>
      <c r="AG24" s="18" t="s">
        <v>111</v>
      </c>
      <c r="AJ24" s="1" t="s">
        <v>150</v>
      </c>
    </row>
    <row r="25" spans="1:37">
      <c r="A25" t="s">
        <v>17</v>
      </c>
      <c r="B25" s="2" t="e">
        <f t="shared" ref="B25" si="4">(D25/F25)*IF(F25&gt;5,1,IF(F25=5,0.9,IF(F25=4,0.8,0.7)))</f>
        <v>#DIV/0!</v>
      </c>
      <c r="C25" s="2" t="e">
        <f t="shared" ref="C25" si="5">E25/F25</f>
        <v>#DIV/0!</v>
      </c>
      <c r="D25" s="1">
        <f>0</f>
        <v>0</v>
      </c>
      <c r="E25" s="1">
        <f>0</f>
        <v>0</v>
      </c>
      <c r="F25" s="1">
        <f>0</f>
        <v>0</v>
      </c>
      <c r="I25" s="14" t="s">
        <v>155</v>
      </c>
      <c r="J25" s="2">
        <f t="shared" si="2"/>
        <v>0.46666666666666662</v>
      </c>
      <c r="K25" s="2">
        <f t="shared" si="3"/>
        <v>-0.33333333333333331</v>
      </c>
      <c r="L25" s="1">
        <f>0+1+1+0</f>
        <v>2</v>
      </c>
      <c r="M25" s="1">
        <f>0+0+0+-1</f>
        <v>-1</v>
      </c>
      <c r="N25" s="1">
        <f>0+1+1+1</f>
        <v>3</v>
      </c>
      <c r="W25" s="1">
        <v>25</v>
      </c>
      <c r="X25" s="13" t="s">
        <v>65</v>
      </c>
      <c r="Y25" t="s">
        <v>68</v>
      </c>
      <c r="AG25" s="18" t="s">
        <v>119</v>
      </c>
      <c r="AK25" s="1" t="s">
        <v>153</v>
      </c>
    </row>
    <row r="26" spans="1:37">
      <c r="A26" t="s">
        <v>18</v>
      </c>
      <c r="B26" t="s">
        <v>136</v>
      </c>
      <c r="I26" s="14" t="s">
        <v>161</v>
      </c>
      <c r="J26" s="2">
        <f t="shared" si="2"/>
        <v>0.4</v>
      </c>
      <c r="K26" s="2">
        <f t="shared" si="3"/>
        <v>-0.5</v>
      </c>
      <c r="L26" s="1">
        <f>0+1+1+0+0</f>
        <v>2</v>
      </c>
      <c r="M26" s="1">
        <f>0+0+0+-1+-1</f>
        <v>-2</v>
      </c>
      <c r="N26" s="1">
        <f>0+1+1+1+1</f>
        <v>4</v>
      </c>
      <c r="W26" s="1">
        <v>26</v>
      </c>
      <c r="X26" s="13" t="s">
        <v>66</v>
      </c>
      <c r="Y26" t="s">
        <v>69</v>
      </c>
      <c r="AK26" s="1" t="s">
        <v>153</v>
      </c>
    </row>
    <row r="27" spans="1:37">
      <c r="A27" t="s">
        <v>14</v>
      </c>
      <c r="I27" s="14" t="s">
        <v>159</v>
      </c>
      <c r="J27" s="2">
        <f t="shared" si="2"/>
        <v>0.36000000000000004</v>
      </c>
      <c r="K27" s="2">
        <f t="shared" si="3"/>
        <v>-1.8</v>
      </c>
      <c r="L27" s="1">
        <f>0+1+0+0+1+0</f>
        <v>2</v>
      </c>
      <c r="M27" s="1">
        <f>0+0+-3+-5+0+-1</f>
        <v>-9</v>
      </c>
      <c r="N27" s="1">
        <f>0+1+1+1+1+1</f>
        <v>5</v>
      </c>
      <c r="W27" s="1">
        <v>27</v>
      </c>
      <c r="X27" s="13" t="s">
        <v>67</v>
      </c>
      <c r="Y27" t="s">
        <v>70</v>
      </c>
      <c r="AK27" s="1" t="s">
        <v>153</v>
      </c>
    </row>
    <row r="28" spans="1:37">
      <c r="A28" t="s">
        <v>21</v>
      </c>
      <c r="I28" s="14" t="s">
        <v>137</v>
      </c>
      <c r="J28" s="2">
        <f t="shared" si="2"/>
        <v>0.23333333333333331</v>
      </c>
      <c r="K28" s="2">
        <f t="shared" si="3"/>
        <v>-1.6666666666666667</v>
      </c>
      <c r="L28" s="1">
        <f>0+1+0+0</f>
        <v>1</v>
      </c>
      <c r="M28" s="1">
        <f>0+0+-4+-1</f>
        <v>-5</v>
      </c>
      <c r="N28" s="1">
        <f>0+1+1+1</f>
        <v>3</v>
      </c>
      <c r="W28" s="1">
        <v>28</v>
      </c>
      <c r="AK28" s="1" t="s">
        <v>153</v>
      </c>
    </row>
    <row r="29" spans="1:37">
      <c r="A29" t="s">
        <v>147</v>
      </c>
      <c r="I29" s="14" t="s">
        <v>125</v>
      </c>
      <c r="J29" s="2">
        <f t="shared" si="2"/>
        <v>0</v>
      </c>
      <c r="K29" s="2">
        <f t="shared" si="3"/>
        <v>-2</v>
      </c>
      <c r="L29" s="1">
        <f>0+0+0+0+0</f>
        <v>0</v>
      </c>
      <c r="M29" s="1">
        <f>0+-1+-3+-3+-1</f>
        <v>-8</v>
      </c>
      <c r="N29" s="1">
        <f>0+1+1+1+1</f>
        <v>4</v>
      </c>
      <c r="W29" s="1">
        <v>29</v>
      </c>
      <c r="AK29" s="1" t="s">
        <v>153</v>
      </c>
    </row>
    <row r="30" spans="1:37">
      <c r="A30" t="s">
        <v>148</v>
      </c>
      <c r="I30" s="14" t="s">
        <v>164</v>
      </c>
      <c r="J30" s="2">
        <f t="shared" si="2"/>
        <v>2.0999999999999996</v>
      </c>
      <c r="K30" s="2">
        <f t="shared" si="3"/>
        <v>4</v>
      </c>
      <c r="L30" s="1">
        <f>0+3+3</f>
        <v>6</v>
      </c>
      <c r="M30" s="1">
        <f>0+4+4</f>
        <v>8</v>
      </c>
      <c r="N30" s="1">
        <f>0+1+1</f>
        <v>2</v>
      </c>
      <c r="W30" s="1">
        <v>30</v>
      </c>
    </row>
    <row r="31" spans="1:37">
      <c r="A31" t="s">
        <v>149</v>
      </c>
      <c r="I31" s="14" t="s">
        <v>91</v>
      </c>
      <c r="J31" s="2">
        <f t="shared" si="2"/>
        <v>1.0499999999999998</v>
      </c>
      <c r="K31" s="2">
        <f t="shared" si="3"/>
        <v>0</v>
      </c>
      <c r="L31" s="1">
        <f>0+0+3</f>
        <v>3</v>
      </c>
      <c r="M31" s="1">
        <f>0+-1+1</f>
        <v>0</v>
      </c>
      <c r="N31" s="1">
        <f>0+1+1</f>
        <v>2</v>
      </c>
      <c r="W31" s="1">
        <v>31</v>
      </c>
    </row>
    <row r="32" spans="1:37">
      <c r="I32" s="14" t="s">
        <v>197</v>
      </c>
      <c r="J32" s="2">
        <f t="shared" si="2"/>
        <v>0.7</v>
      </c>
      <c r="K32" s="2">
        <f t="shared" si="3"/>
        <v>0</v>
      </c>
      <c r="L32" s="1">
        <f>0+1+1</f>
        <v>2</v>
      </c>
      <c r="M32" s="1">
        <f>0+0+0</f>
        <v>0</v>
      </c>
      <c r="N32" s="1">
        <f>0+1+1</f>
        <v>2</v>
      </c>
      <c r="W32" s="1">
        <v>32</v>
      </c>
    </row>
    <row r="33" spans="9:23">
      <c r="I33" s="14" t="s">
        <v>171</v>
      </c>
      <c r="J33" s="2">
        <f t="shared" si="2"/>
        <v>0</v>
      </c>
      <c r="K33" s="2">
        <f t="shared" si="3"/>
        <v>-1</v>
      </c>
      <c r="L33" s="1">
        <f>0+0+0</f>
        <v>0</v>
      </c>
      <c r="M33" s="1">
        <f>0+-1+-1</f>
        <v>-2</v>
      </c>
      <c r="N33" s="1">
        <f>0+1+1</f>
        <v>2</v>
      </c>
      <c r="W33" s="1">
        <v>33</v>
      </c>
    </row>
    <row r="34" spans="9:23">
      <c r="I34" s="14" t="s">
        <v>158</v>
      </c>
      <c r="J34" s="2">
        <f t="shared" si="2"/>
        <v>0</v>
      </c>
      <c r="K34" s="2">
        <f t="shared" si="3"/>
        <v>-1</v>
      </c>
      <c r="L34" s="1">
        <f>0+0+0</f>
        <v>0</v>
      </c>
      <c r="M34" s="1">
        <f>0+-1+-1</f>
        <v>-2</v>
      </c>
      <c r="N34" s="1">
        <f>0+1+1</f>
        <v>2</v>
      </c>
      <c r="W34" s="1">
        <v>34</v>
      </c>
    </row>
    <row r="35" spans="9:23">
      <c r="I35" s="14" t="s">
        <v>160</v>
      </c>
      <c r="J35" s="2">
        <f t="shared" si="2"/>
        <v>0.7</v>
      </c>
      <c r="K35" s="2">
        <f t="shared" si="3"/>
        <v>0</v>
      </c>
      <c r="L35" s="1">
        <f>0+1</f>
        <v>1</v>
      </c>
      <c r="M35" s="1">
        <f>0+0</f>
        <v>0</v>
      </c>
      <c r="N35" s="1">
        <f>0+1</f>
        <v>1</v>
      </c>
      <c r="W35" s="1">
        <v>35</v>
      </c>
    </row>
    <row r="36" spans="9:23">
      <c r="I36"/>
      <c r="W36" s="1">
        <v>36</v>
      </c>
    </row>
    <row r="37" spans="9:23">
      <c r="I37"/>
      <c r="W37" s="1">
        <v>37</v>
      </c>
    </row>
    <row r="38" spans="9:23">
      <c r="I38"/>
      <c r="W38" s="1">
        <v>38</v>
      </c>
    </row>
    <row r="39" spans="9:23">
      <c r="I39"/>
      <c r="W39" s="1">
        <v>39</v>
      </c>
    </row>
    <row r="40" spans="9:23">
      <c r="I40"/>
      <c r="W40" s="1">
        <v>40</v>
      </c>
    </row>
    <row r="41" spans="9:23">
      <c r="I41"/>
      <c r="W41" s="1">
        <v>41</v>
      </c>
    </row>
    <row r="42" spans="9:23">
      <c r="I42"/>
      <c r="W42" s="1">
        <v>42</v>
      </c>
    </row>
    <row r="43" spans="9:23">
      <c r="I43"/>
      <c r="W43" s="1">
        <v>43</v>
      </c>
    </row>
    <row r="44" spans="9:23">
      <c r="I44"/>
      <c r="W44" s="1">
        <v>44</v>
      </c>
    </row>
    <row r="45" spans="9:23">
      <c r="I45"/>
      <c r="W45" s="1">
        <v>45</v>
      </c>
    </row>
    <row r="46" spans="9:23">
      <c r="I46"/>
      <c r="W46" s="1">
        <v>46</v>
      </c>
    </row>
    <row r="47" spans="9:23">
      <c r="I47"/>
      <c r="W47" s="1">
        <v>47</v>
      </c>
    </row>
    <row r="48" spans="9:23">
      <c r="I48"/>
      <c r="W48" s="1">
        <v>48</v>
      </c>
    </row>
    <row r="49" spans="9:23">
      <c r="I49"/>
      <c r="W49" s="1">
        <v>49</v>
      </c>
    </row>
    <row r="50" spans="9:23">
      <c r="I50"/>
      <c r="W50" s="1">
        <v>50</v>
      </c>
    </row>
    <row r="51" spans="9:23">
      <c r="I51"/>
      <c r="W51" s="1">
        <v>51</v>
      </c>
    </row>
    <row r="52" spans="9:23">
      <c r="I52"/>
      <c r="W52" s="1">
        <v>52</v>
      </c>
    </row>
    <row r="53" spans="9:23">
      <c r="I53"/>
      <c r="W53" s="1">
        <v>53</v>
      </c>
    </row>
    <row r="54" spans="9:23">
      <c r="I54"/>
      <c r="W54" s="1">
        <v>54</v>
      </c>
    </row>
    <row r="55" spans="9:23">
      <c r="I55"/>
      <c r="W55" s="1">
        <v>55</v>
      </c>
    </row>
    <row r="56" spans="9:23">
      <c r="I56"/>
      <c r="W56" s="1">
        <v>56</v>
      </c>
    </row>
    <row r="57" spans="9:23">
      <c r="I57"/>
      <c r="W57" s="1">
        <v>57</v>
      </c>
    </row>
    <row r="58" spans="9:23">
      <c r="I58"/>
      <c r="W58" s="1">
        <v>58</v>
      </c>
    </row>
    <row r="59" spans="9:23">
      <c r="I59"/>
      <c r="W59" s="1">
        <v>59</v>
      </c>
    </row>
    <row r="60" spans="9:23">
      <c r="I60"/>
      <c r="W60" s="1">
        <v>60</v>
      </c>
    </row>
    <row r="61" spans="9:23">
      <c r="I61"/>
      <c r="W61" s="1">
        <v>61</v>
      </c>
    </row>
    <row r="62" spans="9:23">
      <c r="I62"/>
      <c r="W62" s="1">
        <v>62</v>
      </c>
    </row>
    <row r="63" spans="9:23">
      <c r="I63"/>
      <c r="W63" s="1">
        <v>63</v>
      </c>
    </row>
    <row r="64" spans="9:23">
      <c r="I64"/>
      <c r="W64" s="1">
        <v>64</v>
      </c>
    </row>
    <row r="65" spans="9:23">
      <c r="I65"/>
      <c r="W65" s="1">
        <v>65</v>
      </c>
    </row>
    <row r="66" spans="9:23">
      <c r="I66"/>
      <c r="W66" s="1">
        <v>66</v>
      </c>
    </row>
    <row r="67" spans="9:23">
      <c r="W67" s="1">
        <v>67</v>
      </c>
    </row>
    <row r="68" spans="9:23">
      <c r="W68" s="1">
        <v>68</v>
      </c>
    </row>
    <row r="69" spans="9:23">
      <c r="W69" s="1">
        <v>69</v>
      </c>
    </row>
    <row r="70" spans="9:23">
      <c r="W70" s="1">
        <v>70</v>
      </c>
    </row>
    <row r="71" spans="9:23">
      <c r="W71" s="1">
        <v>71</v>
      </c>
    </row>
    <row r="72" spans="9:23">
      <c r="W72" s="1">
        <v>72</v>
      </c>
    </row>
    <row r="73" spans="9:23">
      <c r="W73" s="1">
        <v>73</v>
      </c>
    </row>
    <row r="74" spans="9:23">
      <c r="W74" s="1">
        <v>74</v>
      </c>
    </row>
    <row r="75" spans="9:23">
      <c r="W75" s="1">
        <v>75</v>
      </c>
    </row>
    <row r="76" spans="9:23">
      <c r="W76" s="1">
        <v>76</v>
      </c>
    </row>
    <row r="77" spans="9:23">
      <c r="W77" s="1">
        <v>77</v>
      </c>
    </row>
    <row r="78" spans="9:23">
      <c r="W78" s="1">
        <v>78</v>
      </c>
    </row>
    <row r="79" spans="9:23">
      <c r="W79" s="1">
        <v>79</v>
      </c>
    </row>
    <row r="80" spans="9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K99"/>
  <sheetViews>
    <sheetView zoomScale="73" zoomScaleNormal="73" workbookViewId="0">
      <selection activeCell="Y4" sqref="Y4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style="14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4.85546875" style="1" customWidth="1"/>
    <col min="29" max="29" width="2.140625" style="8" customWidth="1"/>
    <col min="30" max="31" width="4.85546875" style="1" customWidth="1"/>
    <col min="32" max="32" width="2.140625" style="8" customWidth="1"/>
    <col min="33" max="33" width="4.85546875" style="18" customWidth="1"/>
    <col min="34" max="34" width="2.140625" style="8" customWidth="1"/>
    <col min="35" max="35" width="9.7109375" customWidth="1"/>
    <col min="36" max="37" width="4.28515625" style="1" customWidth="1"/>
  </cols>
  <sheetData>
    <row r="1" spans="1:37">
      <c r="A1" s="4" t="s">
        <v>89</v>
      </c>
      <c r="B1" s="4" t="s">
        <v>90</v>
      </c>
      <c r="C1" s="5">
        <v>5</v>
      </c>
      <c r="D1" s="5">
        <v>0</v>
      </c>
      <c r="E1" s="1">
        <f t="shared" ref="E1:E8" si="0">C1-D1</f>
        <v>5</v>
      </c>
      <c r="F1" s="1">
        <f t="shared" ref="F1:F8" si="1">D1-C1</f>
        <v>-5</v>
      </c>
      <c r="G1" s="10">
        <v>0.86458333333333337</v>
      </c>
      <c r="H1" s="17"/>
      <c r="I1" s="14" t="s">
        <v>123</v>
      </c>
      <c r="J1" s="2">
        <f t="shared" ref="J1:J36" si="2">(L1/N1)*IF(N1&gt;5,1,IF(N1=5,0.9,IF(N1=4,0.8,0.7)))</f>
        <v>2.3333333333333335</v>
      </c>
      <c r="K1" s="2">
        <f t="shared" ref="K1:K36" si="3">M1/N1</f>
        <v>1.8333333333333333</v>
      </c>
      <c r="L1" s="1">
        <f>0+1+3+3+1+3+3</f>
        <v>14</v>
      </c>
      <c r="M1" s="1">
        <f>0+0+1+4+0+1+5</f>
        <v>11</v>
      </c>
      <c r="N1" s="1">
        <f>0+1+1+1+1+1+1</f>
        <v>6</v>
      </c>
      <c r="V1" s="1"/>
      <c r="W1" s="1">
        <v>1</v>
      </c>
      <c r="X1" s="12" t="s">
        <v>62</v>
      </c>
      <c r="Y1" s="4" t="s">
        <v>209</v>
      </c>
      <c r="AA1" s="18" t="s">
        <v>108</v>
      </c>
      <c r="AB1" s="18" t="s">
        <v>111</v>
      </c>
      <c r="AD1" s="1">
        <v>6</v>
      </c>
      <c r="AE1" s="1">
        <v>1</v>
      </c>
      <c r="AG1" s="18" t="s">
        <v>191</v>
      </c>
      <c r="AI1" s="12"/>
      <c r="AJ1" s="1" t="s">
        <v>150</v>
      </c>
    </row>
    <row r="2" spans="1:37">
      <c r="A2" s="4"/>
      <c r="B2" s="4"/>
      <c r="C2" s="5"/>
      <c r="D2" s="5"/>
      <c r="E2" s="1">
        <f t="shared" si="0"/>
        <v>0</v>
      </c>
      <c r="F2" s="1">
        <f t="shared" si="1"/>
        <v>0</v>
      </c>
      <c r="G2" s="10"/>
      <c r="H2" s="17"/>
      <c r="I2" s="14" t="s">
        <v>90</v>
      </c>
      <c r="J2" s="2">
        <f t="shared" si="2"/>
        <v>2.1666666666666665</v>
      </c>
      <c r="K2" s="2">
        <f t="shared" si="3"/>
        <v>1.3333333333333333</v>
      </c>
      <c r="L2" s="1">
        <f>0+1+3+3+3+3+0</f>
        <v>13</v>
      </c>
      <c r="M2" s="1">
        <f>0+0+2+3+3+5+-5</f>
        <v>8</v>
      </c>
      <c r="N2" s="1">
        <f>0+1+1+1+1+1+1</f>
        <v>6</v>
      </c>
      <c r="W2" s="1">
        <v>2</v>
      </c>
      <c r="X2" s="12"/>
      <c r="Y2" s="4"/>
      <c r="AA2" s="18"/>
      <c r="AB2" s="18"/>
      <c r="AG2" s="18" t="s">
        <v>193</v>
      </c>
      <c r="AI2" s="12" t="s">
        <v>210</v>
      </c>
      <c r="AK2" s="1" t="s">
        <v>153</v>
      </c>
    </row>
    <row r="3" spans="1:37">
      <c r="A3" s="4" t="s">
        <v>161</v>
      </c>
      <c r="B3" s="4" t="s">
        <v>140</v>
      </c>
      <c r="C3" s="5">
        <v>2</v>
      </c>
      <c r="D3" s="5">
        <v>2</v>
      </c>
      <c r="E3" s="1">
        <f t="shared" si="0"/>
        <v>0</v>
      </c>
      <c r="F3" s="1">
        <f t="shared" si="1"/>
        <v>0</v>
      </c>
      <c r="G3" s="10">
        <v>0.625</v>
      </c>
      <c r="H3" s="17"/>
      <c r="I3" s="14" t="s">
        <v>89</v>
      </c>
      <c r="J3" s="2">
        <f t="shared" si="2"/>
        <v>2</v>
      </c>
      <c r="K3" s="2">
        <f t="shared" si="3"/>
        <v>2</v>
      </c>
      <c r="L3" s="1">
        <f>0+1+3+3+3</f>
        <v>10</v>
      </c>
      <c r="M3" s="1">
        <f>0+0+1+2+5</f>
        <v>8</v>
      </c>
      <c r="N3" s="1">
        <f>0+1+1+1+1</f>
        <v>4</v>
      </c>
      <c r="W3" s="1">
        <v>3</v>
      </c>
      <c r="X3" s="12" t="s">
        <v>204</v>
      </c>
      <c r="Y3" s="4" t="s">
        <v>144</v>
      </c>
      <c r="AA3" s="18" t="s">
        <v>218</v>
      </c>
      <c r="AB3" s="18" t="s">
        <v>219</v>
      </c>
      <c r="AD3" s="1">
        <v>26</v>
      </c>
      <c r="AE3" s="1">
        <v>11</v>
      </c>
      <c r="AG3" s="18" t="s">
        <v>201</v>
      </c>
      <c r="AI3" s="12"/>
      <c r="AJ3" s="1" t="s">
        <v>150</v>
      </c>
    </row>
    <row r="4" spans="1:37">
      <c r="A4" s="4" t="s">
        <v>94</v>
      </c>
      <c r="B4" s="4" t="s">
        <v>178</v>
      </c>
      <c r="C4" s="5">
        <v>0</v>
      </c>
      <c r="D4" s="5">
        <v>3</v>
      </c>
      <c r="E4" s="1">
        <f t="shared" si="0"/>
        <v>-3</v>
      </c>
      <c r="F4" s="1">
        <f t="shared" si="1"/>
        <v>3</v>
      </c>
      <c r="G4" s="10">
        <v>0.77083333333333337</v>
      </c>
      <c r="H4" s="17"/>
      <c r="I4" s="14" t="s">
        <v>163</v>
      </c>
      <c r="J4" s="2">
        <f t="shared" si="2"/>
        <v>2</v>
      </c>
      <c r="K4" s="2">
        <f t="shared" si="3"/>
        <v>1.75</v>
      </c>
      <c r="L4" s="1">
        <f>0+3+1+3+3</f>
        <v>10</v>
      </c>
      <c r="M4" s="1">
        <f>0+1+0+5+1</f>
        <v>7</v>
      </c>
      <c r="N4" s="1">
        <f>0+1+1+1+1</f>
        <v>4</v>
      </c>
      <c r="V4" s="1"/>
      <c r="W4" s="1">
        <v>4</v>
      </c>
      <c r="X4" s="12" t="s">
        <v>185</v>
      </c>
      <c r="Y4" s="4" t="s">
        <v>41</v>
      </c>
      <c r="AA4" s="18" t="s">
        <v>109</v>
      </c>
      <c r="AB4" s="18" t="s">
        <v>113</v>
      </c>
      <c r="AD4" s="1">
        <v>21</v>
      </c>
      <c r="AE4" s="1">
        <v>12</v>
      </c>
      <c r="AG4" s="18" t="s">
        <v>191</v>
      </c>
      <c r="AI4" s="12"/>
      <c r="AK4" s="1" t="s">
        <v>153</v>
      </c>
    </row>
    <row r="5" spans="1:37">
      <c r="A5" s="4"/>
      <c r="B5" s="4"/>
      <c r="C5" s="5"/>
      <c r="D5" s="5"/>
      <c r="E5" s="1">
        <f t="shared" si="0"/>
        <v>0</v>
      </c>
      <c r="F5" s="1">
        <f t="shared" si="1"/>
        <v>0</v>
      </c>
      <c r="G5" s="10"/>
      <c r="H5" s="17"/>
      <c r="I5" s="14" t="s">
        <v>167</v>
      </c>
      <c r="J5" s="2">
        <f t="shared" si="2"/>
        <v>1.9800000000000002</v>
      </c>
      <c r="K5" s="2">
        <f t="shared" si="3"/>
        <v>0.6</v>
      </c>
      <c r="L5" s="1">
        <f>0+1+3+3+3+1</f>
        <v>11</v>
      </c>
      <c r="M5" s="1">
        <f>0+0+1+1+1+0</f>
        <v>3</v>
      </c>
      <c r="N5" s="1">
        <f>0+1+1+1+1+1</f>
        <v>5</v>
      </c>
      <c r="W5" s="1">
        <v>5</v>
      </c>
      <c r="X5" s="12"/>
      <c r="Y5" s="4"/>
      <c r="AA5" s="18"/>
      <c r="AB5" s="18"/>
      <c r="AG5" s="18" t="s">
        <v>224</v>
      </c>
      <c r="AI5" s="12" t="s">
        <v>211</v>
      </c>
      <c r="AK5" s="1" t="s">
        <v>153</v>
      </c>
    </row>
    <row r="6" spans="1:37">
      <c r="A6" s="4" t="s">
        <v>126</v>
      </c>
      <c r="B6" s="4" t="s">
        <v>214</v>
      </c>
      <c r="C6" s="5">
        <v>3</v>
      </c>
      <c r="D6" s="5">
        <v>0</v>
      </c>
      <c r="E6" s="1">
        <f t="shared" si="0"/>
        <v>3</v>
      </c>
      <c r="F6" s="1">
        <f t="shared" si="1"/>
        <v>-3</v>
      </c>
      <c r="G6" s="10">
        <v>0.71875</v>
      </c>
      <c r="H6" s="17"/>
      <c r="I6" s="14" t="s">
        <v>126</v>
      </c>
      <c r="J6" s="2">
        <f t="shared" si="2"/>
        <v>1.8333333333333333</v>
      </c>
      <c r="K6" s="2">
        <f t="shared" si="3"/>
        <v>0.83333333333333337</v>
      </c>
      <c r="L6" s="1">
        <f>0+1+1+3+3+0+3</f>
        <v>11</v>
      </c>
      <c r="M6" s="1">
        <f>0+0+0+1+2+-1+3</f>
        <v>5</v>
      </c>
      <c r="N6" s="1">
        <f>0+1+1+1+1+1+1</f>
        <v>6</v>
      </c>
      <c r="W6" s="1">
        <v>6</v>
      </c>
      <c r="X6" s="12" t="s">
        <v>215</v>
      </c>
      <c r="Y6" s="4" t="s">
        <v>98</v>
      </c>
      <c r="AA6" s="1" t="s">
        <v>216</v>
      </c>
      <c r="AB6" s="1" t="s">
        <v>217</v>
      </c>
      <c r="AD6" s="18" t="s">
        <v>203</v>
      </c>
      <c r="AG6" s="18" t="s">
        <v>213</v>
      </c>
      <c r="AI6" s="12"/>
      <c r="AJ6" s="1" t="s">
        <v>150</v>
      </c>
    </row>
    <row r="7" spans="1:37">
      <c r="A7" s="4" t="s">
        <v>171</v>
      </c>
      <c r="B7" s="4" t="s">
        <v>139</v>
      </c>
      <c r="C7" s="5">
        <v>1</v>
      </c>
      <c r="D7" s="5">
        <v>2</v>
      </c>
      <c r="E7" s="1">
        <f t="shared" si="0"/>
        <v>-1</v>
      </c>
      <c r="F7" s="1">
        <f t="shared" si="1"/>
        <v>1</v>
      </c>
      <c r="G7" s="10">
        <v>0.90625</v>
      </c>
      <c r="H7" s="17"/>
      <c r="I7" s="14" t="s">
        <v>178</v>
      </c>
      <c r="J7" s="2">
        <f t="shared" si="2"/>
        <v>1.8</v>
      </c>
      <c r="K7" s="2">
        <f t="shared" si="3"/>
        <v>0</v>
      </c>
      <c r="L7" s="1">
        <f>0+3+3+0+3</f>
        <v>9</v>
      </c>
      <c r="M7" s="1">
        <f>0+1+1+-5+3</f>
        <v>0</v>
      </c>
      <c r="N7" s="1">
        <f>0+1+1+1+1</f>
        <v>4</v>
      </c>
      <c r="W7" s="1">
        <v>7</v>
      </c>
      <c r="X7" s="12" t="s">
        <v>204</v>
      </c>
      <c r="Y7" s="4" t="s">
        <v>144</v>
      </c>
      <c r="AA7" s="18" t="s">
        <v>220</v>
      </c>
      <c r="AB7" s="18" t="s">
        <v>189</v>
      </c>
      <c r="AD7" s="18"/>
      <c r="AE7" s="1">
        <v>15</v>
      </c>
      <c r="AG7" s="18" t="s">
        <v>226</v>
      </c>
      <c r="AI7" s="12"/>
      <c r="AJ7" s="1" t="s">
        <v>150</v>
      </c>
    </row>
    <row r="8" spans="1:37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10"/>
      <c r="H8" s="17"/>
      <c r="I8" s="14" t="s">
        <v>95</v>
      </c>
      <c r="J8" s="2">
        <f t="shared" si="2"/>
        <v>1.6666666666666667</v>
      </c>
      <c r="K8" s="2">
        <f t="shared" si="3"/>
        <v>1</v>
      </c>
      <c r="L8" s="1">
        <f>0+0+3+3+3+0+1</f>
        <v>10</v>
      </c>
      <c r="M8" s="1">
        <f>0+-1+5+3+1+-2+0</f>
        <v>6</v>
      </c>
      <c r="N8" s="1">
        <f>0+1+1+1+1+1+1</f>
        <v>6</v>
      </c>
      <c r="W8" s="1">
        <v>8</v>
      </c>
      <c r="X8" s="12"/>
      <c r="Y8" s="4"/>
      <c r="AA8" s="18"/>
      <c r="AB8" s="18"/>
      <c r="AD8" s="18"/>
      <c r="AE8" s="18"/>
      <c r="AG8" s="18" t="s">
        <v>225</v>
      </c>
      <c r="AI8" s="12"/>
      <c r="AK8" s="1" t="s">
        <v>153</v>
      </c>
    </row>
    <row r="9" spans="1:37">
      <c r="A9" t="s">
        <v>6</v>
      </c>
      <c r="C9"/>
      <c r="D9"/>
      <c r="E9"/>
      <c r="F9"/>
      <c r="G9" s="15"/>
      <c r="H9" s="7"/>
      <c r="I9" s="14" t="s">
        <v>156</v>
      </c>
      <c r="J9" s="2">
        <f t="shared" si="2"/>
        <v>1.6333333333333333</v>
      </c>
      <c r="K9" s="2">
        <f t="shared" si="3"/>
        <v>1</v>
      </c>
      <c r="L9" s="1">
        <f>0+1+3+3</f>
        <v>7</v>
      </c>
      <c r="M9" s="1">
        <f>0+0+1+2</f>
        <v>3</v>
      </c>
      <c r="N9" s="1">
        <f>0+1+1+1</f>
        <v>3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/>
      <c r="AE9" s="3"/>
      <c r="AG9" s="18" t="s">
        <v>193</v>
      </c>
      <c r="AI9" s="16" t="s">
        <v>208</v>
      </c>
      <c r="AK9" s="1" t="s">
        <v>153</v>
      </c>
    </row>
    <row r="10" spans="1:37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I10" s="14" t="s">
        <v>85</v>
      </c>
      <c r="J10" s="2">
        <f t="shared" si="2"/>
        <v>1.5714285714285714</v>
      </c>
      <c r="K10" s="2">
        <f t="shared" si="3"/>
        <v>0.5714285714285714</v>
      </c>
      <c r="L10" s="1">
        <f>0+1+3+1+3+3+0+0</f>
        <v>11</v>
      </c>
      <c r="M10" s="1">
        <f>0+0+2+0+1+3+-1+-1</f>
        <v>4</v>
      </c>
      <c r="N10" s="1">
        <f>0+1+1+1+1+1+1+1</f>
        <v>7</v>
      </c>
      <c r="W10" s="1">
        <v>10</v>
      </c>
      <c r="X10" s="13" t="s">
        <v>54</v>
      </c>
      <c r="Y10" t="s">
        <v>38</v>
      </c>
      <c r="AG10" s="18" t="s">
        <v>193</v>
      </c>
      <c r="AK10" s="1" t="s">
        <v>153</v>
      </c>
    </row>
    <row r="11" spans="1:37">
      <c r="A11" t="s">
        <v>7</v>
      </c>
      <c r="C11"/>
      <c r="D11"/>
      <c r="E11"/>
      <c r="F11"/>
      <c r="I11" s="14" t="s">
        <v>140</v>
      </c>
      <c r="J11" s="2">
        <f t="shared" si="2"/>
        <v>1.4400000000000002</v>
      </c>
      <c r="K11" s="2">
        <f t="shared" si="3"/>
        <v>0.2</v>
      </c>
      <c r="L11" s="1">
        <f>0+0+3+3+1+1</f>
        <v>8</v>
      </c>
      <c r="M11" s="1">
        <f>0+-2+1+2+0+0</f>
        <v>1</v>
      </c>
      <c r="N11" s="1">
        <f>0+1+1+1+1+1</f>
        <v>5</v>
      </c>
      <c r="W11" s="1">
        <v>11</v>
      </c>
      <c r="X11" s="13" t="s">
        <v>55</v>
      </c>
      <c r="Y11" t="s">
        <v>39</v>
      </c>
      <c r="AG11" s="18" t="s">
        <v>222</v>
      </c>
    </row>
    <row r="12" spans="1:37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I12" s="14" t="s">
        <v>139</v>
      </c>
      <c r="J12" s="2">
        <f t="shared" si="2"/>
        <v>1.4285714285714286</v>
      </c>
      <c r="K12" s="2">
        <f t="shared" si="3"/>
        <v>0.14285714285714285</v>
      </c>
      <c r="L12" s="1">
        <f>0+3+0+1+0+3+0+3</f>
        <v>10</v>
      </c>
      <c r="M12" s="1">
        <f>0+2+-1+0+-1+1+-1+1</f>
        <v>1</v>
      </c>
      <c r="N12" s="1">
        <f>0+1+1+1+1+1+1+1</f>
        <v>7</v>
      </c>
      <c r="W12" s="1">
        <v>12</v>
      </c>
      <c r="X12" s="13" t="s">
        <v>25</v>
      </c>
      <c r="Y12" t="s">
        <v>40</v>
      </c>
      <c r="AG12" s="18" t="s">
        <v>191</v>
      </c>
      <c r="AJ12" s="1" t="s">
        <v>150</v>
      </c>
    </row>
    <row r="13" spans="1:37">
      <c r="A13" t="s">
        <v>15</v>
      </c>
      <c r="C13"/>
      <c r="D13"/>
      <c r="E13"/>
      <c r="F13"/>
      <c r="I13" s="14" t="s">
        <v>84</v>
      </c>
      <c r="J13" s="2">
        <f t="shared" si="2"/>
        <v>1.4000000000000001</v>
      </c>
      <c r="K13" s="2">
        <f t="shared" si="3"/>
        <v>0.5</v>
      </c>
      <c r="L13" s="1">
        <f>0+0+3+3+1</f>
        <v>7</v>
      </c>
      <c r="M13" s="1">
        <f>0-1+2+1+0</f>
        <v>2</v>
      </c>
      <c r="N13" s="1">
        <f>0+1+1+1+1</f>
        <v>4</v>
      </c>
      <c r="W13" s="1">
        <v>13</v>
      </c>
      <c r="X13" s="13" t="s">
        <v>29</v>
      </c>
      <c r="Y13" t="s">
        <v>45</v>
      </c>
      <c r="AG13" s="18" t="s">
        <v>193</v>
      </c>
      <c r="AK13" s="1" t="s">
        <v>153</v>
      </c>
    </row>
    <row r="14" spans="1:37">
      <c r="A14" s="3" t="s">
        <v>30</v>
      </c>
      <c r="C14"/>
      <c r="D14"/>
      <c r="E14"/>
      <c r="F14"/>
      <c r="I14" s="20" t="s">
        <v>132</v>
      </c>
      <c r="J14" s="2">
        <f t="shared" si="2"/>
        <v>1.3333333333333333</v>
      </c>
      <c r="K14" s="2">
        <f t="shared" si="3"/>
        <v>-0.33333333333333331</v>
      </c>
      <c r="L14" s="1">
        <f>0+3+0+3+1+1+0</f>
        <v>8</v>
      </c>
      <c r="M14" s="1">
        <f>0+1+-1+3+0+0+-5</f>
        <v>-2</v>
      </c>
      <c r="N14" s="1">
        <f>0+1+1+1+1+1+1</f>
        <v>6</v>
      </c>
      <c r="W14" s="1">
        <v>14</v>
      </c>
      <c r="X14" s="13" t="s">
        <v>56</v>
      </c>
      <c r="Y14" t="s">
        <v>42</v>
      </c>
      <c r="AG14" s="18" t="s">
        <v>191</v>
      </c>
      <c r="AK14" s="1" t="s">
        <v>153</v>
      </c>
    </row>
    <row r="15" spans="1:37">
      <c r="A15" t="s">
        <v>133</v>
      </c>
      <c r="C15"/>
      <c r="D15"/>
      <c r="E15"/>
      <c r="F15"/>
      <c r="I15" s="14" t="s">
        <v>96</v>
      </c>
      <c r="J15" s="2">
        <f t="shared" si="2"/>
        <v>1.1666666666666667</v>
      </c>
      <c r="K15" s="2">
        <f t="shared" si="3"/>
        <v>0.33333333333333331</v>
      </c>
      <c r="L15" s="1">
        <f>0+1+1+3</f>
        <v>5</v>
      </c>
      <c r="M15" s="1">
        <f>0+0+0+1</f>
        <v>1</v>
      </c>
      <c r="N15" s="1">
        <f>0+1+1+1</f>
        <v>3</v>
      </c>
      <c r="W15" s="1">
        <v>15</v>
      </c>
      <c r="X15" s="13" t="s">
        <v>57</v>
      </c>
      <c r="Y15" t="s">
        <v>43</v>
      </c>
      <c r="AG15" s="18" t="s">
        <v>227</v>
      </c>
      <c r="AK15" s="1" t="s">
        <v>153</v>
      </c>
    </row>
    <row r="16" spans="1:37">
      <c r="A16" t="s">
        <v>23</v>
      </c>
      <c r="C16"/>
      <c r="D16"/>
      <c r="E16"/>
      <c r="F16"/>
      <c r="I16" s="14" t="s">
        <v>138</v>
      </c>
      <c r="J16" s="2">
        <f t="shared" si="2"/>
        <v>1</v>
      </c>
      <c r="K16" s="2">
        <f t="shared" si="3"/>
        <v>-0.75</v>
      </c>
      <c r="L16" s="1">
        <f>0+1+1+0+3</f>
        <v>5</v>
      </c>
      <c r="M16" s="1">
        <f>0+0+0+-4+1</f>
        <v>-3</v>
      </c>
      <c r="N16" s="1">
        <f>0+1+1+1+1</f>
        <v>4</v>
      </c>
      <c r="W16" s="1">
        <v>16</v>
      </c>
      <c r="X16" s="13" t="s">
        <v>58</v>
      </c>
      <c r="Y16" t="s">
        <v>44</v>
      </c>
      <c r="AG16" s="18" t="s">
        <v>193</v>
      </c>
    </row>
    <row r="17" spans="1:37">
      <c r="A17" t="s">
        <v>134</v>
      </c>
      <c r="I17" s="14" t="s">
        <v>83</v>
      </c>
      <c r="J17" s="2">
        <f t="shared" si="2"/>
        <v>0.93333333333333324</v>
      </c>
      <c r="K17" s="2">
        <f t="shared" si="3"/>
        <v>0</v>
      </c>
      <c r="L17" s="1">
        <f>0+3+1+0</f>
        <v>4</v>
      </c>
      <c r="M17" s="1">
        <f>0+1+0+-1</f>
        <v>0</v>
      </c>
      <c r="N17" s="1">
        <f>0+1+1+1</f>
        <v>3</v>
      </c>
      <c r="W17" s="1">
        <v>17</v>
      </c>
      <c r="X17" s="13" t="s">
        <v>59</v>
      </c>
      <c r="Y17" t="s">
        <v>46</v>
      </c>
      <c r="AG17" s="18" t="s">
        <v>228</v>
      </c>
    </row>
    <row r="18" spans="1:37">
      <c r="A18" t="s">
        <v>33</v>
      </c>
      <c r="C18"/>
      <c r="D18"/>
      <c r="E18"/>
      <c r="F18"/>
      <c r="I18" s="14" t="s">
        <v>124</v>
      </c>
      <c r="J18" s="2">
        <f t="shared" si="2"/>
        <v>0.9</v>
      </c>
      <c r="K18" s="2">
        <f t="shared" si="3"/>
        <v>-0.6</v>
      </c>
      <c r="L18" s="1">
        <f>0+3+1+1+0+0</f>
        <v>5</v>
      </c>
      <c r="M18" s="1">
        <f>0+1+0+0+-2+-2</f>
        <v>-3</v>
      </c>
      <c r="N18" s="1">
        <f>0+1+1+1+1+1</f>
        <v>5</v>
      </c>
      <c r="W18" s="1">
        <v>18</v>
      </c>
      <c r="X18" s="13" t="s">
        <v>60</v>
      </c>
      <c r="Y18" t="s">
        <v>47</v>
      </c>
      <c r="AG18" s="18" t="s">
        <v>221</v>
      </c>
    </row>
    <row r="19" spans="1:37">
      <c r="B19" t="s">
        <v>180</v>
      </c>
      <c r="I19" s="14" t="s">
        <v>86</v>
      </c>
      <c r="J19" s="2">
        <f t="shared" si="2"/>
        <v>0.83333333333333337</v>
      </c>
      <c r="K19" s="2">
        <f t="shared" si="3"/>
        <v>-0.16666666666666666</v>
      </c>
      <c r="L19" s="1">
        <f>0+1+1+1+1+1+0</f>
        <v>5</v>
      </c>
      <c r="M19" s="1">
        <f>0+0+0+0+0+0+-1</f>
        <v>-1</v>
      </c>
      <c r="N19" s="1">
        <f>0+1+1+1+1+1+1</f>
        <v>6</v>
      </c>
      <c r="W19" s="1">
        <v>19</v>
      </c>
      <c r="X19" s="13" t="s">
        <v>26</v>
      </c>
      <c r="Y19" t="s">
        <v>48</v>
      </c>
      <c r="AG19" s="18" t="s">
        <v>223</v>
      </c>
    </row>
    <row r="20" spans="1:37">
      <c r="A20" t="s">
        <v>135</v>
      </c>
      <c r="I20" s="14" t="s">
        <v>157</v>
      </c>
      <c r="J20" s="2">
        <f t="shared" si="2"/>
        <v>0.72000000000000008</v>
      </c>
      <c r="K20" s="2">
        <f t="shared" si="3"/>
        <v>-1</v>
      </c>
      <c r="L20" s="1">
        <f>0+0+1+0+3+0</f>
        <v>4</v>
      </c>
      <c r="M20" s="1">
        <f>0+-3+0+-2+1+-1</f>
        <v>-5</v>
      </c>
      <c r="N20" s="1">
        <f>0+1+1+1+1+1</f>
        <v>5</v>
      </c>
      <c r="W20" s="1">
        <v>20</v>
      </c>
      <c r="X20" s="13" t="s">
        <v>61</v>
      </c>
      <c r="Y20" t="s">
        <v>49</v>
      </c>
      <c r="AG20" s="18" t="s">
        <v>224</v>
      </c>
    </row>
    <row r="21" spans="1:37">
      <c r="A21" t="s">
        <v>19</v>
      </c>
      <c r="I21" s="14" t="s">
        <v>114</v>
      </c>
      <c r="J21" s="2">
        <f t="shared" si="2"/>
        <v>0.7</v>
      </c>
      <c r="K21" s="2">
        <f t="shared" si="3"/>
        <v>-1.6666666666666667</v>
      </c>
      <c r="L21" s="1">
        <f>0+0+0+3</f>
        <v>3</v>
      </c>
      <c r="M21" s="1">
        <f>0+-2+-5+2</f>
        <v>-5</v>
      </c>
      <c r="N21" s="1">
        <f>0+1+1+1</f>
        <v>3</v>
      </c>
      <c r="W21" s="1">
        <v>21</v>
      </c>
      <c r="X21" s="13" t="s">
        <v>62</v>
      </c>
      <c r="Y21" t="s">
        <v>50</v>
      </c>
      <c r="AG21" s="18" t="s">
        <v>222</v>
      </c>
      <c r="AJ21" s="1" t="s">
        <v>150</v>
      </c>
    </row>
    <row r="22" spans="1:37">
      <c r="B22" t="s">
        <v>20</v>
      </c>
      <c r="I22" s="14" t="s">
        <v>93</v>
      </c>
      <c r="J22" s="2">
        <f t="shared" si="2"/>
        <v>0.60000000000000009</v>
      </c>
      <c r="K22" s="2">
        <f t="shared" si="3"/>
        <v>-1.5</v>
      </c>
      <c r="L22" s="1">
        <f>0+0+0+3+0</f>
        <v>3</v>
      </c>
      <c r="M22" s="1">
        <f>0+-2+-1+1+-4</f>
        <v>-6</v>
      </c>
      <c r="N22" s="1">
        <f>0+1+1+1+1</f>
        <v>4</v>
      </c>
      <c r="W22" s="1">
        <v>22</v>
      </c>
      <c r="X22" s="13" t="s">
        <v>63</v>
      </c>
      <c r="Y22" t="s">
        <v>51</v>
      </c>
      <c r="AG22" s="18" t="s">
        <v>191</v>
      </c>
      <c r="AJ22" s="1" t="s">
        <v>150</v>
      </c>
    </row>
    <row r="23" spans="1:37">
      <c r="B23" t="s">
        <v>88</v>
      </c>
      <c r="I23" s="14" t="s">
        <v>94</v>
      </c>
      <c r="J23" s="2">
        <f t="shared" si="2"/>
        <v>0.60000000000000009</v>
      </c>
      <c r="K23" s="2">
        <f t="shared" si="3"/>
        <v>-1.75</v>
      </c>
      <c r="L23" s="1">
        <f>0+3+0+0+0</f>
        <v>3</v>
      </c>
      <c r="M23" s="1">
        <f>0+1+-3+-2+-3</f>
        <v>-7</v>
      </c>
      <c r="N23" s="1">
        <f>0+1+1+1+1</f>
        <v>4</v>
      </c>
      <c r="W23" s="1">
        <v>23</v>
      </c>
      <c r="X23" s="13" t="s">
        <v>28</v>
      </c>
      <c r="Y23" t="s">
        <v>52</v>
      </c>
      <c r="AG23" s="18" t="s">
        <v>212</v>
      </c>
      <c r="AK23" s="1" t="s">
        <v>153</v>
      </c>
    </row>
    <row r="24" spans="1:37">
      <c r="A24" t="s">
        <v>16</v>
      </c>
      <c r="C24"/>
      <c r="D24"/>
      <c r="E24"/>
      <c r="F24"/>
      <c r="I24" s="14" t="s">
        <v>161</v>
      </c>
      <c r="J24" s="2">
        <f t="shared" si="2"/>
        <v>0.54</v>
      </c>
      <c r="K24" s="2">
        <f t="shared" si="3"/>
        <v>-0.4</v>
      </c>
      <c r="L24" s="1">
        <f>0+1+1+0+0+1</f>
        <v>3</v>
      </c>
      <c r="M24" s="1">
        <f>0+0+0+-1+-1+0</f>
        <v>-2</v>
      </c>
      <c r="N24" s="1">
        <f>0+1+1+1+1+1</f>
        <v>5</v>
      </c>
      <c r="W24" s="1">
        <v>24</v>
      </c>
      <c r="X24" s="13" t="s">
        <v>64</v>
      </c>
      <c r="Y24" t="s">
        <v>53</v>
      </c>
      <c r="AG24" s="18" t="s">
        <v>226</v>
      </c>
      <c r="AJ24" s="1" t="s">
        <v>150</v>
      </c>
    </row>
    <row r="25" spans="1:37">
      <c r="A25" t="s">
        <v>17</v>
      </c>
      <c r="B25" s="2" t="e">
        <f t="shared" ref="B25" si="4">(D25/F25)*IF(F25&gt;5,1,IF(F25=5,0.9,IF(F25=4,0.8,0.7)))</f>
        <v>#DIV/0!</v>
      </c>
      <c r="C25" s="2" t="e">
        <f t="shared" ref="C25" si="5">E25/F25</f>
        <v>#DIV/0!</v>
      </c>
      <c r="D25" s="1">
        <f>0</f>
        <v>0</v>
      </c>
      <c r="E25" s="1">
        <f>0</f>
        <v>0</v>
      </c>
      <c r="F25" s="1">
        <f>0</f>
        <v>0</v>
      </c>
      <c r="I25" s="14" t="s">
        <v>162</v>
      </c>
      <c r="J25" s="2">
        <f t="shared" si="2"/>
        <v>0.54</v>
      </c>
      <c r="K25" s="2">
        <f t="shared" si="3"/>
        <v>-0.6</v>
      </c>
      <c r="L25" s="1">
        <f>0+0+1+1+0+1</f>
        <v>3</v>
      </c>
      <c r="M25" s="1">
        <f>0+-1+0+0+-2+0</f>
        <v>-3</v>
      </c>
      <c r="N25" s="1">
        <f>0+1+1+1+1+1</f>
        <v>5</v>
      </c>
      <c r="W25" s="1">
        <v>25</v>
      </c>
      <c r="X25" s="13" t="s">
        <v>65</v>
      </c>
      <c r="Y25" t="s">
        <v>68</v>
      </c>
      <c r="AG25" s="18" t="s">
        <v>225</v>
      </c>
      <c r="AK25" s="1" t="s">
        <v>153</v>
      </c>
    </row>
    <row r="26" spans="1:37">
      <c r="A26" t="s">
        <v>18</v>
      </c>
      <c r="B26" t="s">
        <v>136</v>
      </c>
      <c r="I26" s="14" t="s">
        <v>155</v>
      </c>
      <c r="J26" s="2">
        <f t="shared" si="2"/>
        <v>0.46666666666666662</v>
      </c>
      <c r="K26" s="2">
        <f t="shared" si="3"/>
        <v>-0.33333333333333331</v>
      </c>
      <c r="L26" s="1">
        <f>0+1+1+0</f>
        <v>2</v>
      </c>
      <c r="M26" s="1">
        <f>0+0+0+-1</f>
        <v>-1</v>
      </c>
      <c r="N26" s="1">
        <f>0+1+1+1</f>
        <v>3</v>
      </c>
      <c r="W26" s="1">
        <v>26</v>
      </c>
      <c r="X26" s="13" t="s">
        <v>66</v>
      </c>
      <c r="Y26" t="s">
        <v>69</v>
      </c>
      <c r="AG26" s="18" t="s">
        <v>225</v>
      </c>
      <c r="AK26" s="1" t="s">
        <v>153</v>
      </c>
    </row>
    <row r="27" spans="1:37">
      <c r="A27" t="s">
        <v>14</v>
      </c>
      <c r="I27" s="14" t="s">
        <v>159</v>
      </c>
      <c r="J27" s="2">
        <f t="shared" si="2"/>
        <v>0.36000000000000004</v>
      </c>
      <c r="K27" s="2">
        <f t="shared" si="3"/>
        <v>-1.8</v>
      </c>
      <c r="L27" s="1">
        <f>0+1+0+0+1+0</f>
        <v>2</v>
      </c>
      <c r="M27" s="1">
        <f>0+0+-3+-5+0+-1</f>
        <v>-9</v>
      </c>
      <c r="N27" s="1">
        <f>0+1+1+1+1+1</f>
        <v>5</v>
      </c>
      <c r="W27" s="1">
        <v>27</v>
      </c>
      <c r="X27" s="13" t="s">
        <v>67</v>
      </c>
      <c r="Y27" t="s">
        <v>70</v>
      </c>
      <c r="AG27" s="18" t="s">
        <v>193</v>
      </c>
    </row>
    <row r="28" spans="1:37">
      <c r="A28" t="s">
        <v>21</v>
      </c>
      <c r="I28" s="14" t="s">
        <v>137</v>
      </c>
      <c r="J28" s="2">
        <f t="shared" si="2"/>
        <v>0.23333333333333331</v>
      </c>
      <c r="K28" s="2">
        <f t="shared" si="3"/>
        <v>-1.6666666666666667</v>
      </c>
      <c r="L28" s="1">
        <f>0+1+0+0</f>
        <v>1</v>
      </c>
      <c r="M28" s="1">
        <f>0+0+-4+-1</f>
        <v>-5</v>
      </c>
      <c r="N28" s="1">
        <f>0+1+1+1</f>
        <v>3</v>
      </c>
      <c r="W28" s="1">
        <v>28</v>
      </c>
      <c r="AG28" s="18" t="s">
        <v>191</v>
      </c>
    </row>
    <row r="29" spans="1:37">
      <c r="A29" t="s">
        <v>147</v>
      </c>
      <c r="I29" s="14" t="s">
        <v>171</v>
      </c>
      <c r="J29" s="2">
        <f t="shared" si="2"/>
        <v>0</v>
      </c>
      <c r="K29" s="2">
        <f t="shared" si="3"/>
        <v>-1</v>
      </c>
      <c r="L29" s="1">
        <f>0+0+0+0</f>
        <v>0</v>
      </c>
      <c r="M29" s="1">
        <f>0+-1+-1+-1</f>
        <v>-3</v>
      </c>
      <c r="N29" s="1">
        <f>0+1+1+1</f>
        <v>3</v>
      </c>
      <c r="W29" s="1">
        <v>29</v>
      </c>
      <c r="AG29" s="18" t="s">
        <v>213</v>
      </c>
      <c r="AJ29" s="1" t="s">
        <v>150</v>
      </c>
    </row>
    <row r="30" spans="1:37">
      <c r="A30" t="s">
        <v>148</v>
      </c>
      <c r="I30" s="14" t="s">
        <v>125</v>
      </c>
      <c r="J30" s="2">
        <f t="shared" si="2"/>
        <v>0</v>
      </c>
      <c r="K30" s="2">
        <f t="shared" si="3"/>
        <v>-2</v>
      </c>
      <c r="L30" s="1">
        <f>0+0+0+0+0</f>
        <v>0</v>
      </c>
      <c r="M30" s="1">
        <f>0+-1+-3+-3+-1</f>
        <v>-8</v>
      </c>
      <c r="N30" s="1">
        <f>0+1+1+1+1</f>
        <v>4</v>
      </c>
      <c r="W30" s="1">
        <v>30</v>
      </c>
      <c r="AG30" s="18" t="s">
        <v>212</v>
      </c>
      <c r="AK30" s="1" t="s">
        <v>153</v>
      </c>
    </row>
    <row r="31" spans="1:37">
      <c r="A31" t="s">
        <v>149</v>
      </c>
      <c r="I31" s="14" t="s">
        <v>164</v>
      </c>
      <c r="J31" s="2">
        <f t="shared" si="2"/>
        <v>2.0999999999999996</v>
      </c>
      <c r="K31" s="2">
        <f t="shared" si="3"/>
        <v>4</v>
      </c>
      <c r="L31" s="1">
        <f>0+3+3</f>
        <v>6</v>
      </c>
      <c r="M31" s="1">
        <f>0+4+4</f>
        <v>8</v>
      </c>
      <c r="N31" s="1">
        <f>0+1+1</f>
        <v>2</v>
      </c>
      <c r="W31" s="1">
        <v>31</v>
      </c>
      <c r="AG31" s="18" t="s">
        <v>193</v>
      </c>
    </row>
    <row r="32" spans="1:37">
      <c r="I32" s="14" t="s">
        <v>91</v>
      </c>
      <c r="J32" s="2">
        <f t="shared" si="2"/>
        <v>1.0499999999999998</v>
      </c>
      <c r="K32" s="2">
        <f t="shared" si="3"/>
        <v>0</v>
      </c>
      <c r="L32" s="1">
        <f>0+0+3</f>
        <v>3</v>
      </c>
      <c r="M32" s="1">
        <f>0+-1+1</f>
        <v>0</v>
      </c>
      <c r="N32" s="1">
        <f>0+1+1</f>
        <v>2</v>
      </c>
      <c r="W32" s="1">
        <v>32</v>
      </c>
      <c r="AG32" s="18" t="s">
        <v>201</v>
      </c>
    </row>
    <row r="33" spans="9:33">
      <c r="I33" s="14" t="s">
        <v>197</v>
      </c>
      <c r="J33" s="2">
        <f t="shared" si="2"/>
        <v>0.7</v>
      </c>
      <c r="K33" s="2">
        <f t="shared" si="3"/>
        <v>0</v>
      </c>
      <c r="L33" s="1">
        <f>0+1+1</f>
        <v>2</v>
      </c>
      <c r="M33" s="1">
        <f>0+0+0</f>
        <v>0</v>
      </c>
      <c r="N33" s="1">
        <f>0+1+1</f>
        <v>2</v>
      </c>
      <c r="W33" s="1">
        <v>33</v>
      </c>
      <c r="AG33" s="18" t="s">
        <v>225</v>
      </c>
    </row>
    <row r="34" spans="9:33">
      <c r="I34" s="14" t="s">
        <v>158</v>
      </c>
      <c r="J34" s="2">
        <f t="shared" si="2"/>
        <v>0</v>
      </c>
      <c r="K34" s="2">
        <f t="shared" si="3"/>
        <v>-1</v>
      </c>
      <c r="L34" s="1">
        <f>0+0+0</f>
        <v>0</v>
      </c>
      <c r="M34" s="1">
        <f>0+-1+-1</f>
        <v>-2</v>
      </c>
      <c r="N34" s="1">
        <f>0+1+1</f>
        <v>2</v>
      </c>
      <c r="W34" s="1">
        <v>34</v>
      </c>
      <c r="AG34" s="18" t="s">
        <v>193</v>
      </c>
    </row>
    <row r="35" spans="9:33">
      <c r="I35" s="14" t="s">
        <v>160</v>
      </c>
      <c r="J35" s="2">
        <f t="shared" si="2"/>
        <v>0.7</v>
      </c>
      <c r="K35" s="2">
        <f t="shared" si="3"/>
        <v>0</v>
      </c>
      <c r="L35" s="1">
        <f>0+1</f>
        <v>1</v>
      </c>
      <c r="M35" s="1">
        <f>0+0</f>
        <v>0</v>
      </c>
      <c r="N35" s="1">
        <f>0+1</f>
        <v>1</v>
      </c>
      <c r="W35" s="1">
        <v>35</v>
      </c>
      <c r="AG35" s="18" t="s">
        <v>225</v>
      </c>
    </row>
    <row r="36" spans="9:33">
      <c r="I36" s="14" t="s">
        <v>214</v>
      </c>
      <c r="J36" s="2">
        <f t="shared" si="2"/>
        <v>0</v>
      </c>
      <c r="K36" s="2">
        <f t="shared" si="3"/>
        <v>-3</v>
      </c>
      <c r="L36" s="1">
        <f>0+0</f>
        <v>0</v>
      </c>
      <c r="M36" s="1">
        <f>0+-3</f>
        <v>-3</v>
      </c>
      <c r="N36" s="1">
        <f>0+1</f>
        <v>1</v>
      </c>
      <c r="W36" s="1">
        <v>36</v>
      </c>
      <c r="AG36" s="18" t="s">
        <v>226</v>
      </c>
    </row>
    <row r="37" spans="9:33">
      <c r="I37"/>
      <c r="W37" s="1">
        <v>37</v>
      </c>
    </row>
    <row r="38" spans="9:33">
      <c r="I38"/>
      <c r="W38" s="1">
        <v>38</v>
      </c>
    </row>
    <row r="39" spans="9:33">
      <c r="I39"/>
      <c r="W39" s="1">
        <v>39</v>
      </c>
    </row>
    <row r="40" spans="9:33">
      <c r="I40"/>
      <c r="W40" s="1">
        <v>40</v>
      </c>
    </row>
    <row r="41" spans="9:33">
      <c r="I41"/>
      <c r="W41" s="1">
        <v>41</v>
      </c>
    </row>
    <row r="42" spans="9:33">
      <c r="I42"/>
      <c r="W42" s="1">
        <v>42</v>
      </c>
    </row>
    <row r="43" spans="9:33">
      <c r="I43"/>
      <c r="W43" s="1">
        <v>43</v>
      </c>
    </row>
    <row r="44" spans="9:33">
      <c r="I44"/>
      <c r="W44" s="1">
        <v>44</v>
      </c>
    </row>
    <row r="45" spans="9:33">
      <c r="I45"/>
      <c r="W45" s="1">
        <v>45</v>
      </c>
    </row>
    <row r="46" spans="9:33">
      <c r="I46"/>
      <c r="W46" s="1">
        <v>46</v>
      </c>
    </row>
    <row r="47" spans="9:33">
      <c r="I47"/>
      <c r="W47" s="1">
        <v>47</v>
      </c>
    </row>
    <row r="48" spans="9:33">
      <c r="I48"/>
      <c r="W48" s="1">
        <v>48</v>
      </c>
    </row>
    <row r="49" spans="9:23">
      <c r="I49"/>
      <c r="W49" s="1">
        <v>49</v>
      </c>
    </row>
    <row r="50" spans="9:23">
      <c r="I50"/>
      <c r="W50" s="1">
        <v>50</v>
      </c>
    </row>
    <row r="51" spans="9:23">
      <c r="I51"/>
      <c r="W51" s="1">
        <v>51</v>
      </c>
    </row>
    <row r="52" spans="9:23">
      <c r="I52"/>
      <c r="W52" s="1">
        <v>52</v>
      </c>
    </row>
    <row r="53" spans="9:23">
      <c r="I53"/>
      <c r="W53" s="1">
        <v>53</v>
      </c>
    </row>
    <row r="54" spans="9:23">
      <c r="I54"/>
      <c r="W54" s="1">
        <v>54</v>
      </c>
    </row>
    <row r="55" spans="9:23">
      <c r="I55"/>
      <c r="W55" s="1">
        <v>55</v>
      </c>
    </row>
    <row r="56" spans="9:23">
      <c r="I56"/>
      <c r="W56" s="1">
        <v>56</v>
      </c>
    </row>
    <row r="57" spans="9:23">
      <c r="I57"/>
      <c r="W57" s="1">
        <v>57</v>
      </c>
    </row>
    <row r="58" spans="9:23">
      <c r="I58"/>
      <c r="W58" s="1">
        <v>58</v>
      </c>
    </row>
    <row r="59" spans="9:23">
      <c r="I59"/>
      <c r="W59" s="1">
        <v>59</v>
      </c>
    </row>
    <row r="60" spans="9:23">
      <c r="I60"/>
      <c r="W60" s="1">
        <v>60</v>
      </c>
    </row>
    <row r="61" spans="9:23">
      <c r="I61"/>
      <c r="W61" s="1">
        <v>61</v>
      </c>
    </row>
    <row r="62" spans="9:23">
      <c r="I62"/>
      <c r="W62" s="1">
        <v>62</v>
      </c>
    </row>
    <row r="63" spans="9:23">
      <c r="I63"/>
      <c r="W63" s="1">
        <v>63</v>
      </c>
    </row>
    <row r="64" spans="9:23">
      <c r="I64"/>
      <c r="W64" s="1">
        <v>64</v>
      </c>
    </row>
    <row r="65" spans="9:23">
      <c r="I65"/>
      <c r="W65" s="1">
        <v>65</v>
      </c>
    </row>
    <row r="66" spans="9:23">
      <c r="I66"/>
      <c r="W66" s="1">
        <v>66</v>
      </c>
    </row>
    <row r="67" spans="9:23">
      <c r="I67"/>
      <c r="W67" s="1">
        <v>67</v>
      </c>
    </row>
    <row r="68" spans="9:23">
      <c r="W68" s="1">
        <v>68</v>
      </c>
    </row>
    <row r="69" spans="9:23">
      <c r="W69" s="1">
        <v>69</v>
      </c>
    </row>
    <row r="70" spans="9:23">
      <c r="W70" s="1">
        <v>70</v>
      </c>
    </row>
    <row r="71" spans="9:23">
      <c r="W71" s="1">
        <v>71</v>
      </c>
    </row>
    <row r="72" spans="9:23">
      <c r="W72" s="1">
        <v>72</v>
      </c>
    </row>
    <row r="73" spans="9:23">
      <c r="W73" s="1">
        <v>73</v>
      </c>
    </row>
    <row r="74" spans="9:23">
      <c r="W74" s="1">
        <v>74</v>
      </c>
    </row>
    <row r="75" spans="9:23">
      <c r="W75" s="1">
        <v>75</v>
      </c>
    </row>
    <row r="76" spans="9:23">
      <c r="W76" s="1">
        <v>76</v>
      </c>
    </row>
    <row r="77" spans="9:23">
      <c r="W77" s="1">
        <v>77</v>
      </c>
    </row>
    <row r="78" spans="9:23">
      <c r="W78" s="1">
        <v>78</v>
      </c>
    </row>
    <row r="79" spans="9:23">
      <c r="W79" s="1">
        <v>79</v>
      </c>
    </row>
    <row r="80" spans="9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K99"/>
  <sheetViews>
    <sheetView zoomScale="73" zoomScaleNormal="73" workbookViewId="0">
      <selection activeCell="U15" sqref="U15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style="14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4.85546875" style="1" customWidth="1"/>
    <col min="29" max="29" width="2.140625" style="8" customWidth="1"/>
    <col min="30" max="31" width="4.85546875" style="1" customWidth="1"/>
    <col min="32" max="32" width="2.140625" style="8" customWidth="1"/>
    <col min="33" max="33" width="4.85546875" style="18" customWidth="1"/>
    <col min="34" max="34" width="2.140625" style="8" customWidth="1"/>
    <col min="35" max="35" width="9.7109375" customWidth="1"/>
    <col min="36" max="37" width="4.28515625" style="1" customWidth="1"/>
  </cols>
  <sheetData>
    <row r="1" spans="1:35">
      <c r="A1" s="4" t="s">
        <v>159</v>
      </c>
      <c r="B1" s="4" t="s">
        <v>157</v>
      </c>
      <c r="C1" s="5">
        <v>0</v>
      </c>
      <c r="D1" s="5">
        <v>1</v>
      </c>
      <c r="E1" s="1">
        <f t="shared" ref="E1:E8" si="0">C1-D1</f>
        <v>-1</v>
      </c>
      <c r="F1" s="1">
        <f t="shared" ref="F1:F8" si="1">D1-C1</f>
        <v>1</v>
      </c>
      <c r="G1" s="10">
        <v>0.875</v>
      </c>
      <c r="H1" s="17"/>
      <c r="I1" s="14" t="s">
        <v>123</v>
      </c>
      <c r="J1" s="2">
        <f t="shared" ref="J1:J36" si="2">(L1/N1)*IF(N1&gt;5,1,IF(N1=5,0.9,IF(N1=4,0.8,0.7)))</f>
        <v>2.3333333333333335</v>
      </c>
      <c r="K1" s="2">
        <f t="shared" ref="K1:K36" si="3">M1/N1</f>
        <v>1.8333333333333333</v>
      </c>
      <c r="L1" s="1">
        <f>0+1+3+3+1+3+3</f>
        <v>14</v>
      </c>
      <c r="M1" s="1">
        <f>0+0+1+4+0+1+5</f>
        <v>11</v>
      </c>
      <c r="N1" s="1">
        <f>0+1+1+1+1+1+1</f>
        <v>6</v>
      </c>
      <c r="V1" s="1"/>
      <c r="W1" s="1">
        <v>1</v>
      </c>
      <c r="X1" s="12" t="s">
        <v>59</v>
      </c>
      <c r="Y1" s="4" t="s">
        <v>38</v>
      </c>
      <c r="AA1" s="18" t="s">
        <v>198</v>
      </c>
      <c r="AB1" s="18" t="s">
        <v>224</v>
      </c>
      <c r="AD1" s="1">
        <v>27</v>
      </c>
      <c r="AE1" s="1">
        <v>20</v>
      </c>
      <c r="AG1" s="18" t="s">
        <v>191</v>
      </c>
      <c r="AI1" s="12"/>
    </row>
    <row r="2" spans="1:35">
      <c r="A2" s="4" t="s">
        <v>161</v>
      </c>
      <c r="B2" s="4" t="s">
        <v>178</v>
      </c>
      <c r="C2" s="5">
        <v>2</v>
      </c>
      <c r="D2" s="5">
        <v>2</v>
      </c>
      <c r="E2" s="1">
        <f t="shared" si="0"/>
        <v>0</v>
      </c>
      <c r="F2" s="1">
        <f t="shared" si="1"/>
        <v>0</v>
      </c>
      <c r="G2" s="10">
        <v>0.875</v>
      </c>
      <c r="H2" s="17"/>
      <c r="I2" s="14" t="s">
        <v>167</v>
      </c>
      <c r="J2" s="2">
        <f t="shared" si="2"/>
        <v>2.3333333333333335</v>
      </c>
      <c r="K2" s="2">
        <f t="shared" si="3"/>
        <v>0.83333333333333337</v>
      </c>
      <c r="L2" s="1">
        <f>0+1+3+3+3+1+3</f>
        <v>14</v>
      </c>
      <c r="M2" s="1">
        <f>0+0+1+1+1+0+2</f>
        <v>5</v>
      </c>
      <c r="N2" s="1">
        <f>0+1+1+1+1+1+1</f>
        <v>6</v>
      </c>
      <c r="W2" s="1">
        <v>2</v>
      </c>
      <c r="X2" s="12" t="s">
        <v>59</v>
      </c>
      <c r="Y2" s="4" t="s">
        <v>38</v>
      </c>
      <c r="AA2" s="18" t="s">
        <v>232</v>
      </c>
      <c r="AB2" s="18" t="s">
        <v>226</v>
      </c>
      <c r="AD2" s="1">
        <v>24</v>
      </c>
      <c r="AE2" s="1">
        <v>7</v>
      </c>
      <c r="AG2" s="18" t="s">
        <v>193</v>
      </c>
      <c r="AI2" s="12"/>
    </row>
    <row r="3" spans="1:35">
      <c r="A3" s="4" t="s">
        <v>167</v>
      </c>
      <c r="B3" s="4" t="s">
        <v>158</v>
      </c>
      <c r="C3" s="5">
        <v>4</v>
      </c>
      <c r="D3" s="5">
        <v>2</v>
      </c>
      <c r="E3" s="1">
        <f t="shared" si="0"/>
        <v>2</v>
      </c>
      <c r="F3" s="1">
        <f t="shared" si="1"/>
        <v>-2</v>
      </c>
      <c r="G3" s="10">
        <v>0.875</v>
      </c>
      <c r="H3" s="17"/>
      <c r="I3" s="14" t="s">
        <v>90</v>
      </c>
      <c r="J3" s="2">
        <f t="shared" si="2"/>
        <v>2.1666666666666665</v>
      </c>
      <c r="K3" s="2">
        <f t="shared" si="3"/>
        <v>1.3333333333333333</v>
      </c>
      <c r="L3" s="1">
        <f>0+1+3+3+3+3+0</f>
        <v>13</v>
      </c>
      <c r="M3" s="1">
        <f>0+0+2+3+3+5+-5</f>
        <v>8</v>
      </c>
      <c r="N3" s="1">
        <f>0+1+1+1+1+1+1</f>
        <v>6</v>
      </c>
      <c r="W3" s="1">
        <v>3</v>
      </c>
      <c r="X3" s="12" t="s">
        <v>59</v>
      </c>
      <c r="Y3" s="4" t="s">
        <v>38</v>
      </c>
      <c r="AA3" s="18" t="s">
        <v>233</v>
      </c>
      <c r="AB3" s="18" t="s">
        <v>193</v>
      </c>
      <c r="AD3" s="1">
        <v>5</v>
      </c>
      <c r="AG3" s="18" t="s">
        <v>201</v>
      </c>
      <c r="AI3" s="12"/>
    </row>
    <row r="4" spans="1:35">
      <c r="A4" s="4"/>
      <c r="B4" s="4"/>
      <c r="C4" s="5"/>
      <c r="D4" s="5"/>
      <c r="E4" s="1">
        <f t="shared" si="0"/>
        <v>0</v>
      </c>
      <c r="F4" s="1">
        <f t="shared" si="1"/>
        <v>0</v>
      </c>
      <c r="G4" s="10"/>
      <c r="H4" s="17"/>
      <c r="I4" s="14" t="s">
        <v>89</v>
      </c>
      <c r="J4" s="2">
        <f t="shared" si="2"/>
        <v>2</v>
      </c>
      <c r="K4" s="2">
        <f t="shared" si="3"/>
        <v>2</v>
      </c>
      <c r="L4" s="1">
        <f>0+1+3+3+3</f>
        <v>10</v>
      </c>
      <c r="M4" s="1">
        <f>0+0+1+2+5</f>
        <v>8</v>
      </c>
      <c r="N4" s="1">
        <f>0+1+1+1+1</f>
        <v>4</v>
      </c>
      <c r="V4" s="1"/>
      <c r="W4" s="1">
        <v>4</v>
      </c>
      <c r="X4" s="12"/>
      <c r="Y4" s="4"/>
      <c r="AA4" s="18"/>
      <c r="AB4" s="18"/>
      <c r="AG4" s="18" t="s">
        <v>191</v>
      </c>
      <c r="AI4" s="12"/>
    </row>
    <row r="5" spans="1:35">
      <c r="A5" s="4"/>
      <c r="B5" s="4"/>
      <c r="C5" s="5"/>
      <c r="D5" s="5"/>
      <c r="E5" s="1">
        <f t="shared" si="0"/>
        <v>0</v>
      </c>
      <c r="F5" s="1">
        <f t="shared" si="1"/>
        <v>0</v>
      </c>
      <c r="G5" s="10"/>
      <c r="H5" s="17"/>
      <c r="I5" s="14" t="s">
        <v>163</v>
      </c>
      <c r="J5" s="2">
        <f t="shared" si="2"/>
        <v>2</v>
      </c>
      <c r="K5" s="2">
        <f t="shared" si="3"/>
        <v>1.75</v>
      </c>
      <c r="L5" s="1">
        <f>0+3+1+3+3</f>
        <v>10</v>
      </c>
      <c r="M5" s="1">
        <f>0+1+0+5+1</f>
        <v>7</v>
      </c>
      <c r="N5" s="1">
        <f>0+1+1+1+1</f>
        <v>4</v>
      </c>
      <c r="W5" s="1">
        <v>5</v>
      </c>
      <c r="X5" s="12"/>
      <c r="Y5" s="4"/>
      <c r="AA5" s="18"/>
      <c r="AB5" s="18"/>
      <c r="AG5" s="18" t="s">
        <v>224</v>
      </c>
      <c r="AI5" s="12"/>
    </row>
    <row r="6" spans="1:35">
      <c r="A6" s="4"/>
      <c r="B6" s="4"/>
      <c r="C6" s="5"/>
      <c r="D6" s="5"/>
      <c r="E6" s="1">
        <f t="shared" si="0"/>
        <v>0</v>
      </c>
      <c r="F6" s="1">
        <f t="shared" si="1"/>
        <v>0</v>
      </c>
      <c r="G6" s="10"/>
      <c r="H6" s="17"/>
      <c r="I6" s="14" t="s">
        <v>126</v>
      </c>
      <c r="J6" s="2">
        <f t="shared" si="2"/>
        <v>1.8333333333333333</v>
      </c>
      <c r="K6" s="2">
        <f t="shared" si="3"/>
        <v>0.83333333333333337</v>
      </c>
      <c r="L6" s="1">
        <f>0+1+1+3+3+0+3</f>
        <v>11</v>
      </c>
      <c r="M6" s="1">
        <f>0+0+0+1+2+-1+3</f>
        <v>5</v>
      </c>
      <c r="N6" s="1">
        <f>0+1+1+1+1+1+1</f>
        <v>6</v>
      </c>
      <c r="W6" s="1">
        <v>6</v>
      </c>
      <c r="X6" s="12"/>
      <c r="Y6" s="4"/>
      <c r="AD6" s="18"/>
      <c r="AG6" s="18" t="s">
        <v>213</v>
      </c>
      <c r="AI6" s="12"/>
    </row>
    <row r="7" spans="1:35">
      <c r="A7" s="4"/>
      <c r="B7" s="4"/>
      <c r="C7" s="5"/>
      <c r="D7" s="5"/>
      <c r="E7" s="1">
        <f t="shared" si="0"/>
        <v>0</v>
      </c>
      <c r="F7" s="1">
        <f t="shared" si="1"/>
        <v>0</v>
      </c>
      <c r="G7" s="10"/>
      <c r="H7" s="17"/>
      <c r="I7" s="14" t="s">
        <v>178</v>
      </c>
      <c r="J7" s="2">
        <f t="shared" si="2"/>
        <v>1.8</v>
      </c>
      <c r="K7" s="2">
        <f t="shared" si="3"/>
        <v>0</v>
      </c>
      <c r="L7" s="1">
        <f>0+3+3+0+3+1</f>
        <v>10</v>
      </c>
      <c r="M7" s="1">
        <f>0+1+1+-5+3+0</f>
        <v>0</v>
      </c>
      <c r="N7" s="1">
        <f>0+1+1+1+1+1</f>
        <v>5</v>
      </c>
      <c r="W7" s="1">
        <v>7</v>
      </c>
      <c r="X7" s="12"/>
      <c r="Y7" s="4"/>
      <c r="AA7" s="18"/>
      <c r="AB7" s="18"/>
      <c r="AD7" s="18"/>
      <c r="AG7" s="18" t="s">
        <v>226</v>
      </c>
      <c r="AI7" s="12"/>
    </row>
    <row r="8" spans="1:35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10"/>
      <c r="H8" s="17"/>
      <c r="I8" s="14" t="s">
        <v>95</v>
      </c>
      <c r="J8" s="2">
        <f t="shared" si="2"/>
        <v>1.6666666666666667</v>
      </c>
      <c r="K8" s="2">
        <f t="shared" si="3"/>
        <v>1</v>
      </c>
      <c r="L8" s="1">
        <f>0+0+3+3+3+0+1</f>
        <v>10</v>
      </c>
      <c r="M8" s="1">
        <f>0+-1+5+3+1+-2+0</f>
        <v>6</v>
      </c>
      <c r="N8" s="1">
        <f>0+1+1+1+1+1+1</f>
        <v>6</v>
      </c>
      <c r="W8" s="1">
        <v>8</v>
      </c>
      <c r="X8" s="12"/>
      <c r="Y8" s="4"/>
      <c r="AA8" s="18"/>
      <c r="AB8" s="18"/>
      <c r="AD8" s="18"/>
      <c r="AE8" s="18"/>
      <c r="AG8" s="18" t="s">
        <v>225</v>
      </c>
      <c r="AI8" s="12"/>
    </row>
    <row r="9" spans="1:35">
      <c r="A9" t="s">
        <v>6</v>
      </c>
      <c r="C9"/>
      <c r="D9"/>
      <c r="E9"/>
      <c r="F9"/>
      <c r="G9" s="15"/>
      <c r="H9" s="7"/>
      <c r="I9" s="14" t="s">
        <v>156</v>
      </c>
      <c r="J9" s="2">
        <f t="shared" si="2"/>
        <v>1.6333333333333333</v>
      </c>
      <c r="K9" s="2">
        <f t="shared" si="3"/>
        <v>1</v>
      </c>
      <c r="L9" s="1">
        <f>0+1+3+3</f>
        <v>7</v>
      </c>
      <c r="M9" s="1">
        <f>0+0+1+2</f>
        <v>3</v>
      </c>
      <c r="N9" s="1">
        <f>0+1+1+1</f>
        <v>3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/>
      <c r="AE9" s="3"/>
      <c r="AG9" s="18" t="s">
        <v>193</v>
      </c>
      <c r="AI9" s="16" t="s">
        <v>229</v>
      </c>
    </row>
    <row r="10" spans="1:35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I10" s="14" t="s">
        <v>85</v>
      </c>
      <c r="J10" s="2">
        <f t="shared" si="2"/>
        <v>1.5714285714285714</v>
      </c>
      <c r="K10" s="2">
        <f t="shared" si="3"/>
        <v>0.5714285714285714</v>
      </c>
      <c r="L10" s="1">
        <f>0+1+3+1+3+3+0+0</f>
        <v>11</v>
      </c>
      <c r="M10" s="1">
        <f>0+0+2+0+1+3+-1+-1</f>
        <v>4</v>
      </c>
      <c r="N10" s="1">
        <f>0+1+1+1+1+1+1+1</f>
        <v>7</v>
      </c>
      <c r="W10" s="1">
        <v>10</v>
      </c>
      <c r="X10" s="13" t="s">
        <v>54</v>
      </c>
      <c r="Y10" t="s">
        <v>38</v>
      </c>
      <c r="AG10" s="18" t="s">
        <v>193</v>
      </c>
    </row>
    <row r="11" spans="1:35">
      <c r="A11" t="s">
        <v>7</v>
      </c>
      <c r="C11"/>
      <c r="D11"/>
      <c r="E11"/>
      <c r="F11"/>
      <c r="I11" s="14" t="s">
        <v>140</v>
      </c>
      <c r="J11" s="2">
        <f t="shared" si="2"/>
        <v>1.4400000000000002</v>
      </c>
      <c r="K11" s="2">
        <f t="shared" si="3"/>
        <v>0.2</v>
      </c>
      <c r="L11" s="1">
        <f>0+0+3+3+1+1</f>
        <v>8</v>
      </c>
      <c r="M11" s="1">
        <f>0+-2+1+2+0+0</f>
        <v>1</v>
      </c>
      <c r="N11" s="1">
        <f>0+1+1+1+1+1</f>
        <v>5</v>
      </c>
      <c r="W11" s="1">
        <v>11</v>
      </c>
      <c r="X11" s="13" t="s">
        <v>55</v>
      </c>
      <c r="Y11" t="s">
        <v>39</v>
      </c>
      <c r="AG11" s="18" t="s">
        <v>222</v>
      </c>
    </row>
    <row r="12" spans="1:35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I12" s="14" t="s">
        <v>139</v>
      </c>
      <c r="J12" s="2">
        <f t="shared" si="2"/>
        <v>1.4285714285714286</v>
      </c>
      <c r="K12" s="2">
        <f t="shared" si="3"/>
        <v>0.14285714285714285</v>
      </c>
      <c r="L12" s="1">
        <f>0+3+0+1+0+3+0+3</f>
        <v>10</v>
      </c>
      <c r="M12" s="1">
        <f>0+2+-1+0+-1+1+-1+1</f>
        <v>1</v>
      </c>
      <c r="N12" s="1">
        <f>0+1+1+1+1+1+1+1</f>
        <v>7</v>
      </c>
      <c r="W12" s="1">
        <v>12</v>
      </c>
      <c r="X12" s="13" t="s">
        <v>25</v>
      </c>
      <c r="Y12" t="s">
        <v>40</v>
      </c>
      <c r="AG12" s="18" t="s">
        <v>191</v>
      </c>
    </row>
    <row r="13" spans="1:35">
      <c r="A13" t="s">
        <v>15</v>
      </c>
      <c r="C13"/>
      <c r="D13"/>
      <c r="E13"/>
      <c r="F13"/>
      <c r="I13" s="14" t="s">
        <v>84</v>
      </c>
      <c r="J13" s="2">
        <f t="shared" si="2"/>
        <v>1.4000000000000001</v>
      </c>
      <c r="K13" s="2">
        <f t="shared" si="3"/>
        <v>0.5</v>
      </c>
      <c r="L13" s="1">
        <f>0+0+3+3+1</f>
        <v>7</v>
      </c>
      <c r="M13" s="1">
        <f>0-1+2+1+0</f>
        <v>2</v>
      </c>
      <c r="N13" s="1">
        <f>0+1+1+1+1</f>
        <v>4</v>
      </c>
      <c r="W13" s="1">
        <v>13</v>
      </c>
      <c r="X13" s="13" t="s">
        <v>29</v>
      </c>
      <c r="Y13" t="s">
        <v>45</v>
      </c>
      <c r="AG13" s="18" t="s">
        <v>193</v>
      </c>
    </row>
    <row r="14" spans="1:35">
      <c r="A14" s="3" t="s">
        <v>30</v>
      </c>
      <c r="C14"/>
      <c r="D14"/>
      <c r="E14"/>
      <c r="F14"/>
      <c r="I14" s="20" t="s">
        <v>132</v>
      </c>
      <c r="J14" s="2">
        <f t="shared" si="2"/>
        <v>1.3333333333333333</v>
      </c>
      <c r="K14" s="2">
        <f t="shared" si="3"/>
        <v>-0.33333333333333331</v>
      </c>
      <c r="L14" s="1">
        <f>0+3+0+3+1+1+0</f>
        <v>8</v>
      </c>
      <c r="M14" s="1">
        <f>0+1+-1+3+0+0+-5</f>
        <v>-2</v>
      </c>
      <c r="N14" s="1">
        <f>0+1+1+1+1+1+1</f>
        <v>6</v>
      </c>
      <c r="W14" s="1">
        <v>14</v>
      </c>
      <c r="X14" s="13" t="s">
        <v>56</v>
      </c>
      <c r="Y14" t="s">
        <v>42</v>
      </c>
      <c r="AG14" s="18" t="s">
        <v>191</v>
      </c>
    </row>
    <row r="15" spans="1:35">
      <c r="A15" t="s">
        <v>133</v>
      </c>
      <c r="C15"/>
      <c r="D15"/>
      <c r="E15"/>
      <c r="F15"/>
      <c r="I15" s="14" t="s">
        <v>96</v>
      </c>
      <c r="J15" s="2">
        <f t="shared" si="2"/>
        <v>1.1666666666666667</v>
      </c>
      <c r="K15" s="2">
        <f t="shared" si="3"/>
        <v>0.33333333333333331</v>
      </c>
      <c r="L15" s="1">
        <f>0+1+1+3</f>
        <v>5</v>
      </c>
      <c r="M15" s="1">
        <f>0+0+0+1</f>
        <v>1</v>
      </c>
      <c r="N15" s="1">
        <f>0+1+1+1</f>
        <v>3</v>
      </c>
      <c r="W15" s="1">
        <v>15</v>
      </c>
      <c r="X15" s="13" t="s">
        <v>57</v>
      </c>
      <c r="Y15" t="s">
        <v>43</v>
      </c>
      <c r="AG15" s="18" t="s">
        <v>227</v>
      </c>
    </row>
    <row r="16" spans="1:35">
      <c r="A16" t="s">
        <v>23</v>
      </c>
      <c r="C16"/>
      <c r="D16"/>
      <c r="E16"/>
      <c r="F16"/>
      <c r="I16" s="14" t="s">
        <v>157</v>
      </c>
      <c r="J16" s="2">
        <f t="shared" si="2"/>
        <v>1.1666666666666667</v>
      </c>
      <c r="K16" s="2">
        <f t="shared" si="3"/>
        <v>-0.66666666666666663</v>
      </c>
      <c r="L16" s="1">
        <f>0+0+1+0+3+0+3</f>
        <v>7</v>
      </c>
      <c r="M16" s="1">
        <f>0+-3+0+-2+1+-1+1</f>
        <v>-4</v>
      </c>
      <c r="N16" s="1">
        <f>0+1+1+1+1+1+1</f>
        <v>6</v>
      </c>
      <c r="W16" s="1">
        <v>16</v>
      </c>
      <c r="X16" s="13" t="s">
        <v>58</v>
      </c>
      <c r="Y16" t="s">
        <v>44</v>
      </c>
      <c r="AG16" s="18" t="s">
        <v>193</v>
      </c>
    </row>
    <row r="17" spans="1:33">
      <c r="A17" t="s">
        <v>134</v>
      </c>
      <c r="I17" s="14" t="s">
        <v>138</v>
      </c>
      <c r="J17" s="2">
        <f t="shared" si="2"/>
        <v>1</v>
      </c>
      <c r="K17" s="2">
        <f t="shared" si="3"/>
        <v>-0.75</v>
      </c>
      <c r="L17" s="1">
        <f>0+1+1+0+3</f>
        <v>5</v>
      </c>
      <c r="M17" s="1">
        <f>0+0+0+-4+1</f>
        <v>-3</v>
      </c>
      <c r="N17" s="1">
        <f>0+1+1+1+1</f>
        <v>4</v>
      </c>
      <c r="W17" s="1">
        <v>17</v>
      </c>
      <c r="X17" s="13" t="s">
        <v>59</v>
      </c>
      <c r="Y17" t="s">
        <v>46</v>
      </c>
      <c r="AG17" s="18" t="s">
        <v>228</v>
      </c>
    </row>
    <row r="18" spans="1:33">
      <c r="A18" t="s">
        <v>33</v>
      </c>
      <c r="C18"/>
      <c r="D18"/>
      <c r="E18"/>
      <c r="F18"/>
      <c r="I18" s="14" t="s">
        <v>83</v>
      </c>
      <c r="J18" s="2">
        <f t="shared" si="2"/>
        <v>0.93333333333333324</v>
      </c>
      <c r="K18" s="2">
        <f t="shared" si="3"/>
        <v>0</v>
      </c>
      <c r="L18" s="1">
        <f>0+3+1+0</f>
        <v>4</v>
      </c>
      <c r="M18" s="1">
        <f>0+1+0+-1</f>
        <v>0</v>
      </c>
      <c r="N18" s="1">
        <f>0+1+1+1</f>
        <v>3</v>
      </c>
      <c r="W18" s="1">
        <v>18</v>
      </c>
      <c r="X18" s="13" t="s">
        <v>60</v>
      </c>
      <c r="Y18" t="s">
        <v>47</v>
      </c>
      <c r="AG18" s="18" t="s">
        <v>221</v>
      </c>
    </row>
    <row r="19" spans="1:33">
      <c r="B19" t="s">
        <v>180</v>
      </c>
      <c r="I19" s="14" t="s">
        <v>124</v>
      </c>
      <c r="J19" s="2">
        <f t="shared" si="2"/>
        <v>0.9</v>
      </c>
      <c r="K19" s="2">
        <f t="shared" si="3"/>
        <v>-0.6</v>
      </c>
      <c r="L19" s="1">
        <f>0+3+1+1+0+0</f>
        <v>5</v>
      </c>
      <c r="M19" s="1">
        <f>0+1+0+0+-2+-2</f>
        <v>-3</v>
      </c>
      <c r="N19" s="1">
        <f>0+1+1+1+1+1</f>
        <v>5</v>
      </c>
      <c r="W19" s="1">
        <v>19</v>
      </c>
      <c r="X19" s="13" t="s">
        <v>26</v>
      </c>
      <c r="Y19" t="s">
        <v>48</v>
      </c>
      <c r="AG19" s="18" t="s">
        <v>223</v>
      </c>
    </row>
    <row r="20" spans="1:33">
      <c r="A20" t="s">
        <v>135</v>
      </c>
      <c r="I20" s="14" t="s">
        <v>86</v>
      </c>
      <c r="J20" s="2">
        <f t="shared" si="2"/>
        <v>0.83333333333333337</v>
      </c>
      <c r="K20" s="2">
        <f t="shared" si="3"/>
        <v>-0.16666666666666666</v>
      </c>
      <c r="L20" s="1">
        <f>0+1+1+1+1+1+0</f>
        <v>5</v>
      </c>
      <c r="M20" s="1">
        <f>0+0+0+0+0+0+-1</f>
        <v>-1</v>
      </c>
      <c r="N20" s="1">
        <f>0+1+1+1+1+1+1</f>
        <v>6</v>
      </c>
      <c r="W20" s="1">
        <v>20</v>
      </c>
      <c r="X20" s="13" t="s">
        <v>61</v>
      </c>
      <c r="Y20" t="s">
        <v>49</v>
      </c>
      <c r="AG20" s="18" t="s">
        <v>224</v>
      </c>
    </row>
    <row r="21" spans="1:33">
      <c r="A21" t="s">
        <v>19</v>
      </c>
      <c r="I21" s="14" t="s">
        <v>114</v>
      </c>
      <c r="J21" s="2">
        <f t="shared" si="2"/>
        <v>0.7</v>
      </c>
      <c r="K21" s="2">
        <f t="shared" si="3"/>
        <v>-1.6666666666666667</v>
      </c>
      <c r="L21" s="1">
        <f>0+0+0+3</f>
        <v>3</v>
      </c>
      <c r="M21" s="1">
        <f>0+-2+-5+2</f>
        <v>-5</v>
      </c>
      <c r="N21" s="1">
        <f>0+1+1+1</f>
        <v>3</v>
      </c>
      <c r="W21" s="1">
        <v>21</v>
      </c>
      <c r="X21" s="13" t="s">
        <v>62</v>
      </c>
      <c r="Y21" t="s">
        <v>50</v>
      </c>
      <c r="AG21" s="18" t="s">
        <v>222</v>
      </c>
    </row>
    <row r="22" spans="1:33">
      <c r="B22" t="s">
        <v>20</v>
      </c>
      <c r="I22" s="14" t="s">
        <v>161</v>
      </c>
      <c r="J22" s="2">
        <f t="shared" si="2"/>
        <v>0.66666666666666663</v>
      </c>
      <c r="K22" s="2">
        <f t="shared" si="3"/>
        <v>-0.33333333333333331</v>
      </c>
      <c r="L22" s="1">
        <f>0+1+1+0+0+1+1</f>
        <v>4</v>
      </c>
      <c r="M22" s="1">
        <f>0+0+0+-1+-1+0+0</f>
        <v>-2</v>
      </c>
      <c r="N22" s="1">
        <f>0+1+1+1+1+1+1</f>
        <v>6</v>
      </c>
      <c r="W22" s="1">
        <v>22</v>
      </c>
      <c r="X22" s="13" t="s">
        <v>63</v>
      </c>
      <c r="Y22" t="s">
        <v>51</v>
      </c>
      <c r="AG22" s="18" t="s">
        <v>191</v>
      </c>
    </row>
    <row r="23" spans="1:33">
      <c r="B23" t="s">
        <v>88</v>
      </c>
      <c r="I23" s="14" t="s">
        <v>93</v>
      </c>
      <c r="J23" s="2">
        <f t="shared" si="2"/>
        <v>0.60000000000000009</v>
      </c>
      <c r="K23" s="2">
        <f t="shared" si="3"/>
        <v>-1.5</v>
      </c>
      <c r="L23" s="1">
        <f>0+0+0+3+0</f>
        <v>3</v>
      </c>
      <c r="M23" s="1">
        <f>0+-2+-1+1+-4</f>
        <v>-6</v>
      </c>
      <c r="N23" s="1">
        <f>0+1+1+1+1</f>
        <v>4</v>
      </c>
      <c r="W23" s="1">
        <v>23</v>
      </c>
      <c r="X23" s="13" t="s">
        <v>28</v>
      </c>
      <c r="Y23" t="s">
        <v>52</v>
      </c>
      <c r="AG23" s="18" t="s">
        <v>212</v>
      </c>
    </row>
    <row r="24" spans="1:33">
      <c r="A24" t="s">
        <v>16</v>
      </c>
      <c r="C24"/>
      <c r="D24"/>
      <c r="E24"/>
      <c r="F24"/>
      <c r="I24" s="14" t="s">
        <v>94</v>
      </c>
      <c r="J24" s="2">
        <f t="shared" si="2"/>
        <v>0.60000000000000009</v>
      </c>
      <c r="K24" s="2">
        <f t="shared" si="3"/>
        <v>-1.75</v>
      </c>
      <c r="L24" s="1">
        <f>0+3+0+0+0</f>
        <v>3</v>
      </c>
      <c r="M24" s="1">
        <f>0+1+-3+-2+-3</f>
        <v>-7</v>
      </c>
      <c r="N24" s="1">
        <f>0+1+1+1+1</f>
        <v>4</v>
      </c>
      <c r="W24" s="1">
        <v>24</v>
      </c>
      <c r="X24" s="13" t="s">
        <v>64</v>
      </c>
      <c r="Y24" t="s">
        <v>53</v>
      </c>
      <c r="AG24" s="18" t="s">
        <v>226</v>
      </c>
    </row>
    <row r="25" spans="1:33">
      <c r="A25" t="s">
        <v>17</v>
      </c>
      <c r="B25" s="2" t="e">
        <f t="shared" ref="B25" si="4">(D25/F25)*IF(F25&gt;5,1,IF(F25=5,0.9,IF(F25=4,0.8,0.7)))</f>
        <v>#DIV/0!</v>
      </c>
      <c r="C25" s="2" t="e">
        <f t="shared" ref="C25" si="5">E25/F25</f>
        <v>#DIV/0!</v>
      </c>
      <c r="D25" s="1">
        <f>0</f>
        <v>0</v>
      </c>
      <c r="E25" s="1">
        <f>0</f>
        <v>0</v>
      </c>
      <c r="F25" s="1">
        <f>0</f>
        <v>0</v>
      </c>
      <c r="I25" s="14" t="s">
        <v>162</v>
      </c>
      <c r="J25" s="2">
        <f t="shared" si="2"/>
        <v>0.54</v>
      </c>
      <c r="K25" s="2">
        <f t="shared" si="3"/>
        <v>-0.6</v>
      </c>
      <c r="L25" s="1">
        <f>0+0+1+1+0+1</f>
        <v>3</v>
      </c>
      <c r="M25" s="1">
        <f>0+-1+0+0+-2+0</f>
        <v>-3</v>
      </c>
      <c r="N25" s="1">
        <f>0+1+1+1+1+1</f>
        <v>5</v>
      </c>
      <c r="W25" s="1">
        <v>25</v>
      </c>
      <c r="X25" s="13" t="s">
        <v>65</v>
      </c>
      <c r="Y25" t="s">
        <v>68</v>
      </c>
      <c r="AG25" s="18" t="s">
        <v>225</v>
      </c>
    </row>
    <row r="26" spans="1:33">
      <c r="A26" t="s">
        <v>18</v>
      </c>
      <c r="B26" t="s">
        <v>136</v>
      </c>
      <c r="I26" s="14" t="s">
        <v>155</v>
      </c>
      <c r="J26" s="2">
        <f t="shared" si="2"/>
        <v>0.46666666666666662</v>
      </c>
      <c r="K26" s="2">
        <f t="shared" si="3"/>
        <v>-0.33333333333333331</v>
      </c>
      <c r="L26" s="1">
        <f>0+1+1+0</f>
        <v>2</v>
      </c>
      <c r="M26" s="1">
        <f>0+0+0+-1</f>
        <v>-1</v>
      </c>
      <c r="N26" s="1">
        <f>0+1+1+1</f>
        <v>3</v>
      </c>
      <c r="W26" s="1">
        <v>26</v>
      </c>
      <c r="X26" s="13" t="s">
        <v>66</v>
      </c>
      <c r="Y26" t="s">
        <v>69</v>
      </c>
    </row>
    <row r="27" spans="1:33">
      <c r="A27" t="s">
        <v>14</v>
      </c>
      <c r="I27" s="14" t="s">
        <v>159</v>
      </c>
      <c r="J27" s="2">
        <f t="shared" si="2"/>
        <v>0.33333333333333331</v>
      </c>
      <c r="K27" s="2">
        <f t="shared" si="3"/>
        <v>-1.6666666666666667</v>
      </c>
      <c r="L27" s="1">
        <f>0+1+0+0+1+0+0</f>
        <v>2</v>
      </c>
      <c r="M27" s="1">
        <f>0+0+-3+-5+0+-1+-1</f>
        <v>-10</v>
      </c>
      <c r="N27" s="1">
        <f>0+1+1+1+1+1+1</f>
        <v>6</v>
      </c>
      <c r="W27" s="1">
        <v>27</v>
      </c>
      <c r="X27" s="13" t="s">
        <v>67</v>
      </c>
      <c r="Y27" t="s">
        <v>70</v>
      </c>
    </row>
    <row r="28" spans="1:33">
      <c r="A28" t="s">
        <v>21</v>
      </c>
      <c r="I28" s="14" t="s">
        <v>137</v>
      </c>
      <c r="J28" s="2">
        <f t="shared" si="2"/>
        <v>0.23333333333333331</v>
      </c>
      <c r="K28" s="2">
        <f t="shared" si="3"/>
        <v>-1.6666666666666667</v>
      </c>
      <c r="L28" s="1">
        <f>0+1+0+0</f>
        <v>1</v>
      </c>
      <c r="M28" s="1">
        <f>0+0+-4+-1</f>
        <v>-5</v>
      </c>
      <c r="N28" s="1">
        <f>0+1+1+1</f>
        <v>3</v>
      </c>
      <c r="W28" s="1">
        <v>28</v>
      </c>
    </row>
    <row r="29" spans="1:33">
      <c r="A29" t="s">
        <v>147</v>
      </c>
      <c r="I29" s="14" t="s">
        <v>171</v>
      </c>
      <c r="J29" s="2">
        <f t="shared" si="2"/>
        <v>0</v>
      </c>
      <c r="K29" s="2">
        <f t="shared" si="3"/>
        <v>-1</v>
      </c>
      <c r="L29" s="1">
        <f>0+0+0+0</f>
        <v>0</v>
      </c>
      <c r="M29" s="1">
        <f>0+-1+-1+-1</f>
        <v>-3</v>
      </c>
      <c r="N29" s="1">
        <f>0+1+1+1</f>
        <v>3</v>
      </c>
      <c r="W29" s="1">
        <v>29</v>
      </c>
    </row>
    <row r="30" spans="1:33">
      <c r="A30" t="s">
        <v>148</v>
      </c>
      <c r="I30" s="14" t="s">
        <v>158</v>
      </c>
      <c r="J30" s="2">
        <f t="shared" si="2"/>
        <v>0</v>
      </c>
      <c r="K30" s="2">
        <f t="shared" si="3"/>
        <v>-1.3333333333333333</v>
      </c>
      <c r="L30" s="1">
        <f>0+0+0+0</f>
        <v>0</v>
      </c>
      <c r="M30" s="1">
        <f>0+-1+-1+-2</f>
        <v>-4</v>
      </c>
      <c r="N30" s="1">
        <f>0+1+1+1</f>
        <v>3</v>
      </c>
      <c r="W30" s="1">
        <v>30</v>
      </c>
    </row>
    <row r="31" spans="1:33">
      <c r="A31" t="s">
        <v>149</v>
      </c>
      <c r="I31" s="14" t="s">
        <v>125</v>
      </c>
      <c r="J31" s="2">
        <f t="shared" si="2"/>
        <v>0</v>
      </c>
      <c r="K31" s="2">
        <f t="shared" si="3"/>
        <v>-2</v>
      </c>
      <c r="L31" s="1">
        <f>0+0+0+0+0</f>
        <v>0</v>
      </c>
      <c r="M31" s="1">
        <f>0+-1+-3+-3+-1</f>
        <v>-8</v>
      </c>
      <c r="N31" s="1">
        <f>0+1+1+1+1</f>
        <v>4</v>
      </c>
      <c r="W31" s="1">
        <v>31</v>
      </c>
    </row>
    <row r="32" spans="1:33">
      <c r="I32" s="14" t="s">
        <v>164</v>
      </c>
      <c r="J32" s="2">
        <f t="shared" si="2"/>
        <v>2.0999999999999996</v>
      </c>
      <c r="K32" s="2">
        <f t="shared" si="3"/>
        <v>4</v>
      </c>
      <c r="L32" s="1">
        <f>0+3+3</f>
        <v>6</v>
      </c>
      <c r="M32" s="1">
        <f>0+4+4</f>
        <v>8</v>
      </c>
      <c r="N32" s="1">
        <f>0+1+1</f>
        <v>2</v>
      </c>
      <c r="W32" s="1">
        <v>32</v>
      </c>
    </row>
    <row r="33" spans="9:23">
      <c r="I33" s="14" t="s">
        <v>91</v>
      </c>
      <c r="J33" s="2">
        <f t="shared" si="2"/>
        <v>1.0499999999999998</v>
      </c>
      <c r="K33" s="2">
        <f t="shared" si="3"/>
        <v>0</v>
      </c>
      <c r="L33" s="1">
        <f>0+0+3</f>
        <v>3</v>
      </c>
      <c r="M33" s="1">
        <f>0+-1+1</f>
        <v>0</v>
      </c>
      <c r="N33" s="1">
        <f>0+1+1</f>
        <v>2</v>
      </c>
      <c r="W33" s="1">
        <v>33</v>
      </c>
    </row>
    <row r="34" spans="9:23">
      <c r="I34" s="14" t="s">
        <v>197</v>
      </c>
      <c r="J34" s="2">
        <f t="shared" si="2"/>
        <v>0.7</v>
      </c>
      <c r="K34" s="2">
        <f t="shared" si="3"/>
        <v>0</v>
      </c>
      <c r="L34" s="1">
        <f>0+1+1</f>
        <v>2</v>
      </c>
      <c r="M34" s="1">
        <f>0+0+0</f>
        <v>0</v>
      </c>
      <c r="N34" s="1">
        <f>0+1+1</f>
        <v>2</v>
      </c>
      <c r="W34" s="1">
        <v>34</v>
      </c>
    </row>
    <row r="35" spans="9:23">
      <c r="I35" s="14" t="s">
        <v>160</v>
      </c>
      <c r="J35" s="2">
        <f t="shared" si="2"/>
        <v>0.7</v>
      </c>
      <c r="K35" s="2">
        <f t="shared" si="3"/>
        <v>0</v>
      </c>
      <c r="L35" s="1">
        <f>0+1</f>
        <v>1</v>
      </c>
      <c r="M35" s="1">
        <f>0+0</f>
        <v>0</v>
      </c>
      <c r="N35" s="1">
        <f>0+1</f>
        <v>1</v>
      </c>
      <c r="W35" s="1">
        <v>35</v>
      </c>
    </row>
    <row r="36" spans="9:23">
      <c r="I36" s="14" t="s">
        <v>214</v>
      </c>
      <c r="J36" s="2">
        <f t="shared" si="2"/>
        <v>0</v>
      </c>
      <c r="K36" s="2">
        <f t="shared" si="3"/>
        <v>-3</v>
      </c>
      <c r="L36" s="1">
        <f>0+0</f>
        <v>0</v>
      </c>
      <c r="M36" s="1">
        <f>0+-3</f>
        <v>-3</v>
      </c>
      <c r="N36" s="1">
        <f>0+1</f>
        <v>1</v>
      </c>
      <c r="W36" s="1">
        <v>36</v>
      </c>
    </row>
    <row r="37" spans="9:23">
      <c r="I37"/>
      <c r="W37" s="1">
        <v>37</v>
      </c>
    </row>
    <row r="38" spans="9:23">
      <c r="I38"/>
      <c r="W38" s="1">
        <v>38</v>
      </c>
    </row>
    <row r="39" spans="9:23">
      <c r="I39"/>
      <c r="W39" s="1">
        <v>39</v>
      </c>
    </row>
    <row r="40" spans="9:23">
      <c r="I40"/>
      <c r="W40" s="1">
        <v>40</v>
      </c>
    </row>
    <row r="41" spans="9:23">
      <c r="I41"/>
      <c r="W41" s="1">
        <v>41</v>
      </c>
    </row>
    <row r="42" spans="9:23">
      <c r="I42"/>
      <c r="W42" s="1">
        <v>42</v>
      </c>
    </row>
    <row r="43" spans="9:23">
      <c r="I43"/>
      <c r="W43" s="1">
        <v>43</v>
      </c>
    </row>
    <row r="44" spans="9:23">
      <c r="I44"/>
      <c r="W44" s="1">
        <v>44</v>
      </c>
    </row>
    <row r="45" spans="9:23">
      <c r="I45"/>
      <c r="W45" s="1">
        <v>45</v>
      </c>
    </row>
    <row r="46" spans="9:23">
      <c r="I46"/>
      <c r="W46" s="1">
        <v>46</v>
      </c>
    </row>
    <row r="47" spans="9:23">
      <c r="I47"/>
      <c r="W47" s="1">
        <v>47</v>
      </c>
    </row>
    <row r="48" spans="9:23">
      <c r="I48"/>
      <c r="W48" s="1">
        <v>48</v>
      </c>
    </row>
    <row r="49" spans="9:23">
      <c r="I49"/>
      <c r="W49" s="1">
        <v>49</v>
      </c>
    </row>
    <row r="50" spans="9:23">
      <c r="I50"/>
      <c r="W50" s="1">
        <v>50</v>
      </c>
    </row>
    <row r="51" spans="9:23">
      <c r="I51"/>
      <c r="W51" s="1">
        <v>51</v>
      </c>
    </row>
    <row r="52" spans="9:23">
      <c r="I52"/>
      <c r="W52" s="1">
        <v>52</v>
      </c>
    </row>
    <row r="53" spans="9:23">
      <c r="I53"/>
      <c r="W53" s="1">
        <v>53</v>
      </c>
    </row>
    <row r="54" spans="9:23">
      <c r="I54"/>
      <c r="W54" s="1">
        <v>54</v>
      </c>
    </row>
    <row r="55" spans="9:23">
      <c r="I55"/>
      <c r="W55" s="1">
        <v>55</v>
      </c>
    </row>
    <row r="56" spans="9:23">
      <c r="I56"/>
      <c r="W56" s="1">
        <v>56</v>
      </c>
    </row>
    <row r="57" spans="9:23">
      <c r="I57"/>
      <c r="W57" s="1">
        <v>57</v>
      </c>
    </row>
    <row r="58" spans="9:23">
      <c r="I58"/>
      <c r="W58" s="1">
        <v>58</v>
      </c>
    </row>
    <row r="59" spans="9:23">
      <c r="I59"/>
      <c r="W59" s="1">
        <v>59</v>
      </c>
    </row>
    <row r="60" spans="9:23">
      <c r="I60"/>
      <c r="W60" s="1">
        <v>60</v>
      </c>
    </row>
    <row r="61" spans="9:23">
      <c r="I61"/>
      <c r="W61" s="1">
        <v>61</v>
      </c>
    </row>
    <row r="62" spans="9:23">
      <c r="I62"/>
      <c r="W62" s="1">
        <v>62</v>
      </c>
    </row>
    <row r="63" spans="9:23">
      <c r="I63"/>
      <c r="W63" s="1">
        <v>63</v>
      </c>
    </row>
    <row r="64" spans="9:23">
      <c r="I64"/>
      <c r="W64" s="1">
        <v>64</v>
      </c>
    </row>
    <row r="65" spans="9:23">
      <c r="I65"/>
      <c r="W65" s="1">
        <v>65</v>
      </c>
    </row>
    <row r="66" spans="9:23">
      <c r="I66"/>
      <c r="W66" s="1">
        <v>66</v>
      </c>
    </row>
    <row r="67" spans="9:23">
      <c r="I67"/>
      <c r="W67" s="1">
        <v>67</v>
      </c>
    </row>
    <row r="68" spans="9:23">
      <c r="I68"/>
      <c r="W68" s="1">
        <v>68</v>
      </c>
    </row>
    <row r="69" spans="9:23">
      <c r="W69" s="1">
        <v>69</v>
      </c>
    </row>
    <row r="70" spans="9:23">
      <c r="W70" s="1">
        <v>70</v>
      </c>
    </row>
    <row r="71" spans="9:23">
      <c r="W71" s="1">
        <v>71</v>
      </c>
    </row>
    <row r="72" spans="9:23">
      <c r="W72" s="1">
        <v>72</v>
      </c>
    </row>
    <row r="73" spans="9:23">
      <c r="W73" s="1">
        <v>73</v>
      </c>
    </row>
    <row r="74" spans="9:23">
      <c r="W74" s="1">
        <v>74</v>
      </c>
    </row>
    <row r="75" spans="9:23">
      <c r="W75" s="1">
        <v>75</v>
      </c>
    </row>
    <row r="76" spans="9:23">
      <c r="W76" s="1">
        <v>76</v>
      </c>
    </row>
    <row r="77" spans="9:23">
      <c r="W77" s="1">
        <v>77</v>
      </c>
    </row>
    <row r="78" spans="9:23">
      <c r="W78" s="1">
        <v>78</v>
      </c>
    </row>
    <row r="79" spans="9:23">
      <c r="W79" s="1">
        <v>79</v>
      </c>
    </row>
    <row r="80" spans="9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sortState ref="I1:N99">
    <sortCondition descending="1" ref="J1:J99"/>
    <sortCondition descending="1" ref="K1:K99"/>
  </sortState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K99"/>
  <sheetViews>
    <sheetView zoomScale="73" zoomScaleNormal="73" workbookViewId="0">
      <selection activeCell="W33" sqref="W33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style="14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4.85546875" style="1" customWidth="1"/>
    <col min="29" max="29" width="2.140625" style="8" customWidth="1"/>
    <col min="30" max="31" width="4.85546875" style="1" customWidth="1"/>
    <col min="32" max="32" width="2.140625" style="8" customWidth="1"/>
    <col min="33" max="33" width="4.85546875" style="18" customWidth="1"/>
    <col min="34" max="34" width="2.140625" style="8" customWidth="1"/>
    <col min="35" max="35" width="9.7109375" customWidth="1"/>
    <col min="36" max="37" width="4.28515625" style="1" customWidth="1"/>
  </cols>
  <sheetData>
    <row r="1" spans="1:37">
      <c r="A1" s="4" t="s">
        <v>139</v>
      </c>
      <c r="B1" s="4" t="s">
        <v>138</v>
      </c>
      <c r="C1" s="5">
        <v>1</v>
      </c>
      <c r="D1" s="5">
        <v>1</v>
      </c>
      <c r="E1" s="1">
        <f t="shared" ref="E1:E8" si="0">C1-D1</f>
        <v>0</v>
      </c>
      <c r="F1" s="1">
        <f t="shared" ref="F1:F8" si="1">D1-C1</f>
        <v>0</v>
      </c>
      <c r="G1" s="10">
        <v>0.78125</v>
      </c>
      <c r="H1" s="17"/>
      <c r="I1" s="14" t="s">
        <v>123</v>
      </c>
      <c r="J1" s="2">
        <f t="shared" ref="J1:J36" si="2">(L1/N1)*IF(N1&gt;5,1,IF(N1=5,0.9,IF(N1=4,0.8,0.7)))</f>
        <v>2.4285714285714284</v>
      </c>
      <c r="K1" s="2">
        <f t="shared" ref="K1:K36" si="3">M1/N1</f>
        <v>1.8571428571428572</v>
      </c>
      <c r="L1" s="1">
        <f>0+1+3+3+1+3+3+3</f>
        <v>17</v>
      </c>
      <c r="M1" s="1">
        <f>0+0+1+4+0+1+5+2</f>
        <v>13</v>
      </c>
      <c r="N1" s="1">
        <f>0+1+1+1+1+1+1+1</f>
        <v>7</v>
      </c>
      <c r="V1" s="1"/>
      <c r="W1" s="1">
        <v>1</v>
      </c>
      <c r="X1" s="12" t="s">
        <v>59</v>
      </c>
      <c r="Y1" s="4" t="s">
        <v>38</v>
      </c>
      <c r="AA1" s="18" t="s">
        <v>199</v>
      </c>
      <c r="AB1" s="18" t="s">
        <v>193</v>
      </c>
      <c r="AD1" s="1">
        <v>12</v>
      </c>
      <c r="AE1" s="1">
        <v>16</v>
      </c>
      <c r="AG1" s="18" t="s">
        <v>191</v>
      </c>
      <c r="AI1" s="12"/>
    </row>
    <row r="2" spans="1:37">
      <c r="A2" s="4" t="s">
        <v>163</v>
      </c>
      <c r="B2" s="4" t="s">
        <v>132</v>
      </c>
      <c r="C2" s="5">
        <v>2</v>
      </c>
      <c r="D2" s="5">
        <v>1</v>
      </c>
      <c r="E2" s="1">
        <f t="shared" si="0"/>
        <v>1</v>
      </c>
      <c r="F2" s="1">
        <f t="shared" si="1"/>
        <v>-1</v>
      </c>
      <c r="G2" s="10">
        <v>0.78125</v>
      </c>
      <c r="H2" s="17"/>
      <c r="I2" s="14" t="s">
        <v>163</v>
      </c>
      <c r="J2" s="2">
        <f t="shared" si="2"/>
        <v>2.3400000000000003</v>
      </c>
      <c r="K2" s="2">
        <f t="shared" si="3"/>
        <v>1.6</v>
      </c>
      <c r="L2" s="1">
        <f>0+3+1+3+3+3</f>
        <v>13</v>
      </c>
      <c r="M2" s="1">
        <f>0+1+0+5+1+1</f>
        <v>8</v>
      </c>
      <c r="N2" s="1">
        <f>0+1+1+1+1+1</f>
        <v>5</v>
      </c>
      <c r="W2" s="1">
        <v>2</v>
      </c>
      <c r="X2" s="12" t="s">
        <v>59</v>
      </c>
      <c r="Y2" s="4" t="s">
        <v>38</v>
      </c>
      <c r="AA2" s="18" t="s">
        <v>199</v>
      </c>
      <c r="AB2" s="18" t="s">
        <v>191</v>
      </c>
      <c r="AD2" s="1">
        <v>4</v>
      </c>
      <c r="AE2" s="1">
        <v>14</v>
      </c>
      <c r="AG2" s="18" t="s">
        <v>191</v>
      </c>
      <c r="AI2" s="12"/>
      <c r="AJ2" s="1" t="s">
        <v>150</v>
      </c>
    </row>
    <row r="3" spans="1:37">
      <c r="A3" s="4" t="s">
        <v>125</v>
      </c>
      <c r="B3" s="4" t="s">
        <v>84</v>
      </c>
      <c r="C3" s="5">
        <v>2</v>
      </c>
      <c r="D3" s="5">
        <v>2</v>
      </c>
      <c r="E3" s="1">
        <f t="shared" si="0"/>
        <v>0</v>
      </c>
      <c r="F3" s="1">
        <f t="shared" si="1"/>
        <v>0</v>
      </c>
      <c r="G3" s="10">
        <v>0.875</v>
      </c>
      <c r="H3" s="17"/>
      <c r="I3" s="14" t="s">
        <v>167</v>
      </c>
      <c r="J3" s="2">
        <f t="shared" si="2"/>
        <v>2.3333333333333335</v>
      </c>
      <c r="K3" s="2">
        <f t="shared" si="3"/>
        <v>0.83333333333333337</v>
      </c>
      <c r="L3" s="1">
        <f>0+1+3+3+3+1+3</f>
        <v>14</v>
      </c>
      <c r="M3" s="1">
        <f>0+0+1+1+1+0+2</f>
        <v>5</v>
      </c>
      <c r="N3" s="1">
        <f>0+1+1+1+1+1+1</f>
        <v>6</v>
      </c>
      <c r="W3" s="1">
        <v>3</v>
      </c>
      <c r="X3" s="12" t="s">
        <v>59</v>
      </c>
      <c r="Y3" s="4" t="s">
        <v>38</v>
      </c>
      <c r="AA3" s="18" t="s">
        <v>234</v>
      </c>
      <c r="AB3" s="18" t="s">
        <v>193</v>
      </c>
      <c r="AD3" s="1">
        <v>30</v>
      </c>
      <c r="AE3" s="1">
        <v>13</v>
      </c>
      <c r="AG3" s="18" t="s">
        <v>224</v>
      </c>
      <c r="AI3" s="12"/>
      <c r="AJ3" s="1" t="s">
        <v>150</v>
      </c>
    </row>
    <row r="4" spans="1:37">
      <c r="A4" s="4" t="s">
        <v>123</v>
      </c>
      <c r="B4" s="4" t="s">
        <v>126</v>
      </c>
      <c r="C4" s="5">
        <v>2</v>
      </c>
      <c r="D4" s="5">
        <v>0</v>
      </c>
      <c r="E4" s="1">
        <f t="shared" si="0"/>
        <v>2</v>
      </c>
      <c r="F4" s="1">
        <f t="shared" si="1"/>
        <v>-2</v>
      </c>
      <c r="G4" s="10">
        <v>0.875</v>
      </c>
      <c r="H4" s="17"/>
      <c r="I4" s="14" t="s">
        <v>90</v>
      </c>
      <c r="J4" s="2">
        <f t="shared" si="2"/>
        <v>2.1666666666666665</v>
      </c>
      <c r="K4" s="2">
        <f t="shared" si="3"/>
        <v>1.3333333333333333</v>
      </c>
      <c r="L4" s="1">
        <f>0+1+3+3+3+3+0</f>
        <v>13</v>
      </c>
      <c r="M4" s="1">
        <f>0+0+2+3+3+5+-5</f>
        <v>8</v>
      </c>
      <c r="N4" s="1">
        <f>0+1+1+1+1+1+1</f>
        <v>6</v>
      </c>
      <c r="V4" s="1"/>
      <c r="W4" s="1">
        <v>4</v>
      </c>
      <c r="X4" s="12" t="s">
        <v>59</v>
      </c>
      <c r="Y4" s="4" t="s">
        <v>38</v>
      </c>
      <c r="AA4" s="18" t="s">
        <v>199</v>
      </c>
      <c r="AB4" s="18" t="s">
        <v>213</v>
      </c>
      <c r="AD4" s="1">
        <v>1</v>
      </c>
      <c r="AE4" s="1">
        <v>6</v>
      </c>
      <c r="AG4" s="18" t="s">
        <v>193</v>
      </c>
      <c r="AI4" s="12"/>
      <c r="AK4" s="1" t="s">
        <v>153</v>
      </c>
    </row>
    <row r="5" spans="1:37">
      <c r="A5" s="4" t="s">
        <v>93</v>
      </c>
      <c r="B5" s="4" t="s">
        <v>164</v>
      </c>
      <c r="C5" s="5">
        <v>1</v>
      </c>
      <c r="D5" s="5">
        <v>3</v>
      </c>
      <c r="E5" s="1">
        <f t="shared" si="0"/>
        <v>-2</v>
      </c>
      <c r="F5" s="1">
        <f t="shared" si="1"/>
        <v>2</v>
      </c>
      <c r="G5" s="10">
        <v>0.875</v>
      </c>
      <c r="H5" s="17"/>
      <c r="I5" s="14" t="s">
        <v>164</v>
      </c>
      <c r="J5" s="2">
        <f t="shared" si="2"/>
        <v>2.0999999999999996</v>
      </c>
      <c r="K5" s="2">
        <f t="shared" si="3"/>
        <v>3.3333333333333335</v>
      </c>
      <c r="L5" s="1">
        <f>0+3+3+3</f>
        <v>9</v>
      </c>
      <c r="M5" s="1">
        <f>0+4+4+2</f>
        <v>10</v>
      </c>
      <c r="N5" s="1">
        <f>0+1+1+1</f>
        <v>3</v>
      </c>
      <c r="W5" s="1">
        <v>5</v>
      </c>
      <c r="X5" s="12" t="s">
        <v>59</v>
      </c>
      <c r="Y5" s="4" t="s">
        <v>38</v>
      </c>
      <c r="AA5" s="18" t="s">
        <v>199</v>
      </c>
      <c r="AB5" s="18" t="s">
        <v>193</v>
      </c>
      <c r="AD5" s="1">
        <v>22</v>
      </c>
      <c r="AG5" s="18" t="s">
        <v>193</v>
      </c>
      <c r="AI5" s="12"/>
      <c r="AJ5" s="1" t="s">
        <v>150</v>
      </c>
    </row>
    <row r="6" spans="1:37">
      <c r="A6" s="4"/>
      <c r="B6" s="4"/>
      <c r="C6" s="5"/>
      <c r="D6" s="5"/>
      <c r="E6" s="1">
        <f t="shared" si="0"/>
        <v>0</v>
      </c>
      <c r="F6" s="1">
        <f t="shared" si="1"/>
        <v>0</v>
      </c>
      <c r="G6" s="10"/>
      <c r="H6" s="17"/>
      <c r="I6" s="14" t="s">
        <v>89</v>
      </c>
      <c r="J6" s="2">
        <f t="shared" si="2"/>
        <v>2</v>
      </c>
      <c r="K6" s="2">
        <f t="shared" si="3"/>
        <v>2</v>
      </c>
      <c r="L6" s="1">
        <f>0+1+3+3+3</f>
        <v>10</v>
      </c>
      <c r="M6" s="1">
        <f>0+0+1+2+5</f>
        <v>8</v>
      </c>
      <c r="N6" s="1">
        <f>0+1+1+1+1</f>
        <v>4</v>
      </c>
      <c r="W6" s="1">
        <v>6</v>
      </c>
      <c r="X6" s="12"/>
      <c r="Y6" s="4"/>
      <c r="AD6" s="18"/>
      <c r="AG6" s="18" t="s">
        <v>201</v>
      </c>
      <c r="AI6" s="12" t="s">
        <v>231</v>
      </c>
      <c r="AK6" s="1" t="s">
        <v>153</v>
      </c>
    </row>
    <row r="7" spans="1:37">
      <c r="A7" s="4" t="s">
        <v>197</v>
      </c>
      <c r="B7" s="4" t="s">
        <v>140</v>
      </c>
      <c r="C7" s="5">
        <v>2</v>
      </c>
      <c r="D7" s="5">
        <v>2</v>
      </c>
      <c r="E7" s="1">
        <f t="shared" si="0"/>
        <v>0</v>
      </c>
      <c r="F7" s="1">
        <f t="shared" si="1"/>
        <v>0</v>
      </c>
      <c r="G7" s="10">
        <v>0.875</v>
      </c>
      <c r="H7" s="17"/>
      <c r="I7" s="14" t="s">
        <v>178</v>
      </c>
      <c r="J7" s="2">
        <f t="shared" si="2"/>
        <v>1.8</v>
      </c>
      <c r="K7" s="2">
        <f t="shared" si="3"/>
        <v>0</v>
      </c>
      <c r="L7" s="1">
        <f>0+3+3+0+3+1</f>
        <v>10</v>
      </c>
      <c r="M7" s="1">
        <f>0+1+1+-5+3+0</f>
        <v>0</v>
      </c>
      <c r="N7" s="1">
        <f>0+1+1+1+1+1</f>
        <v>5</v>
      </c>
      <c r="W7" s="1">
        <v>7</v>
      </c>
      <c r="X7" s="12" t="s">
        <v>59</v>
      </c>
      <c r="Y7" s="4" t="s">
        <v>39</v>
      </c>
      <c r="AA7" s="18" t="s">
        <v>206</v>
      </c>
      <c r="AB7" s="18" t="s">
        <v>222</v>
      </c>
      <c r="AD7" s="18"/>
      <c r="AE7" s="1">
        <v>11</v>
      </c>
      <c r="AG7" s="18" t="s">
        <v>226</v>
      </c>
      <c r="AI7" s="12"/>
    </row>
    <row r="8" spans="1:37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10"/>
      <c r="H8" s="17"/>
      <c r="I8" s="14" t="s">
        <v>95</v>
      </c>
      <c r="J8" s="2">
        <f t="shared" si="2"/>
        <v>1.6666666666666667</v>
      </c>
      <c r="K8" s="2">
        <f t="shared" si="3"/>
        <v>1</v>
      </c>
      <c r="L8" s="1">
        <f>0+0+3+3+3+0+1</f>
        <v>10</v>
      </c>
      <c r="M8" s="1">
        <f>0+-1+5+3+1+-2+0</f>
        <v>6</v>
      </c>
      <c r="N8" s="1">
        <f>0+1+1+1+1+1+1</f>
        <v>6</v>
      </c>
      <c r="W8" s="1">
        <v>8</v>
      </c>
      <c r="X8" s="12"/>
      <c r="Y8" s="4"/>
      <c r="AA8" s="18"/>
      <c r="AB8" s="18"/>
      <c r="AD8" s="18"/>
      <c r="AE8" s="18"/>
      <c r="AG8" s="18" t="s">
        <v>225</v>
      </c>
      <c r="AI8" s="12"/>
    </row>
    <row r="9" spans="1:37">
      <c r="A9" t="s">
        <v>6</v>
      </c>
      <c r="C9"/>
      <c r="D9"/>
      <c r="E9"/>
      <c r="F9"/>
      <c r="G9" s="15"/>
      <c r="H9" s="7"/>
      <c r="I9" s="14" t="s">
        <v>156</v>
      </c>
      <c r="J9" s="2">
        <f t="shared" si="2"/>
        <v>1.6333333333333333</v>
      </c>
      <c r="K9" s="2">
        <f t="shared" si="3"/>
        <v>1</v>
      </c>
      <c r="L9" s="1">
        <f>0+1+3+3</f>
        <v>7</v>
      </c>
      <c r="M9" s="1">
        <f>0+0+1+2</f>
        <v>3</v>
      </c>
      <c r="N9" s="1">
        <f>0+1+1+1</f>
        <v>3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/>
      <c r="AE9" s="3"/>
      <c r="AG9" s="18" t="s">
        <v>193</v>
      </c>
      <c r="AI9" s="16" t="s">
        <v>230</v>
      </c>
    </row>
    <row r="10" spans="1:37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I10" s="14" t="s">
        <v>85</v>
      </c>
      <c r="J10" s="2">
        <f t="shared" si="2"/>
        <v>1.5714285714285714</v>
      </c>
      <c r="K10" s="2">
        <f t="shared" si="3"/>
        <v>0.5714285714285714</v>
      </c>
      <c r="L10" s="1">
        <f>0+1+3+1+3+3+0+0</f>
        <v>11</v>
      </c>
      <c r="M10" s="1">
        <f>0+0+2+0+1+3+-1+-1</f>
        <v>4</v>
      </c>
      <c r="N10" s="1">
        <f>0+1+1+1+1+1+1+1</f>
        <v>7</v>
      </c>
      <c r="W10" s="1">
        <v>10</v>
      </c>
      <c r="X10" s="13" t="s">
        <v>54</v>
      </c>
      <c r="Y10" t="s">
        <v>38</v>
      </c>
      <c r="AG10" s="18" t="s">
        <v>193</v>
      </c>
    </row>
    <row r="11" spans="1:37">
      <c r="A11" t="s">
        <v>7</v>
      </c>
      <c r="C11"/>
      <c r="D11"/>
      <c r="E11"/>
      <c r="F11"/>
      <c r="I11" s="14" t="s">
        <v>126</v>
      </c>
      <c r="J11" s="2">
        <f t="shared" si="2"/>
        <v>1.5714285714285714</v>
      </c>
      <c r="K11" s="2">
        <f t="shared" si="3"/>
        <v>0.42857142857142855</v>
      </c>
      <c r="L11" s="1">
        <f>0+1+1+3+3+0+3+0</f>
        <v>11</v>
      </c>
      <c r="M11" s="1">
        <f>0+0+0+1+2+-1+3+-2</f>
        <v>3</v>
      </c>
      <c r="N11" s="1">
        <f>0+1+1+1+1+1+1+1</f>
        <v>7</v>
      </c>
      <c r="W11" s="1">
        <v>11</v>
      </c>
      <c r="X11" s="13" t="s">
        <v>55</v>
      </c>
      <c r="Y11" t="s">
        <v>39</v>
      </c>
      <c r="AG11" s="18" t="s">
        <v>213</v>
      </c>
      <c r="AK11" s="1" t="s">
        <v>153</v>
      </c>
    </row>
    <row r="12" spans="1:37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I12" s="14" t="s">
        <v>140</v>
      </c>
      <c r="J12" s="2">
        <f t="shared" si="2"/>
        <v>1.5</v>
      </c>
      <c r="K12" s="2">
        <f t="shared" si="3"/>
        <v>0.16666666666666666</v>
      </c>
      <c r="L12" s="1">
        <f>0+0+3+3+1+1+1</f>
        <v>9</v>
      </c>
      <c r="M12" s="1">
        <f>0+-2+1+2+0+0+0</f>
        <v>1</v>
      </c>
      <c r="N12" s="1">
        <f>0+1+1+1+1+1+1</f>
        <v>6</v>
      </c>
      <c r="W12" s="1">
        <v>12</v>
      </c>
      <c r="X12" s="13" t="s">
        <v>25</v>
      </c>
      <c r="Y12" t="s">
        <v>40</v>
      </c>
      <c r="AG12" s="18" t="s">
        <v>222</v>
      </c>
      <c r="AK12" s="1" t="s">
        <v>153</v>
      </c>
    </row>
    <row r="13" spans="1:37">
      <c r="A13" t="s">
        <v>15</v>
      </c>
      <c r="C13"/>
      <c r="D13"/>
      <c r="E13"/>
      <c r="F13"/>
      <c r="I13" s="14" t="s">
        <v>84</v>
      </c>
      <c r="J13" s="2">
        <f t="shared" si="2"/>
        <v>1.4400000000000002</v>
      </c>
      <c r="K13" s="2">
        <f t="shared" si="3"/>
        <v>0.4</v>
      </c>
      <c r="L13" s="1">
        <f>0+0+3+3+1+1</f>
        <v>8</v>
      </c>
      <c r="M13" s="1">
        <f>0-1+2+1+0+0</f>
        <v>2</v>
      </c>
      <c r="N13" s="1">
        <f>0+1+1+1+1+1</f>
        <v>5</v>
      </c>
      <c r="W13" s="1">
        <v>13</v>
      </c>
      <c r="X13" s="13" t="s">
        <v>29</v>
      </c>
      <c r="Y13" t="s">
        <v>45</v>
      </c>
      <c r="AG13" s="18" t="s">
        <v>193</v>
      </c>
    </row>
    <row r="14" spans="1:37">
      <c r="A14" s="3" t="s">
        <v>30</v>
      </c>
      <c r="C14"/>
      <c r="D14"/>
      <c r="E14"/>
      <c r="F14"/>
      <c r="I14" s="14" t="s">
        <v>139</v>
      </c>
      <c r="J14" s="2">
        <f t="shared" si="2"/>
        <v>1.375</v>
      </c>
      <c r="K14" s="2">
        <f t="shared" si="3"/>
        <v>0.125</v>
      </c>
      <c r="L14" s="1">
        <f>0+3+0+1+0+3+0+3+1</f>
        <v>11</v>
      </c>
      <c r="M14" s="1">
        <f>0+2+-1+0+-1+1+-1+1+0</f>
        <v>1</v>
      </c>
      <c r="N14" s="1">
        <f>0+1+1+1+1+1+1+1+1</f>
        <v>8</v>
      </c>
      <c r="W14" s="1">
        <v>14</v>
      </c>
      <c r="X14" s="13" t="s">
        <v>56</v>
      </c>
      <c r="Y14" t="s">
        <v>42</v>
      </c>
      <c r="AG14" s="18" t="s">
        <v>191</v>
      </c>
      <c r="AK14" s="1" t="s">
        <v>153</v>
      </c>
    </row>
    <row r="15" spans="1:37">
      <c r="A15" t="s">
        <v>133</v>
      </c>
      <c r="C15"/>
      <c r="D15"/>
      <c r="E15"/>
      <c r="F15"/>
      <c r="I15" s="14" t="s">
        <v>96</v>
      </c>
      <c r="J15" s="2">
        <f t="shared" si="2"/>
        <v>1.1666666666666667</v>
      </c>
      <c r="K15" s="2">
        <f t="shared" si="3"/>
        <v>0.33333333333333331</v>
      </c>
      <c r="L15" s="1">
        <f>0+1+1+3</f>
        <v>5</v>
      </c>
      <c r="M15" s="1">
        <f>0+0+0+1</f>
        <v>1</v>
      </c>
      <c r="N15" s="1">
        <f>0+1+1+1</f>
        <v>3</v>
      </c>
      <c r="W15" s="1">
        <v>15</v>
      </c>
      <c r="X15" s="13" t="s">
        <v>57</v>
      </c>
      <c r="Y15" t="s">
        <v>43</v>
      </c>
      <c r="AG15" s="18" t="s">
        <v>235</v>
      </c>
    </row>
    <row r="16" spans="1:37">
      <c r="A16" t="s">
        <v>23</v>
      </c>
      <c r="C16"/>
      <c r="D16"/>
      <c r="E16"/>
      <c r="F16"/>
      <c r="I16" s="14" t="s">
        <v>157</v>
      </c>
      <c r="J16" s="2">
        <f t="shared" si="2"/>
        <v>1.1666666666666667</v>
      </c>
      <c r="K16" s="2">
        <f t="shared" si="3"/>
        <v>-0.66666666666666663</v>
      </c>
      <c r="L16" s="1">
        <f>0+0+1+0+3+0+3</f>
        <v>7</v>
      </c>
      <c r="M16" s="1">
        <f>0+-3+0+-2+1+-1+1</f>
        <v>-4</v>
      </c>
      <c r="N16" s="1">
        <f>0+1+1+1+1+1+1</f>
        <v>6</v>
      </c>
      <c r="W16" s="1">
        <v>16</v>
      </c>
      <c r="X16" s="13" t="s">
        <v>58</v>
      </c>
      <c r="Y16" t="s">
        <v>44</v>
      </c>
      <c r="AG16" s="18" t="s">
        <v>224</v>
      </c>
      <c r="AJ16" s="1" t="s">
        <v>150</v>
      </c>
    </row>
    <row r="17" spans="1:37">
      <c r="A17" t="s">
        <v>134</v>
      </c>
      <c r="I17" s="20" t="s">
        <v>132</v>
      </c>
      <c r="J17" s="2">
        <f t="shared" si="2"/>
        <v>1.1428571428571428</v>
      </c>
      <c r="K17" s="2">
        <f t="shared" si="3"/>
        <v>-0.42857142857142855</v>
      </c>
      <c r="L17" s="1">
        <f>0+3+0+3+1+1+0+0</f>
        <v>8</v>
      </c>
      <c r="M17" s="1">
        <f>0+1+-1+3+0+0+-5+-1</f>
        <v>-3</v>
      </c>
      <c r="N17" s="1">
        <f>0+1+1+1+1+1+1+1</f>
        <v>7</v>
      </c>
      <c r="W17" s="1">
        <v>17</v>
      </c>
      <c r="X17" s="13" t="s">
        <v>59</v>
      </c>
      <c r="Y17" t="s">
        <v>46</v>
      </c>
      <c r="AG17" s="18" t="s">
        <v>191</v>
      </c>
      <c r="AK17" s="1" t="s">
        <v>153</v>
      </c>
    </row>
    <row r="18" spans="1:37">
      <c r="A18" t="s">
        <v>33</v>
      </c>
      <c r="C18"/>
      <c r="D18"/>
      <c r="E18"/>
      <c r="F18"/>
      <c r="I18" s="14" t="s">
        <v>138</v>
      </c>
      <c r="J18" s="2">
        <f t="shared" si="2"/>
        <v>1.08</v>
      </c>
      <c r="K18" s="2">
        <f t="shared" si="3"/>
        <v>-0.6</v>
      </c>
      <c r="L18" s="1">
        <f>0+1+1+0+3+1</f>
        <v>6</v>
      </c>
      <c r="M18" s="1">
        <f>0+0+0+-4+1+0</f>
        <v>-3</v>
      </c>
      <c r="N18" s="1">
        <f>0+1+1+1+1+1</f>
        <v>5</v>
      </c>
      <c r="W18" s="1">
        <v>18</v>
      </c>
      <c r="X18" s="13" t="s">
        <v>60</v>
      </c>
      <c r="Y18" t="s">
        <v>47</v>
      </c>
      <c r="AG18" s="18" t="s">
        <v>193</v>
      </c>
      <c r="AK18" s="1" t="s">
        <v>153</v>
      </c>
    </row>
    <row r="19" spans="1:37">
      <c r="B19" t="s">
        <v>180</v>
      </c>
      <c r="I19" s="14" t="s">
        <v>83</v>
      </c>
      <c r="J19" s="2">
        <f t="shared" si="2"/>
        <v>0.93333333333333324</v>
      </c>
      <c r="K19" s="2">
        <f t="shared" si="3"/>
        <v>0</v>
      </c>
      <c r="L19" s="1">
        <f>0+3+1+0</f>
        <v>4</v>
      </c>
      <c r="M19" s="1">
        <f>0+1+0+-1</f>
        <v>0</v>
      </c>
      <c r="N19" s="1">
        <f>0+1+1+1</f>
        <v>3</v>
      </c>
      <c r="W19" s="1">
        <v>19</v>
      </c>
      <c r="X19" s="13" t="s">
        <v>26</v>
      </c>
      <c r="Y19" t="s">
        <v>48</v>
      </c>
      <c r="AG19" s="18" t="s">
        <v>228</v>
      </c>
      <c r="AK19" s="1" t="s">
        <v>153</v>
      </c>
    </row>
    <row r="20" spans="1:37">
      <c r="A20" t="s">
        <v>135</v>
      </c>
      <c r="I20" s="14" t="s">
        <v>124</v>
      </c>
      <c r="J20" s="2">
        <f t="shared" si="2"/>
        <v>0.9</v>
      </c>
      <c r="K20" s="2">
        <f t="shared" si="3"/>
        <v>-0.6</v>
      </c>
      <c r="L20" s="1">
        <f>0+3+1+1+0+0</f>
        <v>5</v>
      </c>
      <c r="M20" s="1">
        <f>0+1+0+0+-2+-2</f>
        <v>-3</v>
      </c>
      <c r="N20" s="1">
        <f>0+1+1+1+1+1</f>
        <v>5</v>
      </c>
      <c r="W20" s="1">
        <v>20</v>
      </c>
      <c r="X20" s="13" t="s">
        <v>61</v>
      </c>
      <c r="Y20" t="s">
        <v>49</v>
      </c>
      <c r="AG20" s="18" t="s">
        <v>221</v>
      </c>
      <c r="AK20" s="1" t="s">
        <v>153</v>
      </c>
    </row>
    <row r="21" spans="1:37">
      <c r="A21" t="s">
        <v>19</v>
      </c>
      <c r="I21" s="14" t="s">
        <v>86</v>
      </c>
      <c r="J21" s="2">
        <f t="shared" si="2"/>
        <v>0.83333333333333337</v>
      </c>
      <c r="K21" s="2">
        <f t="shared" si="3"/>
        <v>-0.16666666666666666</v>
      </c>
      <c r="L21" s="1">
        <f>0+1+1+1+1+1+0</f>
        <v>5</v>
      </c>
      <c r="M21" s="1">
        <f>0+0+0+0+0+0+-1</f>
        <v>-1</v>
      </c>
      <c r="N21" s="1">
        <f>0+1+1+1+1+1+1</f>
        <v>6</v>
      </c>
      <c r="W21" s="1">
        <v>21</v>
      </c>
      <c r="X21" s="13" t="s">
        <v>62</v>
      </c>
      <c r="Y21" t="s">
        <v>50</v>
      </c>
      <c r="AG21" s="18" t="s">
        <v>223</v>
      </c>
      <c r="AK21" s="1" t="s">
        <v>153</v>
      </c>
    </row>
    <row r="22" spans="1:37">
      <c r="B22" t="s">
        <v>20</v>
      </c>
      <c r="I22" s="14" t="s">
        <v>197</v>
      </c>
      <c r="J22" s="2">
        <f t="shared" si="2"/>
        <v>0.7</v>
      </c>
      <c r="K22" s="2">
        <f t="shared" si="3"/>
        <v>0</v>
      </c>
      <c r="L22" s="1">
        <f>0+1+1+1</f>
        <v>3</v>
      </c>
      <c r="M22" s="1">
        <f>0+0+0+0</f>
        <v>0</v>
      </c>
      <c r="N22" s="1">
        <f>0+1+1+1</f>
        <v>3</v>
      </c>
      <c r="W22" s="1">
        <v>22</v>
      </c>
      <c r="X22" s="13" t="s">
        <v>63</v>
      </c>
      <c r="Y22" t="s">
        <v>51</v>
      </c>
      <c r="AG22" s="18" t="s">
        <v>225</v>
      </c>
      <c r="AJ22" s="1" t="s">
        <v>150</v>
      </c>
    </row>
    <row r="23" spans="1:37">
      <c r="B23" t="s">
        <v>88</v>
      </c>
      <c r="I23" s="14" t="s">
        <v>114</v>
      </c>
      <c r="J23" s="2">
        <f t="shared" si="2"/>
        <v>0.7</v>
      </c>
      <c r="K23" s="2">
        <f t="shared" si="3"/>
        <v>-1.6666666666666667</v>
      </c>
      <c r="L23" s="1">
        <f>0+0+0+3</f>
        <v>3</v>
      </c>
      <c r="M23" s="1">
        <f>0+-2+-5+2</f>
        <v>-5</v>
      </c>
      <c r="N23" s="1">
        <f>0+1+1+1</f>
        <v>3</v>
      </c>
      <c r="W23" s="1">
        <v>23</v>
      </c>
      <c r="X23" s="13" t="s">
        <v>28</v>
      </c>
      <c r="Y23" t="s">
        <v>52</v>
      </c>
      <c r="AG23" s="18" t="s">
        <v>222</v>
      </c>
      <c r="AK23" s="1" t="s">
        <v>153</v>
      </c>
    </row>
    <row r="24" spans="1:37">
      <c r="A24" t="s">
        <v>16</v>
      </c>
      <c r="C24"/>
      <c r="D24"/>
      <c r="E24"/>
      <c r="F24"/>
      <c r="I24" s="14" t="s">
        <v>161</v>
      </c>
      <c r="J24" s="2">
        <f t="shared" si="2"/>
        <v>0.66666666666666663</v>
      </c>
      <c r="K24" s="2">
        <f t="shared" si="3"/>
        <v>-0.33333333333333331</v>
      </c>
      <c r="L24" s="1">
        <f>0+1+1+0+0+1+1</f>
        <v>4</v>
      </c>
      <c r="M24" s="1">
        <f>0+0+0+-1+-1+0+0</f>
        <v>-2</v>
      </c>
      <c r="N24" s="1">
        <f>0+1+1+1+1+1+1</f>
        <v>6</v>
      </c>
      <c r="W24" s="1">
        <v>24</v>
      </c>
      <c r="X24" s="13" t="s">
        <v>64</v>
      </c>
      <c r="Y24" t="s">
        <v>53</v>
      </c>
      <c r="AG24" s="18" t="s">
        <v>226</v>
      </c>
    </row>
    <row r="25" spans="1:37">
      <c r="A25" t="s">
        <v>17</v>
      </c>
      <c r="B25" s="2" t="e">
        <f t="shared" ref="B25" si="4">(D25/F25)*IF(F25&gt;5,1,IF(F25=5,0.9,IF(F25=4,0.8,0.7)))</f>
        <v>#DIV/0!</v>
      </c>
      <c r="C25" s="2" t="e">
        <f t="shared" ref="C25" si="5">E25/F25</f>
        <v>#DIV/0!</v>
      </c>
      <c r="D25" s="1">
        <f>0</f>
        <v>0</v>
      </c>
      <c r="E25" s="1">
        <f>0</f>
        <v>0</v>
      </c>
      <c r="F25" s="1">
        <f>0</f>
        <v>0</v>
      </c>
      <c r="I25" s="14" t="s">
        <v>94</v>
      </c>
      <c r="J25" s="2">
        <f t="shared" si="2"/>
        <v>0.60000000000000009</v>
      </c>
      <c r="K25" s="2">
        <f t="shared" si="3"/>
        <v>-1.75</v>
      </c>
      <c r="L25" s="1">
        <f>0+3+0+0+0</f>
        <v>3</v>
      </c>
      <c r="M25" s="1">
        <f>0+1+-3+-2+-3</f>
        <v>-7</v>
      </c>
      <c r="N25" s="1">
        <f>0+1+1+1+1</f>
        <v>4</v>
      </c>
      <c r="W25" s="1">
        <v>25</v>
      </c>
      <c r="X25" s="13" t="s">
        <v>65</v>
      </c>
      <c r="Y25" t="s">
        <v>68</v>
      </c>
      <c r="AG25" s="18" t="s">
        <v>224</v>
      </c>
      <c r="AK25" s="1" t="s">
        <v>153</v>
      </c>
    </row>
    <row r="26" spans="1:37">
      <c r="A26" t="s">
        <v>18</v>
      </c>
      <c r="B26" t="s">
        <v>136</v>
      </c>
      <c r="I26" s="14" t="s">
        <v>162</v>
      </c>
      <c r="J26" s="2">
        <f t="shared" si="2"/>
        <v>0.54</v>
      </c>
      <c r="K26" s="2">
        <f t="shared" si="3"/>
        <v>-0.6</v>
      </c>
      <c r="L26" s="1">
        <f>0+0+1+1+0+1</f>
        <v>3</v>
      </c>
      <c r="M26" s="1">
        <f>0+-1+0+0+-2+0</f>
        <v>-3</v>
      </c>
      <c r="N26" s="1">
        <f>0+1+1+1+1+1</f>
        <v>5</v>
      </c>
      <c r="W26" s="1">
        <v>26</v>
      </c>
      <c r="X26" s="13" t="s">
        <v>66</v>
      </c>
      <c r="Y26" t="s">
        <v>69</v>
      </c>
      <c r="AG26" s="18" t="s">
        <v>225</v>
      </c>
      <c r="AK26" s="1" t="s">
        <v>153</v>
      </c>
    </row>
    <row r="27" spans="1:37">
      <c r="A27" t="s">
        <v>14</v>
      </c>
      <c r="I27" s="14" t="s">
        <v>93</v>
      </c>
      <c r="J27" s="2">
        <f t="shared" si="2"/>
        <v>0.54</v>
      </c>
      <c r="K27" s="2">
        <f t="shared" si="3"/>
        <v>-1.6</v>
      </c>
      <c r="L27" s="1">
        <f>0+0+0+3+0+0</f>
        <v>3</v>
      </c>
      <c r="M27" s="1">
        <f>0+-2+-1+1+-4+-2</f>
        <v>-8</v>
      </c>
      <c r="N27" s="1">
        <f>0+1+1+1+1+1</f>
        <v>5</v>
      </c>
      <c r="W27" s="1">
        <v>27</v>
      </c>
      <c r="X27" s="13" t="s">
        <v>67</v>
      </c>
      <c r="Y27" t="s">
        <v>70</v>
      </c>
      <c r="AG27" s="18" t="s">
        <v>191</v>
      </c>
      <c r="AK27" s="1" t="s">
        <v>153</v>
      </c>
    </row>
    <row r="28" spans="1:37">
      <c r="A28" t="s">
        <v>21</v>
      </c>
      <c r="I28" s="14" t="s">
        <v>155</v>
      </c>
      <c r="J28" s="2">
        <f t="shared" si="2"/>
        <v>0.46666666666666662</v>
      </c>
      <c r="K28" s="2">
        <f t="shared" si="3"/>
        <v>-0.33333333333333331</v>
      </c>
      <c r="L28" s="1">
        <f>0+1+1+0</f>
        <v>2</v>
      </c>
      <c r="M28" s="1">
        <f>0+0+0+-1</f>
        <v>-1</v>
      </c>
      <c r="N28" s="1">
        <f>0+1+1+1</f>
        <v>3</v>
      </c>
      <c r="W28" s="1">
        <v>28</v>
      </c>
      <c r="AG28" s="18" t="s">
        <v>225</v>
      </c>
      <c r="AK28" s="1" t="s">
        <v>153</v>
      </c>
    </row>
    <row r="29" spans="1:37">
      <c r="A29" t="s">
        <v>147</v>
      </c>
      <c r="I29" s="14" t="s">
        <v>159</v>
      </c>
      <c r="J29" s="2">
        <f t="shared" si="2"/>
        <v>0.33333333333333331</v>
      </c>
      <c r="K29" s="2">
        <f t="shared" si="3"/>
        <v>-1.6666666666666667</v>
      </c>
      <c r="L29" s="1">
        <f>0+1+0+0+1+0+0</f>
        <v>2</v>
      </c>
      <c r="M29" s="1">
        <f>0+0+-3+-5+0+-1+-1</f>
        <v>-10</v>
      </c>
      <c r="N29" s="1">
        <f>0+1+1+1+1+1+1</f>
        <v>6</v>
      </c>
      <c r="W29" s="1">
        <v>29</v>
      </c>
      <c r="AG29" s="18" t="s">
        <v>193</v>
      </c>
      <c r="AK29" s="1" t="s">
        <v>153</v>
      </c>
    </row>
    <row r="30" spans="1:37">
      <c r="A30" t="s">
        <v>148</v>
      </c>
      <c r="I30" s="14" t="s">
        <v>137</v>
      </c>
      <c r="J30" s="2">
        <f t="shared" si="2"/>
        <v>0.23333333333333331</v>
      </c>
      <c r="K30" s="2">
        <f t="shared" si="3"/>
        <v>-1.6666666666666667</v>
      </c>
      <c r="L30" s="1">
        <f>0+1+0+0</f>
        <v>1</v>
      </c>
      <c r="M30" s="1">
        <f>0+0+-4+-1</f>
        <v>-5</v>
      </c>
      <c r="N30" s="1">
        <f>0+1+1+1</f>
        <v>3</v>
      </c>
      <c r="W30" s="1">
        <v>30</v>
      </c>
      <c r="AG30" s="18" t="s">
        <v>191</v>
      </c>
      <c r="AK30" s="1" t="s">
        <v>153</v>
      </c>
    </row>
    <row r="31" spans="1:37">
      <c r="A31" t="s">
        <v>149</v>
      </c>
      <c r="I31" s="14" t="s">
        <v>125</v>
      </c>
      <c r="J31" s="2">
        <f t="shared" si="2"/>
        <v>0.18000000000000002</v>
      </c>
      <c r="K31" s="2">
        <f t="shared" si="3"/>
        <v>-1.6</v>
      </c>
      <c r="L31" s="1">
        <f>0+0+0+0+0+1</f>
        <v>1</v>
      </c>
      <c r="M31" s="1">
        <f>0+-1+-3+-3+-1+0</f>
        <v>-8</v>
      </c>
      <c r="N31" s="1">
        <f>0+1+1+1+1+1</f>
        <v>5</v>
      </c>
      <c r="W31" s="1">
        <v>31</v>
      </c>
      <c r="AG31" s="18" t="s">
        <v>212</v>
      </c>
      <c r="AK31" s="1" t="s">
        <v>153</v>
      </c>
    </row>
    <row r="32" spans="1:37">
      <c r="I32" s="14" t="s">
        <v>171</v>
      </c>
      <c r="J32" s="2">
        <f t="shared" si="2"/>
        <v>0</v>
      </c>
      <c r="K32" s="2">
        <f t="shared" si="3"/>
        <v>-1</v>
      </c>
      <c r="L32" s="1">
        <f>0+0+0+0</f>
        <v>0</v>
      </c>
      <c r="M32" s="1">
        <f>0+-1+-1+-1</f>
        <v>-3</v>
      </c>
      <c r="N32" s="1">
        <f>0+1+1+1</f>
        <v>3</v>
      </c>
      <c r="W32" s="1">
        <v>32</v>
      </c>
      <c r="AG32" s="18" t="s">
        <v>213</v>
      </c>
      <c r="AK32" s="1" t="s">
        <v>153</v>
      </c>
    </row>
    <row r="33" spans="9:36">
      <c r="I33" s="14" t="s">
        <v>158</v>
      </c>
      <c r="J33" s="2">
        <f t="shared" si="2"/>
        <v>0</v>
      </c>
      <c r="K33" s="2">
        <f t="shared" si="3"/>
        <v>-1.3333333333333333</v>
      </c>
      <c r="L33" s="1">
        <f>0+0+0+0</f>
        <v>0</v>
      </c>
      <c r="M33" s="1">
        <f>0+-1+-1+-2</f>
        <v>-4</v>
      </c>
      <c r="N33" s="1">
        <f>0+1+1+1</f>
        <v>3</v>
      </c>
      <c r="W33" s="1">
        <v>33</v>
      </c>
      <c r="AG33" s="18" t="s">
        <v>193</v>
      </c>
      <c r="AJ33" s="1" t="s">
        <v>150</v>
      </c>
    </row>
    <row r="34" spans="9:36">
      <c r="I34" s="14" t="s">
        <v>91</v>
      </c>
      <c r="J34" s="2">
        <f t="shared" si="2"/>
        <v>1.0499999999999998</v>
      </c>
      <c r="K34" s="2">
        <f t="shared" si="3"/>
        <v>0</v>
      </c>
      <c r="L34" s="1">
        <f>0+0+3</f>
        <v>3</v>
      </c>
      <c r="M34" s="1">
        <f>0+-1+1</f>
        <v>0</v>
      </c>
      <c r="N34" s="1">
        <f>0+1+1</f>
        <v>2</v>
      </c>
      <c r="W34" s="1">
        <v>34</v>
      </c>
      <c r="AG34" s="18" t="s">
        <v>201</v>
      </c>
    </row>
    <row r="35" spans="9:36">
      <c r="I35" s="14" t="s">
        <v>160</v>
      </c>
      <c r="J35" s="2">
        <f t="shared" si="2"/>
        <v>0.7</v>
      </c>
      <c r="K35" s="2">
        <f t="shared" si="3"/>
        <v>0</v>
      </c>
      <c r="L35" s="1">
        <f>0+1</f>
        <v>1</v>
      </c>
      <c r="M35" s="1">
        <f>0+0</f>
        <v>0</v>
      </c>
      <c r="N35" s="1">
        <f>0+1</f>
        <v>1</v>
      </c>
      <c r="W35" s="1">
        <v>35</v>
      </c>
      <c r="AG35" s="18" t="s">
        <v>225</v>
      </c>
    </row>
    <row r="36" spans="9:36">
      <c r="I36" s="14" t="s">
        <v>214</v>
      </c>
      <c r="J36" s="2">
        <f t="shared" si="2"/>
        <v>0</v>
      </c>
      <c r="K36" s="2">
        <f t="shared" si="3"/>
        <v>-3</v>
      </c>
      <c r="L36" s="1">
        <f>0+0</f>
        <v>0</v>
      </c>
      <c r="M36" s="1">
        <f>0+-3</f>
        <v>-3</v>
      </c>
      <c r="N36" s="1">
        <f>0+1</f>
        <v>1</v>
      </c>
      <c r="W36" s="1">
        <v>36</v>
      </c>
      <c r="AG36" s="18" t="s">
        <v>226</v>
      </c>
    </row>
    <row r="37" spans="9:36">
      <c r="I37"/>
      <c r="W37" s="1">
        <v>37</v>
      </c>
    </row>
    <row r="38" spans="9:36">
      <c r="I38"/>
      <c r="W38" s="1">
        <v>38</v>
      </c>
    </row>
    <row r="39" spans="9:36">
      <c r="I39"/>
      <c r="W39" s="1">
        <v>39</v>
      </c>
    </row>
    <row r="40" spans="9:36">
      <c r="I40"/>
      <c r="W40" s="1">
        <v>40</v>
      </c>
    </row>
    <row r="41" spans="9:36">
      <c r="I41"/>
      <c r="W41" s="1">
        <v>41</v>
      </c>
    </row>
    <row r="42" spans="9:36">
      <c r="I42"/>
      <c r="W42" s="1">
        <v>42</v>
      </c>
    </row>
    <row r="43" spans="9:36">
      <c r="I43"/>
      <c r="W43" s="1">
        <v>43</v>
      </c>
    </row>
    <row r="44" spans="9:36">
      <c r="I44"/>
      <c r="W44" s="1">
        <v>44</v>
      </c>
    </row>
    <row r="45" spans="9:36">
      <c r="I45"/>
      <c r="W45" s="1">
        <v>45</v>
      </c>
    </row>
    <row r="46" spans="9:36">
      <c r="I46"/>
      <c r="W46" s="1">
        <v>46</v>
      </c>
    </row>
    <row r="47" spans="9:36">
      <c r="I47"/>
      <c r="W47" s="1">
        <v>47</v>
      </c>
    </row>
    <row r="48" spans="9:36">
      <c r="I48"/>
      <c r="W48" s="1">
        <v>48</v>
      </c>
    </row>
    <row r="49" spans="9:23">
      <c r="I49"/>
      <c r="W49" s="1">
        <v>49</v>
      </c>
    </row>
    <row r="50" spans="9:23">
      <c r="I50"/>
      <c r="W50" s="1">
        <v>50</v>
      </c>
    </row>
    <row r="51" spans="9:23">
      <c r="I51"/>
      <c r="W51" s="1">
        <v>51</v>
      </c>
    </row>
    <row r="52" spans="9:23">
      <c r="I52"/>
      <c r="W52" s="1">
        <v>52</v>
      </c>
    </row>
    <row r="53" spans="9:23">
      <c r="I53"/>
      <c r="W53" s="1">
        <v>53</v>
      </c>
    </row>
    <row r="54" spans="9:23">
      <c r="I54"/>
      <c r="W54" s="1">
        <v>54</v>
      </c>
    </row>
    <row r="55" spans="9:23">
      <c r="I55"/>
      <c r="W55" s="1">
        <v>55</v>
      </c>
    </row>
    <row r="56" spans="9:23">
      <c r="I56"/>
      <c r="W56" s="1">
        <v>56</v>
      </c>
    </row>
    <row r="57" spans="9:23">
      <c r="I57"/>
      <c r="W57" s="1">
        <v>57</v>
      </c>
    </row>
    <row r="58" spans="9:23">
      <c r="I58"/>
      <c r="W58" s="1">
        <v>58</v>
      </c>
    </row>
    <row r="59" spans="9:23">
      <c r="I59"/>
      <c r="W59" s="1">
        <v>59</v>
      </c>
    </row>
    <row r="60" spans="9:23">
      <c r="I60"/>
      <c r="W60" s="1">
        <v>60</v>
      </c>
    </row>
    <row r="61" spans="9:23">
      <c r="I61"/>
      <c r="W61" s="1">
        <v>61</v>
      </c>
    </row>
    <row r="62" spans="9:23">
      <c r="I62"/>
      <c r="W62" s="1">
        <v>62</v>
      </c>
    </row>
    <row r="63" spans="9:23">
      <c r="I63"/>
      <c r="W63" s="1">
        <v>63</v>
      </c>
    </row>
    <row r="64" spans="9:23">
      <c r="I64"/>
      <c r="W64" s="1">
        <v>64</v>
      </c>
    </row>
    <row r="65" spans="9:23">
      <c r="I65"/>
      <c r="W65" s="1">
        <v>65</v>
      </c>
    </row>
    <row r="66" spans="9:23">
      <c r="I66"/>
      <c r="W66" s="1">
        <v>66</v>
      </c>
    </row>
    <row r="67" spans="9:23">
      <c r="I67"/>
      <c r="W67" s="1">
        <v>67</v>
      </c>
    </row>
    <row r="68" spans="9:23">
      <c r="I68"/>
      <c r="W68" s="1">
        <v>68</v>
      </c>
    </row>
    <row r="69" spans="9:23">
      <c r="I69"/>
      <c r="W69" s="1">
        <v>69</v>
      </c>
    </row>
    <row r="70" spans="9:23">
      <c r="I70"/>
      <c r="W70" s="1">
        <v>70</v>
      </c>
    </row>
    <row r="71" spans="9:23">
      <c r="W71" s="1">
        <v>71</v>
      </c>
    </row>
    <row r="72" spans="9:23">
      <c r="W72" s="1">
        <v>72</v>
      </c>
    </row>
    <row r="73" spans="9:23">
      <c r="W73" s="1">
        <v>73</v>
      </c>
    </row>
    <row r="74" spans="9:23">
      <c r="W74" s="1">
        <v>74</v>
      </c>
    </row>
    <row r="75" spans="9:23">
      <c r="W75" s="1">
        <v>75</v>
      </c>
    </row>
    <row r="76" spans="9:23">
      <c r="W76" s="1">
        <v>76</v>
      </c>
    </row>
    <row r="77" spans="9:23">
      <c r="W77" s="1">
        <v>77</v>
      </c>
    </row>
    <row r="78" spans="9:23">
      <c r="W78" s="1">
        <v>78</v>
      </c>
    </row>
    <row r="79" spans="9:23">
      <c r="W79" s="1">
        <v>79</v>
      </c>
    </row>
    <row r="80" spans="9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sortState ref="I1:N99">
    <sortCondition descending="1" ref="J1:J99"/>
    <sortCondition descending="1" ref="K1:K99"/>
  </sortState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K99"/>
  <sheetViews>
    <sheetView zoomScale="73" zoomScaleNormal="73" workbookViewId="0">
      <selection activeCell="W33" sqref="W33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style="14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4.85546875" style="1" customWidth="1"/>
    <col min="29" max="29" width="2.140625" style="8" customWidth="1"/>
    <col min="30" max="31" width="4.85546875" style="1" customWidth="1"/>
    <col min="32" max="32" width="2.140625" style="8" customWidth="1"/>
    <col min="33" max="33" width="4.85546875" style="18" customWidth="1"/>
    <col min="34" max="34" width="2.140625" style="8" customWidth="1"/>
    <col min="35" max="35" width="9.7109375" customWidth="1"/>
    <col min="36" max="37" width="4.28515625" style="1" customWidth="1"/>
  </cols>
  <sheetData>
    <row r="1" spans="1:37">
      <c r="A1" s="4" t="s">
        <v>178</v>
      </c>
      <c r="B1" s="4" t="s">
        <v>95</v>
      </c>
      <c r="C1" s="5">
        <v>0</v>
      </c>
      <c r="D1" s="5">
        <v>2</v>
      </c>
      <c r="E1" s="1">
        <f t="shared" ref="E1:E8" si="0">C1-D1</f>
        <v>-2</v>
      </c>
      <c r="F1" s="1">
        <f t="shared" ref="F1:F8" si="1">D1-C1</f>
        <v>2</v>
      </c>
      <c r="G1" s="10">
        <v>0.5625</v>
      </c>
      <c r="H1" s="17"/>
      <c r="I1" s="14" t="s">
        <v>163</v>
      </c>
      <c r="J1" s="2">
        <f t="shared" ref="J1:J38" si="2">(L1/N1)*IF(N1&gt;5,1,IF(N1=5,0.9,IF(N1=4,0.8,0.7)))</f>
        <v>2.3400000000000003</v>
      </c>
      <c r="K1" s="2">
        <f t="shared" ref="K1:K38" si="3">M1/N1</f>
        <v>1.6</v>
      </c>
      <c r="L1" s="1">
        <f>0+3+1+3+3+3</f>
        <v>13</v>
      </c>
      <c r="M1" s="1">
        <f>0+1+0+5+1+1</f>
        <v>8</v>
      </c>
      <c r="N1" s="1">
        <f>0+1+1+1+1+1</f>
        <v>5</v>
      </c>
      <c r="V1" s="1"/>
      <c r="W1" s="1">
        <v>1</v>
      </c>
      <c r="X1" s="12" t="s">
        <v>204</v>
      </c>
      <c r="Y1" s="4" t="s">
        <v>41</v>
      </c>
      <c r="AA1" s="18" t="s">
        <v>232</v>
      </c>
      <c r="AB1" s="18" t="s">
        <v>225</v>
      </c>
      <c r="AD1" s="1">
        <v>7</v>
      </c>
      <c r="AE1" s="1">
        <v>8</v>
      </c>
      <c r="AG1" s="18" t="s">
        <v>113</v>
      </c>
      <c r="AI1" s="12"/>
      <c r="AJ1" s="1" t="s">
        <v>150</v>
      </c>
    </row>
    <row r="2" spans="1:37">
      <c r="A2" s="4" t="s">
        <v>90</v>
      </c>
      <c r="B2" s="4" t="s">
        <v>238</v>
      </c>
      <c r="C2" s="5">
        <v>2</v>
      </c>
      <c r="D2" s="5">
        <v>1</v>
      </c>
      <c r="E2" s="1">
        <f t="shared" si="0"/>
        <v>1</v>
      </c>
      <c r="F2" s="1">
        <f t="shared" si="1"/>
        <v>-1</v>
      </c>
      <c r="G2" s="10">
        <v>0.64583333333333337</v>
      </c>
      <c r="H2" s="17"/>
      <c r="I2" s="14" t="s">
        <v>167</v>
      </c>
      <c r="J2" s="2">
        <f t="shared" si="2"/>
        <v>2.3333333333333335</v>
      </c>
      <c r="K2" s="2">
        <f t="shared" si="3"/>
        <v>0.83333333333333337</v>
      </c>
      <c r="L2" s="1">
        <f>0+1+3+3+3+1+3</f>
        <v>14</v>
      </c>
      <c r="M2" s="1">
        <f>0+0+1+1+1+0+2</f>
        <v>5</v>
      </c>
      <c r="N2" s="1">
        <f>0+1+1+1+1+1+1</f>
        <v>6</v>
      </c>
      <c r="W2" s="1">
        <v>2</v>
      </c>
      <c r="X2" s="12" t="s">
        <v>204</v>
      </c>
      <c r="Y2" s="4" t="s">
        <v>73</v>
      </c>
      <c r="AA2" s="18" t="s">
        <v>198</v>
      </c>
      <c r="AB2" s="18" t="s">
        <v>225</v>
      </c>
      <c r="AD2" s="1">
        <v>4</v>
      </c>
      <c r="AG2" s="18" t="s">
        <v>212</v>
      </c>
      <c r="AI2" s="12"/>
      <c r="AJ2" s="1" t="s">
        <v>150</v>
      </c>
    </row>
    <row r="3" spans="1:37">
      <c r="A3" s="4" t="s">
        <v>125</v>
      </c>
      <c r="B3" s="4" t="s">
        <v>93</v>
      </c>
      <c r="C3" s="5">
        <v>2</v>
      </c>
      <c r="D3" s="5">
        <v>1</v>
      </c>
      <c r="E3" s="1">
        <f t="shared" si="0"/>
        <v>1</v>
      </c>
      <c r="F3" s="1">
        <f t="shared" si="1"/>
        <v>-1</v>
      </c>
      <c r="G3" s="10">
        <v>0.77083333333333337</v>
      </c>
      <c r="H3" s="17"/>
      <c r="I3" s="14" t="s">
        <v>90</v>
      </c>
      <c r="J3" s="2">
        <f t="shared" si="2"/>
        <v>2.2857142857142856</v>
      </c>
      <c r="K3" s="2">
        <f t="shared" si="3"/>
        <v>1.2857142857142858</v>
      </c>
      <c r="L3" s="1">
        <f>0+1+3+3+3+3+0+3</f>
        <v>16</v>
      </c>
      <c r="M3" s="1">
        <f>0+0+2+3+3+5+-5+1</f>
        <v>9</v>
      </c>
      <c r="N3" s="1">
        <f>0+1+1+1+1+1+1+1</f>
        <v>7</v>
      </c>
      <c r="W3" s="1">
        <v>3</v>
      </c>
      <c r="X3" s="12" t="s">
        <v>204</v>
      </c>
      <c r="Y3" s="4" t="s">
        <v>73</v>
      </c>
      <c r="AA3" s="18" t="s">
        <v>234</v>
      </c>
      <c r="AB3" s="18" t="s">
        <v>191</v>
      </c>
      <c r="AD3" s="1">
        <v>31</v>
      </c>
      <c r="AE3" s="1">
        <v>27</v>
      </c>
      <c r="AG3" s="18" t="s">
        <v>193</v>
      </c>
      <c r="AI3" s="12"/>
      <c r="AJ3" s="1" t="s">
        <v>150</v>
      </c>
    </row>
    <row r="4" spans="1:37">
      <c r="A4" s="4"/>
      <c r="B4" s="4"/>
      <c r="C4" s="5"/>
      <c r="D4" s="5"/>
      <c r="E4" s="1">
        <f t="shared" si="0"/>
        <v>0</v>
      </c>
      <c r="F4" s="1">
        <f t="shared" si="1"/>
        <v>0</v>
      </c>
      <c r="G4" s="10"/>
      <c r="H4" s="17"/>
      <c r="I4" s="14" t="s">
        <v>123</v>
      </c>
      <c r="J4" s="2">
        <f t="shared" si="2"/>
        <v>2.125</v>
      </c>
      <c r="K4" s="2">
        <f t="shared" si="3"/>
        <v>1.5</v>
      </c>
      <c r="L4" s="1">
        <f>0+1+3+3+1+3+3+3+0</f>
        <v>17</v>
      </c>
      <c r="M4" s="1">
        <f>0+0+1+4+0+1+5+2+-1</f>
        <v>12</v>
      </c>
      <c r="N4" s="1">
        <f>0+1+1+1+1+1+1+1+1</f>
        <v>8</v>
      </c>
      <c r="V4" s="1"/>
      <c r="W4" s="1">
        <v>4</v>
      </c>
      <c r="X4" s="12"/>
      <c r="Y4" s="4"/>
      <c r="AA4" s="18"/>
      <c r="AB4" s="18"/>
      <c r="AG4" s="18" t="s">
        <v>213</v>
      </c>
      <c r="AI4" s="12" t="s">
        <v>237</v>
      </c>
      <c r="AK4" s="1" t="s">
        <v>153</v>
      </c>
    </row>
    <row r="5" spans="1:37">
      <c r="A5" s="4" t="s">
        <v>239</v>
      </c>
      <c r="B5" s="4" t="s">
        <v>123</v>
      </c>
      <c r="C5" s="5">
        <v>3</v>
      </c>
      <c r="D5" s="5">
        <v>2</v>
      </c>
      <c r="E5" s="1">
        <f t="shared" si="0"/>
        <v>1</v>
      </c>
      <c r="F5" s="1">
        <f t="shared" si="1"/>
        <v>-1</v>
      </c>
      <c r="G5" s="10">
        <v>0.72916666666666663</v>
      </c>
      <c r="H5" s="17"/>
      <c r="I5" s="14" t="s">
        <v>164</v>
      </c>
      <c r="J5" s="2">
        <f t="shared" si="2"/>
        <v>2.0999999999999996</v>
      </c>
      <c r="K5" s="2">
        <f t="shared" si="3"/>
        <v>3.3333333333333335</v>
      </c>
      <c r="L5" s="1">
        <f>0+3+3+3</f>
        <v>9</v>
      </c>
      <c r="M5" s="1">
        <f>0+4+4+2</f>
        <v>10</v>
      </c>
      <c r="N5" s="1">
        <f>0+1+1+1</f>
        <v>3</v>
      </c>
      <c r="W5" s="1">
        <v>5</v>
      </c>
      <c r="X5" s="12" t="s">
        <v>204</v>
      </c>
      <c r="Y5" s="4" t="s">
        <v>41</v>
      </c>
      <c r="AA5" s="18" t="s">
        <v>240</v>
      </c>
      <c r="AB5" s="18" t="s">
        <v>191</v>
      </c>
      <c r="AE5" s="1">
        <v>1</v>
      </c>
      <c r="AG5" s="18" t="s">
        <v>193</v>
      </c>
      <c r="AI5" s="12"/>
    </row>
    <row r="6" spans="1:37">
      <c r="A6" s="4" t="s">
        <v>139</v>
      </c>
      <c r="B6" s="4" t="s">
        <v>162</v>
      </c>
      <c r="C6" s="5">
        <v>1</v>
      </c>
      <c r="D6" s="5">
        <v>1</v>
      </c>
      <c r="E6" s="1">
        <f t="shared" si="0"/>
        <v>0</v>
      </c>
      <c r="F6" s="1">
        <f t="shared" si="1"/>
        <v>0</v>
      </c>
      <c r="G6" s="10">
        <v>0.86458333333333337</v>
      </c>
      <c r="H6" s="17"/>
      <c r="I6" s="14" t="s">
        <v>89</v>
      </c>
      <c r="J6" s="2">
        <f t="shared" si="2"/>
        <v>2</v>
      </c>
      <c r="K6" s="2">
        <f t="shared" si="3"/>
        <v>2</v>
      </c>
      <c r="L6" s="1">
        <f>0+1+3+3+3</f>
        <v>10</v>
      </c>
      <c r="M6" s="1">
        <f>0+0+1+2+5</f>
        <v>8</v>
      </c>
      <c r="N6" s="1">
        <f>0+1+1+1+1</f>
        <v>4</v>
      </c>
      <c r="W6" s="1">
        <v>6</v>
      </c>
      <c r="X6" s="12" t="s">
        <v>215</v>
      </c>
      <c r="Y6" s="4" t="s">
        <v>144</v>
      </c>
      <c r="AA6" s="1" t="s">
        <v>199</v>
      </c>
      <c r="AB6" s="1" t="s">
        <v>225</v>
      </c>
      <c r="AD6" s="1">
        <v>14</v>
      </c>
      <c r="AE6" s="1">
        <v>26</v>
      </c>
      <c r="AG6" s="18" t="s">
        <v>224</v>
      </c>
      <c r="AI6" s="12"/>
    </row>
    <row r="7" spans="1:37">
      <c r="A7" s="4"/>
      <c r="B7" s="4"/>
      <c r="C7" s="5"/>
      <c r="D7" s="5"/>
      <c r="E7" s="1">
        <f t="shared" si="0"/>
        <v>0</v>
      </c>
      <c r="F7" s="1">
        <f t="shared" si="1"/>
        <v>0</v>
      </c>
      <c r="G7" s="10"/>
      <c r="H7" s="17"/>
      <c r="I7" s="14" t="s">
        <v>95</v>
      </c>
      <c r="J7" s="2">
        <f t="shared" si="2"/>
        <v>1.8571428571428572</v>
      </c>
      <c r="K7" s="2">
        <f t="shared" si="3"/>
        <v>1.1428571428571428</v>
      </c>
      <c r="L7" s="1">
        <f>0+0+3+3+3+0+1+3</f>
        <v>13</v>
      </c>
      <c r="M7" s="1">
        <f>0+-1+5+3+1+-2+0+2</f>
        <v>8</v>
      </c>
      <c r="N7" s="1">
        <f>0+1+1+1+1+1+1+1</f>
        <v>7</v>
      </c>
      <c r="W7" s="1">
        <v>7</v>
      </c>
      <c r="X7" s="12"/>
      <c r="Y7" s="4"/>
      <c r="AA7" s="18"/>
      <c r="AB7" s="18"/>
      <c r="AD7" s="18"/>
      <c r="AG7" s="18" t="s">
        <v>191</v>
      </c>
      <c r="AI7" s="12"/>
      <c r="AJ7" s="1" t="s">
        <v>150</v>
      </c>
    </row>
    <row r="8" spans="1:37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10"/>
      <c r="H8" s="17"/>
      <c r="I8" s="14" t="s">
        <v>178</v>
      </c>
      <c r="J8" s="2">
        <f t="shared" si="2"/>
        <v>1.6666666666666667</v>
      </c>
      <c r="K8" s="2">
        <f t="shared" si="3"/>
        <v>-0.33333333333333331</v>
      </c>
      <c r="L8" s="1">
        <f>0+3+3+0+3+1+0</f>
        <v>10</v>
      </c>
      <c r="M8" s="1">
        <f>0+1+1+-5+3+0+-2</f>
        <v>-2</v>
      </c>
      <c r="N8" s="1">
        <f>0+1+1+1+1+1+1</f>
        <v>6</v>
      </c>
      <c r="W8" s="1">
        <v>8</v>
      </c>
      <c r="X8" s="12"/>
      <c r="Y8" s="4"/>
      <c r="AA8" s="18"/>
      <c r="AB8" s="18"/>
      <c r="AD8" s="18"/>
      <c r="AE8" s="18"/>
      <c r="AG8" s="18" t="s">
        <v>222</v>
      </c>
      <c r="AI8" s="12"/>
      <c r="AK8" s="1" t="s">
        <v>153</v>
      </c>
    </row>
    <row r="9" spans="1:37">
      <c r="A9" t="s">
        <v>6</v>
      </c>
      <c r="C9"/>
      <c r="D9"/>
      <c r="E9"/>
      <c r="F9"/>
      <c r="G9" s="15"/>
      <c r="H9" s="7"/>
      <c r="I9" s="14" t="s">
        <v>156</v>
      </c>
      <c r="J9" s="2">
        <f t="shared" si="2"/>
        <v>1.6333333333333333</v>
      </c>
      <c r="K9" s="2">
        <f t="shared" si="3"/>
        <v>1</v>
      </c>
      <c r="L9" s="1">
        <f>0+1+3+3</f>
        <v>7</v>
      </c>
      <c r="M9" s="1">
        <f>0+0+1+2</f>
        <v>3</v>
      </c>
      <c r="N9" s="1">
        <f>0+1+1+1</f>
        <v>3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/>
      <c r="AE9" s="3"/>
      <c r="AG9" s="18" t="s">
        <v>193</v>
      </c>
      <c r="AI9" s="16" t="s">
        <v>236</v>
      </c>
    </row>
    <row r="10" spans="1:37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I10" s="14" t="s">
        <v>85</v>
      </c>
      <c r="J10" s="2">
        <f t="shared" si="2"/>
        <v>1.5714285714285714</v>
      </c>
      <c r="K10" s="2">
        <f t="shared" si="3"/>
        <v>0.5714285714285714</v>
      </c>
      <c r="L10" s="1">
        <f>0+1+3+1+3+3+0+0</f>
        <v>11</v>
      </c>
      <c r="M10" s="1">
        <f>0+0+2+0+1+3+-1+-1</f>
        <v>4</v>
      </c>
      <c r="N10" s="1">
        <f>0+1+1+1+1+1+1+1</f>
        <v>7</v>
      </c>
      <c r="W10" s="1">
        <v>10</v>
      </c>
      <c r="X10" s="13" t="s">
        <v>54</v>
      </c>
      <c r="Y10" t="s">
        <v>38</v>
      </c>
      <c r="AG10" s="18" t="s">
        <v>193</v>
      </c>
    </row>
    <row r="11" spans="1:37">
      <c r="A11" t="s">
        <v>7</v>
      </c>
      <c r="C11"/>
      <c r="D11"/>
      <c r="E11"/>
      <c r="F11"/>
      <c r="I11" s="14" t="s">
        <v>126</v>
      </c>
      <c r="J11" s="2">
        <f t="shared" si="2"/>
        <v>1.5714285714285714</v>
      </c>
      <c r="K11" s="2">
        <f t="shared" si="3"/>
        <v>0.42857142857142855</v>
      </c>
      <c r="L11" s="1">
        <f>0+1+1+3+3+0+3+0</f>
        <v>11</v>
      </c>
      <c r="M11" s="1">
        <f>0+0+0+1+2+-1+3+-2</f>
        <v>3</v>
      </c>
      <c r="N11" s="1">
        <f>0+1+1+1+1+1+1+1</f>
        <v>7</v>
      </c>
      <c r="W11" s="1">
        <v>11</v>
      </c>
      <c r="X11" s="13" t="s">
        <v>55</v>
      </c>
      <c r="Y11" t="s">
        <v>39</v>
      </c>
      <c r="AG11" s="18" t="s">
        <v>213</v>
      </c>
    </row>
    <row r="12" spans="1:37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I12" s="14" t="s">
        <v>140</v>
      </c>
      <c r="J12" s="2">
        <f t="shared" si="2"/>
        <v>1.5</v>
      </c>
      <c r="K12" s="2">
        <f t="shared" si="3"/>
        <v>0.16666666666666666</v>
      </c>
      <c r="L12" s="1">
        <f>0+0+3+3+1+1+1</f>
        <v>9</v>
      </c>
      <c r="M12" s="1">
        <f>0+-2+1+2+0+0+0</f>
        <v>1</v>
      </c>
      <c r="N12" s="1">
        <f>0+1+1+1+1+1+1</f>
        <v>6</v>
      </c>
      <c r="W12" s="1">
        <v>12</v>
      </c>
      <c r="X12" s="13" t="s">
        <v>25</v>
      </c>
      <c r="Y12" t="s">
        <v>40</v>
      </c>
      <c r="AG12" s="18" t="s">
        <v>226</v>
      </c>
    </row>
    <row r="13" spans="1:37">
      <c r="A13" t="s">
        <v>15</v>
      </c>
      <c r="C13"/>
      <c r="D13"/>
      <c r="E13"/>
      <c r="F13"/>
      <c r="I13" s="14" t="s">
        <v>84</v>
      </c>
      <c r="J13" s="2">
        <f t="shared" si="2"/>
        <v>1.4400000000000002</v>
      </c>
      <c r="K13" s="2">
        <f t="shared" si="3"/>
        <v>0.4</v>
      </c>
      <c r="L13" s="1">
        <f>0+0+3+3+1+1</f>
        <v>8</v>
      </c>
      <c r="M13" s="1">
        <f>0-1+2+1+0+0</f>
        <v>2</v>
      </c>
      <c r="N13" s="1">
        <f>0+1+1+1+1+1</f>
        <v>5</v>
      </c>
      <c r="W13" s="1">
        <v>13</v>
      </c>
      <c r="X13" s="13" t="s">
        <v>29</v>
      </c>
      <c r="Y13" t="s">
        <v>45</v>
      </c>
      <c r="AG13" s="18" t="s">
        <v>193</v>
      </c>
    </row>
    <row r="14" spans="1:37">
      <c r="A14" s="3" t="s">
        <v>30</v>
      </c>
      <c r="C14"/>
      <c r="D14"/>
      <c r="E14"/>
      <c r="F14"/>
      <c r="I14" s="14" t="s">
        <v>139</v>
      </c>
      <c r="J14" s="2">
        <f t="shared" si="2"/>
        <v>1.3333333333333333</v>
      </c>
      <c r="K14" s="2">
        <f t="shared" si="3"/>
        <v>0.1111111111111111</v>
      </c>
      <c r="L14" s="1">
        <f>0+3+0+1+0+3+0+3+1+1</f>
        <v>12</v>
      </c>
      <c r="M14" s="1">
        <f>0+2+-1+0+-1+1+-1+1+0+0</f>
        <v>1</v>
      </c>
      <c r="N14" s="1">
        <f>0+1+1+1+1+1+1+1+1+1</f>
        <v>9</v>
      </c>
      <c r="W14" s="1">
        <v>14</v>
      </c>
      <c r="X14" s="13" t="s">
        <v>56</v>
      </c>
      <c r="Y14" t="s">
        <v>42</v>
      </c>
      <c r="AG14" s="18" t="s">
        <v>191</v>
      </c>
    </row>
    <row r="15" spans="1:37">
      <c r="A15" t="s">
        <v>133</v>
      </c>
      <c r="C15"/>
      <c r="D15"/>
      <c r="E15"/>
      <c r="F15"/>
      <c r="I15" s="14" t="s">
        <v>96</v>
      </c>
      <c r="J15" s="2">
        <f t="shared" si="2"/>
        <v>1.1666666666666667</v>
      </c>
      <c r="K15" s="2">
        <f t="shared" si="3"/>
        <v>0.33333333333333331</v>
      </c>
      <c r="L15" s="1">
        <f>0+1+1+3</f>
        <v>5</v>
      </c>
      <c r="M15" s="1">
        <f>0+0+0+1</f>
        <v>1</v>
      </c>
      <c r="N15" s="1">
        <f>0+1+1+1</f>
        <v>3</v>
      </c>
      <c r="W15" s="1">
        <v>15</v>
      </c>
      <c r="X15" s="13" t="s">
        <v>57</v>
      </c>
      <c r="Y15" t="s">
        <v>43</v>
      </c>
      <c r="AG15" s="18" t="s">
        <v>241</v>
      </c>
    </row>
    <row r="16" spans="1:37">
      <c r="A16" t="s">
        <v>23</v>
      </c>
      <c r="C16"/>
      <c r="D16"/>
      <c r="E16"/>
      <c r="F16"/>
      <c r="I16" s="14" t="s">
        <v>157</v>
      </c>
      <c r="J16" s="2">
        <f t="shared" si="2"/>
        <v>1.1666666666666667</v>
      </c>
      <c r="K16" s="2">
        <f t="shared" si="3"/>
        <v>-0.66666666666666663</v>
      </c>
      <c r="L16" s="1">
        <f>0+0+1+0+3+0+3</f>
        <v>7</v>
      </c>
      <c r="M16" s="1">
        <f>0+-3+0+-2+1+-1+1</f>
        <v>-4</v>
      </c>
      <c r="N16" s="1">
        <f>0+1+1+1+1+1+1</f>
        <v>6</v>
      </c>
      <c r="W16" s="1">
        <v>16</v>
      </c>
      <c r="X16" s="13" t="s">
        <v>58</v>
      </c>
      <c r="Y16" t="s">
        <v>44</v>
      </c>
      <c r="AG16" s="18" t="s">
        <v>224</v>
      </c>
    </row>
    <row r="17" spans="1:37">
      <c r="A17" t="s">
        <v>134</v>
      </c>
      <c r="I17" s="20" t="s">
        <v>132</v>
      </c>
      <c r="J17" s="2">
        <f t="shared" si="2"/>
        <v>1.1428571428571428</v>
      </c>
      <c r="K17" s="2">
        <f t="shared" si="3"/>
        <v>-0.42857142857142855</v>
      </c>
      <c r="L17" s="1">
        <f>0+3+0+3+1+1+0+0</f>
        <v>8</v>
      </c>
      <c r="M17" s="1">
        <f>0+1+-1+3+0+0+-5+-1</f>
        <v>-3</v>
      </c>
      <c r="N17" s="1">
        <f>0+1+1+1+1+1+1+1</f>
        <v>7</v>
      </c>
      <c r="W17" s="1">
        <v>17</v>
      </c>
      <c r="X17" s="13" t="s">
        <v>59</v>
      </c>
      <c r="Y17" t="s">
        <v>46</v>
      </c>
      <c r="AG17" s="18" t="s">
        <v>193</v>
      </c>
    </row>
    <row r="18" spans="1:37">
      <c r="A18" t="s">
        <v>33</v>
      </c>
      <c r="C18"/>
      <c r="D18"/>
      <c r="E18"/>
      <c r="F18"/>
      <c r="I18" s="14" t="s">
        <v>138</v>
      </c>
      <c r="J18" s="2">
        <f t="shared" si="2"/>
        <v>1.08</v>
      </c>
      <c r="K18" s="2">
        <f t="shared" si="3"/>
        <v>-0.6</v>
      </c>
      <c r="L18" s="1">
        <f>0+1+1+0+3+1</f>
        <v>6</v>
      </c>
      <c r="M18" s="1">
        <f>0+0+0+-4+1+0</f>
        <v>-3</v>
      </c>
      <c r="N18" s="1">
        <f>0+1+1+1+1+1</f>
        <v>5</v>
      </c>
      <c r="W18" s="1">
        <v>18</v>
      </c>
      <c r="X18" s="13" t="s">
        <v>60</v>
      </c>
      <c r="Y18" t="s">
        <v>47</v>
      </c>
      <c r="AG18" s="18" t="s">
        <v>193</v>
      </c>
    </row>
    <row r="19" spans="1:37">
      <c r="B19" t="s">
        <v>180</v>
      </c>
      <c r="I19" s="14" t="s">
        <v>83</v>
      </c>
      <c r="J19" s="2">
        <f t="shared" si="2"/>
        <v>0.93333333333333324</v>
      </c>
      <c r="K19" s="2">
        <f t="shared" si="3"/>
        <v>0</v>
      </c>
      <c r="L19" s="1">
        <f>0+3+1+0</f>
        <v>4</v>
      </c>
      <c r="M19" s="1">
        <f>0+1+0+-1</f>
        <v>0</v>
      </c>
      <c r="N19" s="1">
        <f>0+1+1+1</f>
        <v>3</v>
      </c>
      <c r="W19" s="1">
        <v>19</v>
      </c>
      <c r="X19" s="13" t="s">
        <v>26</v>
      </c>
      <c r="Y19" t="s">
        <v>48</v>
      </c>
      <c r="AG19" s="18" t="s">
        <v>228</v>
      </c>
    </row>
    <row r="20" spans="1:37">
      <c r="A20" t="s">
        <v>135</v>
      </c>
      <c r="I20" s="14" t="s">
        <v>124</v>
      </c>
      <c r="J20" s="2">
        <f t="shared" si="2"/>
        <v>0.9</v>
      </c>
      <c r="K20" s="2">
        <f t="shared" si="3"/>
        <v>-0.6</v>
      </c>
      <c r="L20" s="1">
        <f>0+3+1+1+0+0</f>
        <v>5</v>
      </c>
      <c r="M20" s="1">
        <f>0+1+0+0+-2+-2</f>
        <v>-3</v>
      </c>
      <c r="N20" s="1">
        <f>0+1+1+1+1+1</f>
        <v>5</v>
      </c>
      <c r="W20" s="1">
        <v>20</v>
      </c>
      <c r="X20" s="13" t="s">
        <v>61</v>
      </c>
      <c r="Y20" t="s">
        <v>49</v>
      </c>
      <c r="AG20" s="18" t="s">
        <v>213</v>
      </c>
    </row>
    <row r="21" spans="1:37">
      <c r="A21" t="s">
        <v>19</v>
      </c>
      <c r="I21" s="14" t="s">
        <v>86</v>
      </c>
      <c r="J21" s="2">
        <f t="shared" si="2"/>
        <v>0.83333333333333337</v>
      </c>
      <c r="K21" s="2">
        <f t="shared" si="3"/>
        <v>-0.16666666666666666</v>
      </c>
      <c r="L21" s="1">
        <f>0+1+1+1+1+1+0</f>
        <v>5</v>
      </c>
      <c r="M21" s="1">
        <f>0+0+0+0+0+0+-1</f>
        <v>-1</v>
      </c>
      <c r="N21" s="1">
        <f>0+1+1+1+1+1+1</f>
        <v>6</v>
      </c>
      <c r="W21" s="1">
        <v>21</v>
      </c>
      <c r="X21" s="13" t="s">
        <v>62</v>
      </c>
      <c r="Y21" t="s">
        <v>50</v>
      </c>
      <c r="AG21" s="18" t="s">
        <v>228</v>
      </c>
    </row>
    <row r="22" spans="1:37">
      <c r="B22" t="s">
        <v>20</v>
      </c>
      <c r="I22" s="14" t="s">
        <v>197</v>
      </c>
      <c r="J22" s="2">
        <f t="shared" si="2"/>
        <v>0.7</v>
      </c>
      <c r="K22" s="2">
        <f t="shared" si="3"/>
        <v>0</v>
      </c>
      <c r="L22" s="1">
        <f>0+1+1+1</f>
        <v>3</v>
      </c>
      <c r="M22" s="1">
        <f>0+0+0+0</f>
        <v>0</v>
      </c>
      <c r="N22" s="1">
        <f>0+1+1+1</f>
        <v>3</v>
      </c>
      <c r="W22" s="1">
        <v>22</v>
      </c>
      <c r="X22" s="13" t="s">
        <v>63</v>
      </c>
      <c r="Y22" t="s">
        <v>51</v>
      </c>
      <c r="AG22" s="18" t="s">
        <v>213</v>
      </c>
    </row>
    <row r="23" spans="1:37">
      <c r="B23" t="s">
        <v>88</v>
      </c>
      <c r="I23" s="14" t="s">
        <v>114</v>
      </c>
      <c r="J23" s="2">
        <f t="shared" si="2"/>
        <v>0.7</v>
      </c>
      <c r="K23" s="2">
        <f t="shared" si="3"/>
        <v>-1.6666666666666667</v>
      </c>
      <c r="L23" s="1">
        <f>0+0+0+3</f>
        <v>3</v>
      </c>
      <c r="M23" s="1">
        <f>0+-2+-5+2</f>
        <v>-5</v>
      </c>
      <c r="N23" s="1">
        <f>0+1+1+1</f>
        <v>3</v>
      </c>
      <c r="W23" s="1">
        <v>23</v>
      </c>
      <c r="X23" s="13" t="s">
        <v>28</v>
      </c>
      <c r="Y23" t="s">
        <v>52</v>
      </c>
      <c r="AG23" s="18" t="s">
        <v>226</v>
      </c>
    </row>
    <row r="24" spans="1:37">
      <c r="A24" t="s">
        <v>16</v>
      </c>
      <c r="C24"/>
      <c r="D24"/>
      <c r="E24"/>
      <c r="F24"/>
      <c r="I24" s="14" t="s">
        <v>161</v>
      </c>
      <c r="J24" s="2">
        <f t="shared" si="2"/>
        <v>0.66666666666666663</v>
      </c>
      <c r="K24" s="2">
        <f t="shared" si="3"/>
        <v>-0.33333333333333331</v>
      </c>
      <c r="L24" s="1">
        <f>0+1+1+0+0+1+1</f>
        <v>4</v>
      </c>
      <c r="M24" s="1">
        <f>0+0+0+-1+-1+0+0</f>
        <v>-2</v>
      </c>
      <c r="N24" s="1">
        <f>0+1+1+1+1+1+1</f>
        <v>6</v>
      </c>
      <c r="W24" s="1">
        <v>24</v>
      </c>
      <c r="X24" s="13" t="s">
        <v>64</v>
      </c>
      <c r="Y24" t="s">
        <v>53</v>
      </c>
      <c r="AG24" s="18" t="s">
        <v>213</v>
      </c>
    </row>
    <row r="25" spans="1:37">
      <c r="A25" t="s">
        <v>17</v>
      </c>
      <c r="B25" s="2" t="e">
        <f t="shared" ref="B25" si="4">(D25/F25)*IF(F25&gt;5,1,IF(F25=5,0.9,IF(F25=4,0.8,0.7)))</f>
        <v>#DIV/0!</v>
      </c>
      <c r="C25" s="2" t="e">
        <f t="shared" ref="C25" si="5">E25/F25</f>
        <v>#DIV/0!</v>
      </c>
      <c r="D25" s="1">
        <f>0</f>
        <v>0</v>
      </c>
      <c r="E25" s="1">
        <f>0</f>
        <v>0</v>
      </c>
      <c r="F25" s="1">
        <f>0</f>
        <v>0</v>
      </c>
      <c r="I25" s="14" t="s">
        <v>162</v>
      </c>
      <c r="J25" s="2">
        <f t="shared" si="2"/>
        <v>0.66666666666666663</v>
      </c>
      <c r="K25" s="2">
        <f t="shared" si="3"/>
        <v>-0.5</v>
      </c>
      <c r="L25" s="1">
        <f>0+0+1+1+0+1+1</f>
        <v>4</v>
      </c>
      <c r="M25" s="1">
        <f>0+-1+0+0+-2+0+0</f>
        <v>-3</v>
      </c>
      <c r="N25" s="1">
        <f>0+1+1+1+1+1+1</f>
        <v>6</v>
      </c>
      <c r="W25" s="1">
        <v>25</v>
      </c>
      <c r="X25" s="13" t="s">
        <v>65</v>
      </c>
      <c r="Y25" t="s">
        <v>68</v>
      </c>
      <c r="AG25" s="18" t="s">
        <v>225</v>
      </c>
      <c r="AJ25" s="1" t="s">
        <v>150</v>
      </c>
    </row>
    <row r="26" spans="1:37">
      <c r="A26" t="s">
        <v>18</v>
      </c>
      <c r="B26" t="s">
        <v>136</v>
      </c>
      <c r="I26" s="14" t="s">
        <v>125</v>
      </c>
      <c r="J26" s="2">
        <f t="shared" si="2"/>
        <v>0.66666666666666663</v>
      </c>
      <c r="K26" s="2">
        <f t="shared" si="3"/>
        <v>-1.1666666666666667</v>
      </c>
      <c r="L26" s="1">
        <f>0+0+0+0+0+1+3</f>
        <v>4</v>
      </c>
      <c r="M26" s="1">
        <f>0+-1+-3+-3+-1+0+1</f>
        <v>-7</v>
      </c>
      <c r="N26" s="1">
        <f>0+1+1+1+1+1+1</f>
        <v>6</v>
      </c>
      <c r="W26" s="1">
        <v>26</v>
      </c>
      <c r="X26" s="13" t="s">
        <v>66</v>
      </c>
      <c r="Y26" t="s">
        <v>69</v>
      </c>
      <c r="AG26" s="18" t="s">
        <v>226</v>
      </c>
      <c r="AJ26" s="1" t="s">
        <v>150</v>
      </c>
    </row>
    <row r="27" spans="1:37">
      <c r="A27" t="s">
        <v>14</v>
      </c>
      <c r="I27" s="14" t="s">
        <v>94</v>
      </c>
      <c r="J27" s="2">
        <f t="shared" si="2"/>
        <v>0.60000000000000009</v>
      </c>
      <c r="K27" s="2">
        <f t="shared" si="3"/>
        <v>-1.75</v>
      </c>
      <c r="L27" s="1">
        <f>0+3+0+0+0</f>
        <v>3</v>
      </c>
      <c r="M27" s="1">
        <f>0+1+-3+-2+-3</f>
        <v>-7</v>
      </c>
      <c r="N27" s="1">
        <f>0+1+1+1+1</f>
        <v>4</v>
      </c>
      <c r="W27" s="1">
        <v>27</v>
      </c>
      <c r="X27" s="13" t="s">
        <v>67</v>
      </c>
      <c r="Y27" t="s">
        <v>70</v>
      </c>
      <c r="AG27" s="18" t="s">
        <v>224</v>
      </c>
      <c r="AK27" s="1" t="s">
        <v>153</v>
      </c>
    </row>
    <row r="28" spans="1:37">
      <c r="A28" t="s">
        <v>21</v>
      </c>
      <c r="I28" s="14" t="s">
        <v>93</v>
      </c>
      <c r="J28" s="2">
        <f t="shared" si="2"/>
        <v>0.5</v>
      </c>
      <c r="K28" s="2">
        <f t="shared" si="3"/>
        <v>-1.5</v>
      </c>
      <c r="L28" s="1">
        <f>0+0+0+3+0+0+0</f>
        <v>3</v>
      </c>
      <c r="M28" s="1">
        <f>0+-2+-1+1+-4+-2+-1</f>
        <v>-9</v>
      </c>
      <c r="N28" s="1">
        <f>0+1+1+1+1+1+1</f>
        <v>6</v>
      </c>
      <c r="W28" s="1">
        <v>28</v>
      </c>
      <c r="AG28" s="18" t="s">
        <v>191</v>
      </c>
      <c r="AK28" s="1" t="s">
        <v>153</v>
      </c>
    </row>
    <row r="29" spans="1:37">
      <c r="A29" t="s">
        <v>147</v>
      </c>
      <c r="I29" s="14" t="s">
        <v>155</v>
      </c>
      <c r="J29" s="2">
        <f t="shared" si="2"/>
        <v>0.46666666666666662</v>
      </c>
      <c r="K29" s="2">
        <f t="shared" si="3"/>
        <v>-0.33333333333333331</v>
      </c>
      <c r="L29" s="1">
        <f>0+1+1+0</f>
        <v>2</v>
      </c>
      <c r="M29" s="1">
        <f>0+0+0+-1</f>
        <v>-1</v>
      </c>
      <c r="N29" s="1">
        <f>0+1+1+1</f>
        <v>3</v>
      </c>
      <c r="W29" s="1">
        <v>29</v>
      </c>
      <c r="AG29" s="18" t="s">
        <v>225</v>
      </c>
      <c r="AK29" s="1" t="s">
        <v>153</v>
      </c>
    </row>
    <row r="30" spans="1:37">
      <c r="A30" t="s">
        <v>148</v>
      </c>
      <c r="I30" s="14" t="s">
        <v>159</v>
      </c>
      <c r="J30" s="2">
        <f t="shared" si="2"/>
        <v>0.33333333333333331</v>
      </c>
      <c r="K30" s="2">
        <f t="shared" si="3"/>
        <v>-1.6666666666666667</v>
      </c>
      <c r="L30" s="1">
        <f>0+1+0+0+1+0+0</f>
        <v>2</v>
      </c>
      <c r="M30" s="1">
        <f>0+0+-3+-5+0+-1+-1</f>
        <v>-10</v>
      </c>
      <c r="N30" s="1">
        <f>0+1+1+1+1+1+1</f>
        <v>6</v>
      </c>
      <c r="W30" s="1">
        <v>30</v>
      </c>
      <c r="AG30" s="18" t="s">
        <v>191</v>
      </c>
      <c r="AK30" s="1" t="s">
        <v>153</v>
      </c>
    </row>
    <row r="31" spans="1:37">
      <c r="A31" t="s">
        <v>149</v>
      </c>
      <c r="I31" s="14" t="s">
        <v>137</v>
      </c>
      <c r="J31" s="2">
        <f t="shared" si="2"/>
        <v>0.23333333333333331</v>
      </c>
      <c r="K31" s="2">
        <f t="shared" si="3"/>
        <v>-1.6666666666666667</v>
      </c>
      <c r="L31" s="1">
        <f>0+1+0+0</f>
        <v>1</v>
      </c>
      <c r="M31" s="1">
        <f>0+0+-4+-1</f>
        <v>-5</v>
      </c>
      <c r="N31" s="1">
        <f>0+1+1+1</f>
        <v>3</v>
      </c>
      <c r="W31" s="1">
        <v>31</v>
      </c>
      <c r="AG31" s="18" t="s">
        <v>191</v>
      </c>
      <c r="AK31" s="1" t="s">
        <v>153</v>
      </c>
    </row>
    <row r="32" spans="1:37">
      <c r="I32" s="14" t="s">
        <v>171</v>
      </c>
      <c r="J32" s="2">
        <f t="shared" si="2"/>
        <v>0</v>
      </c>
      <c r="K32" s="2">
        <f t="shared" si="3"/>
        <v>-1</v>
      </c>
      <c r="L32" s="1">
        <f>0+0+0+0</f>
        <v>0</v>
      </c>
      <c r="M32" s="1">
        <f>0+-1+-1+-1</f>
        <v>-3</v>
      </c>
      <c r="N32" s="1">
        <f>0+1+1+1</f>
        <v>3</v>
      </c>
      <c r="W32" s="1">
        <v>32</v>
      </c>
      <c r="AG32" s="18" t="s">
        <v>222</v>
      </c>
    </row>
    <row r="33" spans="9:33">
      <c r="I33" s="14" t="s">
        <v>158</v>
      </c>
      <c r="J33" s="2">
        <f t="shared" si="2"/>
        <v>0</v>
      </c>
      <c r="K33" s="2">
        <f t="shared" si="3"/>
        <v>-1.3333333333333333</v>
      </c>
      <c r="L33" s="1">
        <f>0+0+0+0</f>
        <v>0</v>
      </c>
      <c r="M33" s="1">
        <f>0+-1+-1+-2</f>
        <v>-4</v>
      </c>
      <c r="N33" s="1">
        <f>0+1+1+1</f>
        <v>3</v>
      </c>
      <c r="W33" s="1">
        <v>33</v>
      </c>
      <c r="AG33" s="18" t="s">
        <v>193</v>
      </c>
    </row>
    <row r="34" spans="9:33">
      <c r="I34" s="14" t="s">
        <v>91</v>
      </c>
      <c r="J34" s="2">
        <f t="shared" si="2"/>
        <v>1.0499999999999998</v>
      </c>
      <c r="K34" s="2">
        <f t="shared" si="3"/>
        <v>0</v>
      </c>
      <c r="L34" s="1">
        <f>0+0+3</f>
        <v>3</v>
      </c>
      <c r="M34" s="1">
        <f>0+-1+1</f>
        <v>0</v>
      </c>
      <c r="N34" s="1">
        <f>0+1+1</f>
        <v>2</v>
      </c>
      <c r="W34" s="1">
        <v>34</v>
      </c>
      <c r="AG34" s="18" t="s">
        <v>192</v>
      </c>
    </row>
    <row r="35" spans="9:33">
      <c r="I35" s="14" t="s">
        <v>239</v>
      </c>
      <c r="J35" s="2">
        <f t="shared" si="2"/>
        <v>2.0999999999999996</v>
      </c>
      <c r="K35" s="2">
        <f t="shared" si="3"/>
        <v>1</v>
      </c>
      <c r="L35" s="1">
        <f>0+3</f>
        <v>3</v>
      </c>
      <c r="M35" s="1">
        <f>0+1</f>
        <v>1</v>
      </c>
      <c r="N35" s="1">
        <f>0+1</f>
        <v>1</v>
      </c>
      <c r="W35" s="1">
        <v>35</v>
      </c>
      <c r="AG35" s="18" t="s">
        <v>225</v>
      </c>
    </row>
    <row r="36" spans="9:33">
      <c r="I36" s="14" t="s">
        <v>160</v>
      </c>
      <c r="J36" s="2">
        <f t="shared" si="2"/>
        <v>0.7</v>
      </c>
      <c r="K36" s="2">
        <f t="shared" si="3"/>
        <v>0</v>
      </c>
      <c r="L36" s="1">
        <f>0+1</f>
        <v>1</v>
      </c>
      <c r="M36" s="1">
        <f>0+0</f>
        <v>0</v>
      </c>
      <c r="N36" s="1">
        <f>0+1</f>
        <v>1</v>
      </c>
      <c r="W36" s="1">
        <v>36</v>
      </c>
      <c r="AG36" s="18" t="s">
        <v>225</v>
      </c>
    </row>
    <row r="37" spans="9:33">
      <c r="I37" s="14" t="s">
        <v>238</v>
      </c>
      <c r="J37" s="2">
        <f t="shared" si="2"/>
        <v>0</v>
      </c>
      <c r="K37" s="2">
        <f t="shared" si="3"/>
        <v>-1</v>
      </c>
      <c r="L37" s="1">
        <f>0+0</f>
        <v>0</v>
      </c>
      <c r="M37" s="1">
        <f>0+-1</f>
        <v>-1</v>
      </c>
      <c r="N37" s="1">
        <f>0+1</f>
        <v>1</v>
      </c>
      <c r="W37" s="1">
        <v>37</v>
      </c>
      <c r="AG37" s="18" t="s">
        <v>225</v>
      </c>
    </row>
    <row r="38" spans="9:33">
      <c r="I38" s="14" t="s">
        <v>214</v>
      </c>
      <c r="J38" s="2">
        <f t="shared" si="2"/>
        <v>0</v>
      </c>
      <c r="K38" s="2">
        <f t="shared" si="3"/>
        <v>-3</v>
      </c>
      <c r="L38" s="1">
        <f>0+0</f>
        <v>0</v>
      </c>
      <c r="M38" s="1">
        <f>0+-3</f>
        <v>-3</v>
      </c>
      <c r="N38" s="1">
        <f>0+1</f>
        <v>1</v>
      </c>
      <c r="W38" s="1">
        <v>38</v>
      </c>
      <c r="AG38" s="18" t="s">
        <v>226</v>
      </c>
    </row>
    <row r="39" spans="9:33">
      <c r="I39"/>
      <c r="W39" s="1">
        <v>39</v>
      </c>
    </row>
    <row r="40" spans="9:33">
      <c r="I40"/>
      <c r="W40" s="1">
        <v>40</v>
      </c>
    </row>
    <row r="41" spans="9:33">
      <c r="I41"/>
      <c r="W41" s="1">
        <v>41</v>
      </c>
    </row>
    <row r="42" spans="9:33">
      <c r="I42"/>
      <c r="W42" s="1">
        <v>42</v>
      </c>
    </row>
    <row r="43" spans="9:33">
      <c r="I43"/>
      <c r="W43" s="1">
        <v>43</v>
      </c>
    </row>
    <row r="44" spans="9:33">
      <c r="I44"/>
      <c r="W44" s="1">
        <v>44</v>
      </c>
    </row>
    <row r="45" spans="9:33">
      <c r="I45"/>
      <c r="W45" s="1">
        <v>45</v>
      </c>
    </row>
    <row r="46" spans="9:33">
      <c r="I46"/>
      <c r="W46" s="1">
        <v>46</v>
      </c>
    </row>
    <row r="47" spans="9:33">
      <c r="I47"/>
      <c r="W47" s="1">
        <v>47</v>
      </c>
    </row>
    <row r="48" spans="9:33">
      <c r="I48"/>
      <c r="W48" s="1">
        <v>48</v>
      </c>
    </row>
    <row r="49" spans="9:23">
      <c r="I49"/>
      <c r="W49" s="1">
        <v>49</v>
      </c>
    </row>
    <row r="50" spans="9:23">
      <c r="I50"/>
      <c r="W50" s="1">
        <v>50</v>
      </c>
    </row>
    <row r="51" spans="9:23">
      <c r="I51"/>
      <c r="W51" s="1">
        <v>51</v>
      </c>
    </row>
    <row r="52" spans="9:23">
      <c r="I52"/>
      <c r="W52" s="1">
        <v>52</v>
      </c>
    </row>
    <row r="53" spans="9:23">
      <c r="I53"/>
      <c r="W53" s="1">
        <v>53</v>
      </c>
    </row>
    <row r="54" spans="9:23">
      <c r="I54"/>
      <c r="W54" s="1">
        <v>54</v>
      </c>
    </row>
    <row r="55" spans="9:23">
      <c r="I55"/>
      <c r="W55" s="1">
        <v>55</v>
      </c>
    </row>
    <row r="56" spans="9:23">
      <c r="I56"/>
      <c r="W56" s="1">
        <v>56</v>
      </c>
    </row>
    <row r="57" spans="9:23">
      <c r="I57"/>
      <c r="W57" s="1">
        <v>57</v>
      </c>
    </row>
    <row r="58" spans="9:23">
      <c r="I58"/>
      <c r="W58" s="1">
        <v>58</v>
      </c>
    </row>
    <row r="59" spans="9:23">
      <c r="I59"/>
      <c r="W59" s="1">
        <v>59</v>
      </c>
    </row>
    <row r="60" spans="9:23">
      <c r="I60"/>
      <c r="W60" s="1">
        <v>60</v>
      </c>
    </row>
    <row r="61" spans="9:23">
      <c r="I61"/>
      <c r="W61" s="1">
        <v>61</v>
      </c>
    </row>
    <row r="62" spans="9:23">
      <c r="I62"/>
      <c r="W62" s="1">
        <v>62</v>
      </c>
    </row>
    <row r="63" spans="9:23">
      <c r="I63"/>
      <c r="W63" s="1">
        <v>63</v>
      </c>
    </row>
    <row r="64" spans="9:23">
      <c r="I64"/>
      <c r="W64" s="1">
        <v>64</v>
      </c>
    </row>
    <row r="65" spans="9:23">
      <c r="I65"/>
      <c r="W65" s="1">
        <v>65</v>
      </c>
    </row>
    <row r="66" spans="9:23">
      <c r="I66"/>
      <c r="W66" s="1">
        <v>66</v>
      </c>
    </row>
    <row r="67" spans="9:23">
      <c r="I67"/>
      <c r="W67" s="1">
        <v>67</v>
      </c>
    </row>
    <row r="68" spans="9:23">
      <c r="I68"/>
      <c r="W68" s="1">
        <v>68</v>
      </c>
    </row>
    <row r="69" spans="9:23">
      <c r="I69"/>
      <c r="W69" s="1">
        <v>69</v>
      </c>
    </row>
    <row r="70" spans="9:23">
      <c r="I70"/>
      <c r="W70" s="1">
        <v>70</v>
      </c>
    </row>
    <row r="71" spans="9:23">
      <c r="W71" s="1">
        <v>71</v>
      </c>
    </row>
    <row r="72" spans="9:23">
      <c r="W72" s="1">
        <v>72</v>
      </c>
    </row>
    <row r="73" spans="9:23">
      <c r="W73" s="1">
        <v>73</v>
      </c>
    </row>
    <row r="74" spans="9:23">
      <c r="W74" s="1">
        <v>74</v>
      </c>
    </row>
    <row r="75" spans="9:23">
      <c r="W75" s="1">
        <v>75</v>
      </c>
    </row>
    <row r="76" spans="9:23">
      <c r="W76" s="1">
        <v>76</v>
      </c>
    </row>
    <row r="77" spans="9:23">
      <c r="W77" s="1">
        <v>77</v>
      </c>
    </row>
    <row r="78" spans="9:23">
      <c r="W78" s="1">
        <v>78</v>
      </c>
    </row>
    <row r="79" spans="9:23">
      <c r="W79" s="1">
        <v>79</v>
      </c>
    </row>
    <row r="80" spans="9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K99"/>
  <sheetViews>
    <sheetView zoomScale="73" zoomScaleNormal="73" workbookViewId="0">
      <selection activeCell="Q31" sqref="Q31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style="14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4.85546875" style="1" customWidth="1"/>
    <col min="29" max="29" width="2.140625" style="8" customWidth="1"/>
    <col min="30" max="31" width="4.85546875" style="1" customWidth="1"/>
    <col min="32" max="32" width="2.140625" style="8" customWidth="1"/>
    <col min="33" max="33" width="4.85546875" style="18" customWidth="1"/>
    <col min="34" max="34" width="2.140625" style="8" customWidth="1"/>
    <col min="35" max="35" width="9.7109375" customWidth="1"/>
    <col min="36" max="37" width="4.28515625" style="1" customWidth="1"/>
  </cols>
  <sheetData>
    <row r="1" spans="1:37">
      <c r="A1" s="4" t="s">
        <v>140</v>
      </c>
      <c r="B1" s="4" t="s">
        <v>167</v>
      </c>
      <c r="C1" s="5">
        <v>0</v>
      </c>
      <c r="D1" s="5">
        <v>2</v>
      </c>
      <c r="E1" s="1">
        <f t="shared" ref="E1:E8" si="0">C1-D1</f>
        <v>-2</v>
      </c>
      <c r="F1" s="1">
        <f t="shared" ref="F1:F8" si="1">D1-C1</f>
        <v>2</v>
      </c>
      <c r="G1" s="10">
        <v>0.75</v>
      </c>
      <c r="H1" s="17"/>
      <c r="I1" s="14" t="s">
        <v>163</v>
      </c>
      <c r="J1" s="2">
        <f>(L1/N1)*IF(N1&gt;5,1,IF(N1=5,0.9,IF(N1=4,0.8,0.7)))</f>
        <v>2.6666666666666665</v>
      </c>
      <c r="K1" s="2">
        <f>M1/N1</f>
        <v>1.8333333333333333</v>
      </c>
      <c r="L1" s="1">
        <f>0+3+1+3+3+3+3</f>
        <v>16</v>
      </c>
      <c r="M1" s="1">
        <f>0+1+0+5+1+1+3</f>
        <v>11</v>
      </c>
      <c r="N1" s="1">
        <f>0+1+1+1+1+1+1</f>
        <v>6</v>
      </c>
      <c r="V1" s="1"/>
      <c r="W1" s="1">
        <v>1</v>
      </c>
      <c r="X1" s="12" t="s">
        <v>245</v>
      </c>
      <c r="Y1" s="4" t="s">
        <v>144</v>
      </c>
      <c r="AA1" s="18" t="s">
        <v>232</v>
      </c>
      <c r="AB1" s="18" t="s">
        <v>212</v>
      </c>
      <c r="AD1" s="1">
        <v>12</v>
      </c>
      <c r="AE1" s="1">
        <v>2</v>
      </c>
      <c r="AG1" s="18" t="s">
        <v>193</v>
      </c>
      <c r="AI1" s="12"/>
    </row>
    <row r="2" spans="1:37">
      <c r="A2" s="4" t="s">
        <v>123</v>
      </c>
      <c r="B2" s="4" t="s">
        <v>114</v>
      </c>
      <c r="C2" s="5">
        <v>4</v>
      </c>
      <c r="D2" s="5">
        <v>0</v>
      </c>
      <c r="E2" s="1">
        <f t="shared" si="0"/>
        <v>4</v>
      </c>
      <c r="F2" s="1">
        <f t="shared" si="1"/>
        <v>-4</v>
      </c>
      <c r="G2" s="10">
        <v>0.77083333333333337</v>
      </c>
      <c r="H2" s="17"/>
      <c r="I2" s="14" t="s">
        <v>167</v>
      </c>
      <c r="J2" s="2">
        <f>(L2/N2)*IF(N2&gt;5,1,IF(N2=5,0.9,IF(N2=4,0.8,0.7)))</f>
        <v>2.4285714285714284</v>
      </c>
      <c r="K2" s="2">
        <f>M2/N2</f>
        <v>1</v>
      </c>
      <c r="L2" s="1">
        <f>0+1+3+3+3+1+3+3</f>
        <v>17</v>
      </c>
      <c r="M2" s="1">
        <f>0+0+1+1+1+0+2+2</f>
        <v>7</v>
      </c>
      <c r="N2" s="1">
        <f>0+1+1+1+1+1+1+1</f>
        <v>7</v>
      </c>
      <c r="W2" s="1">
        <v>2</v>
      </c>
      <c r="X2" s="12" t="s">
        <v>215</v>
      </c>
      <c r="Y2" s="4" t="s">
        <v>41</v>
      </c>
      <c r="AA2" s="18" t="s">
        <v>240</v>
      </c>
      <c r="AB2" s="18" t="s">
        <v>226</v>
      </c>
      <c r="AD2" s="1">
        <v>4</v>
      </c>
      <c r="AE2" s="1">
        <v>23</v>
      </c>
      <c r="AG2" s="18" t="s">
        <v>212</v>
      </c>
      <c r="AI2" s="12"/>
    </row>
    <row r="3" spans="1:37">
      <c r="A3" s="4"/>
      <c r="B3" s="4"/>
      <c r="C3" s="5"/>
      <c r="D3" s="5"/>
      <c r="E3" s="1">
        <f t="shared" si="0"/>
        <v>0</v>
      </c>
      <c r="F3" s="1">
        <f t="shared" si="1"/>
        <v>0</v>
      </c>
      <c r="G3" s="10"/>
      <c r="H3" s="17"/>
      <c r="I3" s="14" t="s">
        <v>90</v>
      </c>
      <c r="J3" s="2">
        <f>(L3/N3)*IF(N3&gt;5,1,IF(N3=5,0.9,IF(N3=4,0.8,0.7)))</f>
        <v>2.2857142857142856</v>
      </c>
      <c r="K3" s="2">
        <f>M3/N3</f>
        <v>1.2857142857142858</v>
      </c>
      <c r="L3" s="1">
        <f>0+1+3+3+3+3+0+3</f>
        <v>16</v>
      </c>
      <c r="M3" s="1">
        <f>0+0+2+3+3+5+-5+1</f>
        <v>9</v>
      </c>
      <c r="N3" s="1">
        <f>0+1+1+1+1+1+1+1</f>
        <v>7</v>
      </c>
      <c r="W3" s="1">
        <v>3</v>
      </c>
      <c r="X3" s="12"/>
      <c r="Y3" s="4"/>
      <c r="AA3" s="18"/>
      <c r="AB3" s="18"/>
      <c r="AG3" s="18" t="s">
        <v>193</v>
      </c>
      <c r="AI3" s="12" t="s">
        <v>243</v>
      </c>
    </row>
    <row r="4" spans="1:37">
      <c r="A4" s="4" t="s">
        <v>96</v>
      </c>
      <c r="B4" s="4" t="s">
        <v>163</v>
      </c>
      <c r="C4" s="5">
        <v>1</v>
      </c>
      <c r="D4" s="5">
        <v>4</v>
      </c>
      <c r="E4" s="1">
        <f t="shared" si="0"/>
        <v>-3</v>
      </c>
      <c r="F4" s="1">
        <f t="shared" si="1"/>
        <v>3</v>
      </c>
      <c r="G4" s="10">
        <v>0.67708333333333337</v>
      </c>
      <c r="H4" s="17"/>
      <c r="I4" s="14" t="s">
        <v>123</v>
      </c>
      <c r="J4" s="2">
        <f>(L4/N4)*IF(N4&gt;5,1,IF(N4=5,0.9,IF(N4=4,0.8,0.7)))</f>
        <v>2.2222222222222223</v>
      </c>
      <c r="K4" s="2">
        <f>M4/N4</f>
        <v>1.7777777777777777</v>
      </c>
      <c r="L4" s="1">
        <f>0+1+3+3+1+3+3+3+0+3</f>
        <v>20</v>
      </c>
      <c r="M4" s="1">
        <f>0+0+1+4+0+1+5+2+-1+4</f>
        <v>16</v>
      </c>
      <c r="N4" s="1">
        <f>0+1+1+1+1+1+1+1+1+1</f>
        <v>9</v>
      </c>
      <c r="V4" s="1"/>
      <c r="W4" s="1">
        <v>4</v>
      </c>
      <c r="X4" s="12" t="s">
        <v>245</v>
      </c>
      <c r="Y4" s="4" t="s">
        <v>98</v>
      </c>
      <c r="AA4" s="18" t="s">
        <v>246</v>
      </c>
      <c r="AB4" s="18" t="s">
        <v>191</v>
      </c>
      <c r="AD4" s="1">
        <v>15</v>
      </c>
      <c r="AE4" s="1">
        <v>1</v>
      </c>
      <c r="AG4" s="18" t="s">
        <v>225</v>
      </c>
      <c r="AI4" s="12"/>
    </row>
    <row r="5" spans="1:37">
      <c r="A5" s="4" t="s">
        <v>162</v>
      </c>
      <c r="B5" s="4" t="s">
        <v>244</v>
      </c>
      <c r="C5" s="5">
        <v>3</v>
      </c>
      <c r="D5" s="5">
        <v>2</v>
      </c>
      <c r="E5" s="1">
        <f t="shared" si="0"/>
        <v>1</v>
      </c>
      <c r="F5" s="1">
        <f t="shared" si="1"/>
        <v>-1</v>
      </c>
      <c r="G5" s="10">
        <v>0.75</v>
      </c>
      <c r="H5" s="17"/>
      <c r="I5" s="14" t="s">
        <v>164</v>
      </c>
      <c r="J5" s="2">
        <f>(L5/N5)*IF(N5&gt;5,1,IF(N5=5,0.9,IF(N5=4,0.8,0.7)))</f>
        <v>2.0999999999999996</v>
      </c>
      <c r="K5" s="2">
        <f>M5/N5</f>
        <v>3.3333333333333335</v>
      </c>
      <c r="L5" s="1">
        <f>0+3+3+3</f>
        <v>9</v>
      </c>
      <c r="M5" s="1">
        <f>0+4+4+2</f>
        <v>10</v>
      </c>
      <c r="N5" s="1">
        <f>0+1+1+1</f>
        <v>3</v>
      </c>
      <c r="W5" s="1">
        <v>5</v>
      </c>
      <c r="X5" s="12" t="s">
        <v>245</v>
      </c>
      <c r="Y5" s="4" t="s">
        <v>144</v>
      </c>
      <c r="AA5" s="18" t="s">
        <v>206</v>
      </c>
      <c r="AB5" s="18" t="s">
        <v>193</v>
      </c>
      <c r="AD5" s="1">
        <v>25</v>
      </c>
      <c r="AG5" s="18" t="s">
        <v>193</v>
      </c>
      <c r="AI5" s="12"/>
    </row>
    <row r="6" spans="1:37">
      <c r="A6" s="4"/>
      <c r="B6" s="4"/>
      <c r="C6" s="5"/>
      <c r="D6" s="5"/>
      <c r="E6" s="1">
        <f t="shared" si="0"/>
        <v>0</v>
      </c>
      <c r="F6" s="1">
        <f t="shared" si="1"/>
        <v>0</v>
      </c>
      <c r="G6" s="10"/>
      <c r="H6" s="17"/>
      <c r="I6" s="14" t="s">
        <v>89</v>
      </c>
      <c r="J6" s="2">
        <f>(L6/N6)*IF(N6&gt;5,1,IF(N6=5,0.9,IF(N6=4,0.8,0.7)))</f>
        <v>2</v>
      </c>
      <c r="K6" s="2">
        <f>M6/N6</f>
        <v>2</v>
      </c>
      <c r="L6" s="1">
        <f>0+1+3+3+3</f>
        <v>10</v>
      </c>
      <c r="M6" s="1">
        <f>0+0+1+2+5</f>
        <v>8</v>
      </c>
      <c r="N6" s="1">
        <f>0+1+1+1+1</f>
        <v>4</v>
      </c>
      <c r="W6" s="1">
        <v>6</v>
      </c>
      <c r="X6" s="12"/>
      <c r="Y6" s="4"/>
      <c r="AG6" s="18" t="s">
        <v>224</v>
      </c>
      <c r="AI6" s="12"/>
    </row>
    <row r="7" spans="1:37">
      <c r="A7" s="4"/>
      <c r="B7" s="4"/>
      <c r="C7" s="5"/>
      <c r="D7" s="5"/>
      <c r="E7" s="1">
        <f t="shared" si="0"/>
        <v>0</v>
      </c>
      <c r="F7" s="1">
        <f t="shared" si="1"/>
        <v>0</v>
      </c>
      <c r="G7" s="10"/>
      <c r="H7" s="17"/>
      <c r="I7" s="14" t="s">
        <v>95</v>
      </c>
      <c r="J7" s="2">
        <f>(L7/N7)*IF(N7&gt;5,1,IF(N7=5,0.9,IF(N7=4,0.8,0.7)))</f>
        <v>1.8571428571428572</v>
      </c>
      <c r="K7" s="2">
        <f>M7/N7</f>
        <v>1.1428571428571428</v>
      </c>
      <c r="L7" s="1">
        <f>0+0+3+3+3+0+1+3</f>
        <v>13</v>
      </c>
      <c r="M7" s="1">
        <f>0+-1+5+3+1+-2+0+2</f>
        <v>8</v>
      </c>
      <c r="N7" s="1">
        <f>0+1+1+1+1+1+1+1</f>
        <v>7</v>
      </c>
      <c r="W7" s="1">
        <v>7</v>
      </c>
      <c r="X7" s="12"/>
      <c r="Y7" s="4"/>
      <c r="AA7" s="18"/>
      <c r="AB7" s="18"/>
      <c r="AD7" s="18"/>
      <c r="AG7" s="18" t="s">
        <v>191</v>
      </c>
      <c r="AI7" s="12"/>
    </row>
    <row r="8" spans="1:37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10"/>
      <c r="H8" s="17"/>
      <c r="I8" s="14" t="s">
        <v>178</v>
      </c>
      <c r="J8" s="2">
        <f>(L8/N8)*IF(N8&gt;5,1,IF(N8=5,0.9,IF(N8=4,0.8,0.7)))</f>
        <v>1.6666666666666667</v>
      </c>
      <c r="K8" s="2">
        <f>M8/N8</f>
        <v>-0.33333333333333331</v>
      </c>
      <c r="L8" s="1">
        <f>0+3+3+0+3+1+0</f>
        <v>10</v>
      </c>
      <c r="M8" s="1">
        <f>0+1+1+-5+3+0+-2</f>
        <v>-2</v>
      </c>
      <c r="N8" s="1">
        <f>0+1+1+1+1+1+1</f>
        <v>6</v>
      </c>
      <c r="W8" s="1">
        <v>8</v>
      </c>
      <c r="X8" s="12"/>
      <c r="Y8" s="4"/>
      <c r="AA8" s="18"/>
      <c r="AB8" s="18"/>
      <c r="AD8" s="18"/>
      <c r="AE8" s="18"/>
      <c r="AG8" s="18" t="s">
        <v>212</v>
      </c>
      <c r="AI8" s="12"/>
    </row>
    <row r="9" spans="1:37">
      <c r="A9" t="s">
        <v>6</v>
      </c>
      <c r="C9"/>
      <c r="D9"/>
      <c r="E9"/>
      <c r="F9"/>
      <c r="G9" s="15"/>
      <c r="H9" s="7"/>
      <c r="I9" s="14" t="s">
        <v>156</v>
      </c>
      <c r="J9" s="2">
        <f>(L9/N9)*IF(N9&gt;5,1,IF(N9=5,0.9,IF(N9=4,0.8,0.7)))</f>
        <v>1.6333333333333333</v>
      </c>
      <c r="K9" s="2">
        <f>M9/N9</f>
        <v>1</v>
      </c>
      <c r="L9" s="1">
        <f>0+1+3+3</f>
        <v>7</v>
      </c>
      <c r="M9" s="1">
        <f>0+0+1+2</f>
        <v>3</v>
      </c>
      <c r="N9" s="1">
        <f>0+1+1+1</f>
        <v>3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/>
      <c r="AE9" s="3"/>
      <c r="AG9" s="18" t="s">
        <v>193</v>
      </c>
      <c r="AI9" s="16" t="s">
        <v>242</v>
      </c>
    </row>
    <row r="10" spans="1:37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I10" s="14" t="s">
        <v>85</v>
      </c>
      <c r="J10" s="2">
        <f>(L10/N10)*IF(N10&gt;5,1,IF(N10=5,0.9,IF(N10=4,0.8,0.7)))</f>
        <v>1.5714285714285714</v>
      </c>
      <c r="K10" s="2">
        <f>M10/N10</f>
        <v>0.5714285714285714</v>
      </c>
      <c r="L10" s="1">
        <f>0+1+3+1+3+3+0+0</f>
        <v>11</v>
      </c>
      <c r="M10" s="1">
        <f>0+0+2+0+1+3+-1+-1</f>
        <v>4</v>
      </c>
      <c r="N10" s="1">
        <f>0+1+1+1+1+1+1+1</f>
        <v>7</v>
      </c>
      <c r="W10" s="1">
        <v>10</v>
      </c>
      <c r="X10" s="13" t="s">
        <v>54</v>
      </c>
      <c r="Y10" t="s">
        <v>38</v>
      </c>
      <c r="AG10" s="18" t="s">
        <v>193</v>
      </c>
    </row>
    <row r="11" spans="1:37">
      <c r="A11" t="s">
        <v>7</v>
      </c>
      <c r="C11"/>
      <c r="D11"/>
      <c r="E11"/>
      <c r="F11"/>
      <c r="I11" s="14" t="s">
        <v>126</v>
      </c>
      <c r="J11" s="2">
        <f>(L11/N11)*IF(N11&gt;5,1,IF(N11=5,0.9,IF(N11=4,0.8,0.7)))</f>
        <v>1.5714285714285714</v>
      </c>
      <c r="K11" s="2">
        <f>M11/N11</f>
        <v>0.42857142857142855</v>
      </c>
      <c r="L11" s="1">
        <f>0+1+1+3+3+0+3+0</f>
        <v>11</v>
      </c>
      <c r="M11" s="1">
        <f>0+0+0+1+2+-1+3+-2</f>
        <v>3</v>
      </c>
      <c r="N11" s="1">
        <f>0+1+1+1+1+1+1+1</f>
        <v>7</v>
      </c>
      <c r="W11" s="1">
        <v>11</v>
      </c>
      <c r="X11" s="13" t="s">
        <v>55</v>
      </c>
      <c r="Y11" t="s">
        <v>39</v>
      </c>
      <c r="AG11" s="18" t="s">
        <v>213</v>
      </c>
    </row>
    <row r="12" spans="1:37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I12" s="14" t="s">
        <v>84</v>
      </c>
      <c r="J12" s="2">
        <f>(L12/N12)*IF(N12&gt;5,1,IF(N12=5,0.9,IF(N12=4,0.8,0.7)))</f>
        <v>1.4400000000000002</v>
      </c>
      <c r="K12" s="2">
        <f>M12/N12</f>
        <v>0.4</v>
      </c>
      <c r="L12" s="1">
        <f>0+0+3+3+1+1</f>
        <v>8</v>
      </c>
      <c r="M12" s="1">
        <f>0-1+2+1+0+0</f>
        <v>2</v>
      </c>
      <c r="N12" s="1">
        <f>0+1+1+1+1+1</f>
        <v>5</v>
      </c>
      <c r="W12" s="1">
        <v>12</v>
      </c>
      <c r="X12" s="13" t="s">
        <v>25</v>
      </c>
      <c r="Y12" t="s">
        <v>40</v>
      </c>
      <c r="AG12" s="18" t="s">
        <v>193</v>
      </c>
      <c r="AJ12" s="1" t="s">
        <v>150</v>
      </c>
    </row>
    <row r="13" spans="1:37">
      <c r="A13" t="s">
        <v>15</v>
      </c>
      <c r="C13"/>
      <c r="D13"/>
      <c r="E13"/>
      <c r="F13"/>
      <c r="I13" s="14" t="s">
        <v>139</v>
      </c>
      <c r="J13" s="2">
        <f>(L13/N13)*IF(N13&gt;5,1,IF(N13=5,0.9,IF(N13=4,0.8,0.7)))</f>
        <v>1.3333333333333333</v>
      </c>
      <c r="K13" s="2">
        <f>M13/N13</f>
        <v>0.1111111111111111</v>
      </c>
      <c r="L13" s="1">
        <f>0+3+0+1+0+3+0+3+1+1</f>
        <v>12</v>
      </c>
      <c r="M13" s="1">
        <f>0+2+-1+0+-1+1+-1+1+0+0</f>
        <v>1</v>
      </c>
      <c r="N13" s="1">
        <f>0+1+1+1+1+1+1+1+1+1</f>
        <v>9</v>
      </c>
      <c r="W13" s="1">
        <v>13</v>
      </c>
      <c r="X13" s="13" t="s">
        <v>29</v>
      </c>
      <c r="Y13" t="s">
        <v>45</v>
      </c>
      <c r="AG13" s="18" t="s">
        <v>191</v>
      </c>
      <c r="AJ13" s="1" t="s">
        <v>150</v>
      </c>
    </row>
    <row r="14" spans="1:37">
      <c r="A14" s="3" t="s">
        <v>30</v>
      </c>
      <c r="C14"/>
      <c r="D14"/>
      <c r="E14"/>
      <c r="F14"/>
      <c r="I14" s="14" t="s">
        <v>140</v>
      </c>
      <c r="J14" s="2">
        <f>(L14/N14)*IF(N14&gt;5,1,IF(N14=5,0.9,IF(N14=4,0.8,0.7)))</f>
        <v>1.2857142857142858</v>
      </c>
      <c r="K14" s="2">
        <f>M14/N14</f>
        <v>-0.14285714285714285</v>
      </c>
      <c r="L14" s="1">
        <f>0+0+3+3+1+1+1+0</f>
        <v>9</v>
      </c>
      <c r="M14" s="1">
        <f>0+-2+1+2+0+0+0+-2</f>
        <v>-1</v>
      </c>
      <c r="N14" s="1">
        <f>0+1+1+1+1+1+1+1</f>
        <v>7</v>
      </c>
      <c r="W14" s="1">
        <v>14</v>
      </c>
      <c r="X14" s="13" t="s">
        <v>56</v>
      </c>
      <c r="Y14" t="s">
        <v>42</v>
      </c>
      <c r="AG14" s="18" t="s">
        <v>222</v>
      </c>
      <c r="AK14" s="1" t="s">
        <v>153</v>
      </c>
    </row>
    <row r="15" spans="1:37">
      <c r="A15" t="s">
        <v>133</v>
      </c>
      <c r="C15"/>
      <c r="D15"/>
      <c r="E15"/>
      <c r="F15"/>
      <c r="I15" s="14" t="s">
        <v>157</v>
      </c>
      <c r="J15" s="2">
        <f>(L15/N15)*IF(N15&gt;5,1,IF(N15=5,0.9,IF(N15=4,0.8,0.7)))</f>
        <v>1.1666666666666667</v>
      </c>
      <c r="K15" s="2">
        <f>M15/N15</f>
        <v>-0.66666666666666663</v>
      </c>
      <c r="L15" s="1">
        <f>0+0+1+0+3+0+3</f>
        <v>7</v>
      </c>
      <c r="M15" s="1">
        <f>0+-3+0+-2+1+-1+1</f>
        <v>-4</v>
      </c>
      <c r="N15" s="1">
        <f>0+1+1+1+1+1+1</f>
        <v>6</v>
      </c>
      <c r="W15" s="1">
        <v>15</v>
      </c>
      <c r="X15" s="13" t="s">
        <v>57</v>
      </c>
      <c r="Y15" t="s">
        <v>43</v>
      </c>
      <c r="AG15" s="18" t="s">
        <v>222</v>
      </c>
      <c r="AJ15" s="1" t="s">
        <v>150</v>
      </c>
    </row>
    <row r="16" spans="1:37">
      <c r="A16" t="s">
        <v>23</v>
      </c>
      <c r="C16"/>
      <c r="D16"/>
      <c r="E16"/>
      <c r="F16"/>
      <c r="I16" s="20" t="s">
        <v>132</v>
      </c>
      <c r="J16" s="2">
        <f>(L16/N16)*IF(N16&gt;5,1,IF(N16=5,0.9,IF(N16=4,0.8,0.7)))</f>
        <v>1.1428571428571428</v>
      </c>
      <c r="K16" s="2">
        <f>M16/N16</f>
        <v>-0.42857142857142855</v>
      </c>
      <c r="L16" s="1">
        <f>0+3+0+3+1+1+0+0</f>
        <v>8</v>
      </c>
      <c r="M16" s="1">
        <f>0+1+-1+3+0+0+-5+-1</f>
        <v>-3</v>
      </c>
      <c r="N16" s="1">
        <f>0+1+1+1+1+1+1+1</f>
        <v>7</v>
      </c>
      <c r="W16" s="1">
        <v>16</v>
      </c>
      <c r="X16" s="13" t="s">
        <v>58</v>
      </c>
      <c r="Y16" t="s">
        <v>44</v>
      </c>
      <c r="AG16" s="18" t="s">
        <v>191</v>
      </c>
      <c r="AJ16" s="1" t="s">
        <v>150</v>
      </c>
    </row>
    <row r="17" spans="1:37">
      <c r="A17" t="s">
        <v>134</v>
      </c>
      <c r="I17" s="14" t="s">
        <v>138</v>
      </c>
      <c r="J17" s="2">
        <f>(L17/N17)*IF(N17&gt;5,1,IF(N17=5,0.9,IF(N17=4,0.8,0.7)))</f>
        <v>1.08</v>
      </c>
      <c r="K17" s="2">
        <f>M17/N17</f>
        <v>-0.6</v>
      </c>
      <c r="L17" s="1">
        <f>0+1+1+0+3+1</f>
        <v>6</v>
      </c>
      <c r="M17" s="1">
        <f>0+0+0+-4+1+0</f>
        <v>-3</v>
      </c>
      <c r="N17" s="1">
        <f>0+1+1+1+1+1</f>
        <v>5</v>
      </c>
      <c r="W17" s="1">
        <v>17</v>
      </c>
      <c r="X17" s="13" t="s">
        <v>59</v>
      </c>
      <c r="Y17" t="s">
        <v>46</v>
      </c>
      <c r="AG17" s="18" t="s">
        <v>193</v>
      </c>
      <c r="AJ17" s="1" t="s">
        <v>150</v>
      </c>
    </row>
    <row r="18" spans="1:37">
      <c r="A18" t="s">
        <v>33</v>
      </c>
      <c r="C18"/>
      <c r="D18"/>
      <c r="E18"/>
      <c r="F18"/>
      <c r="I18" s="14" t="s">
        <v>162</v>
      </c>
      <c r="J18" s="2">
        <f>(L18/N18)*IF(N18&gt;5,1,IF(N18=5,0.9,IF(N18=4,0.8,0.7)))</f>
        <v>1</v>
      </c>
      <c r="K18" s="2">
        <f>M18/N18</f>
        <v>-0.2857142857142857</v>
      </c>
      <c r="L18" s="1">
        <f>0+0+1+1+0+1+1+3</f>
        <v>7</v>
      </c>
      <c r="M18" s="1">
        <f>0+-1+0+0+-2+0+0+1</f>
        <v>-2</v>
      </c>
      <c r="N18" s="1">
        <f>0+1+1+1+1+1+1+1</f>
        <v>7</v>
      </c>
      <c r="W18" s="1">
        <v>18</v>
      </c>
      <c r="X18" s="13" t="s">
        <v>60</v>
      </c>
      <c r="Y18" t="s">
        <v>47</v>
      </c>
      <c r="AG18" s="18" t="s">
        <v>225</v>
      </c>
      <c r="AJ18" s="1" t="s">
        <v>150</v>
      </c>
    </row>
    <row r="19" spans="1:37">
      <c r="B19" t="s">
        <v>180</v>
      </c>
      <c r="I19" s="14" t="s">
        <v>96</v>
      </c>
      <c r="J19" s="2">
        <f>(L19/N19)*IF(N19&gt;5,1,IF(N19=5,0.9,IF(N19=4,0.8,0.7)))</f>
        <v>1</v>
      </c>
      <c r="K19" s="2">
        <f>M19/N19</f>
        <v>-0.5</v>
      </c>
      <c r="L19" s="1">
        <f>0+1+1+3+0</f>
        <v>5</v>
      </c>
      <c r="M19" s="1">
        <f>0+0+0+1+-3</f>
        <v>-2</v>
      </c>
      <c r="N19" s="1">
        <f>0+1+1+1+1</f>
        <v>4</v>
      </c>
      <c r="W19" s="1">
        <v>19</v>
      </c>
      <c r="X19" s="13" t="s">
        <v>26</v>
      </c>
      <c r="Y19" t="s">
        <v>48</v>
      </c>
      <c r="AG19" s="18" t="s">
        <v>241</v>
      </c>
      <c r="AK19" s="1" t="s">
        <v>153</v>
      </c>
    </row>
    <row r="20" spans="1:37">
      <c r="A20" t="s">
        <v>135</v>
      </c>
      <c r="I20" s="14" t="s">
        <v>83</v>
      </c>
      <c r="J20" s="2">
        <f>(L20/N20)*IF(N20&gt;5,1,IF(N20=5,0.9,IF(N20=4,0.8,0.7)))</f>
        <v>0.93333333333333324</v>
      </c>
      <c r="K20" s="2">
        <f>M20/N20</f>
        <v>0</v>
      </c>
      <c r="L20" s="1">
        <f>0+3+1+0</f>
        <v>4</v>
      </c>
      <c r="M20" s="1">
        <f>0+1+0+-1</f>
        <v>0</v>
      </c>
      <c r="N20" s="1">
        <f>0+1+1+1</f>
        <v>3</v>
      </c>
      <c r="W20" s="1">
        <v>20</v>
      </c>
      <c r="X20" s="13" t="s">
        <v>61</v>
      </c>
      <c r="Y20" t="s">
        <v>49</v>
      </c>
      <c r="AG20" s="18" t="s">
        <v>228</v>
      </c>
      <c r="AK20" s="1" t="s">
        <v>153</v>
      </c>
    </row>
    <row r="21" spans="1:37">
      <c r="A21" t="s">
        <v>19</v>
      </c>
      <c r="I21" s="14" t="s">
        <v>124</v>
      </c>
      <c r="J21" s="2">
        <f>(L21/N21)*IF(N21&gt;5,1,IF(N21=5,0.9,IF(N21=4,0.8,0.7)))</f>
        <v>0.9</v>
      </c>
      <c r="K21" s="2">
        <f>M21/N21</f>
        <v>-0.6</v>
      </c>
      <c r="L21" s="1">
        <f>0+3+1+1+0+0</f>
        <v>5</v>
      </c>
      <c r="M21" s="1">
        <f>0+1+0+0+-2+-2</f>
        <v>-3</v>
      </c>
      <c r="N21" s="1">
        <f>0+1+1+1+1+1</f>
        <v>5</v>
      </c>
      <c r="W21" s="1">
        <v>21</v>
      </c>
      <c r="X21" s="13" t="s">
        <v>62</v>
      </c>
      <c r="Y21" t="s">
        <v>50</v>
      </c>
      <c r="AG21" s="18" t="s">
        <v>222</v>
      </c>
      <c r="AK21" s="1" t="s">
        <v>153</v>
      </c>
    </row>
    <row r="22" spans="1:37">
      <c r="B22" t="s">
        <v>20</v>
      </c>
      <c r="I22" s="14" t="s">
        <v>86</v>
      </c>
      <c r="J22" s="2">
        <f>(L22/N22)*IF(N22&gt;5,1,IF(N22=5,0.9,IF(N22=4,0.8,0.7)))</f>
        <v>0.83333333333333337</v>
      </c>
      <c r="K22" s="2">
        <f>M22/N22</f>
        <v>-0.16666666666666666</v>
      </c>
      <c r="L22" s="1">
        <f>0+1+1+1+1+1+0</f>
        <v>5</v>
      </c>
      <c r="M22" s="1">
        <f>0+0+0+0+0+0+-1</f>
        <v>-1</v>
      </c>
      <c r="N22" s="1">
        <f>0+1+1+1+1+1+1</f>
        <v>6</v>
      </c>
      <c r="W22" s="1">
        <v>22</v>
      </c>
      <c r="X22" s="13" t="s">
        <v>63</v>
      </c>
      <c r="Y22" t="s">
        <v>51</v>
      </c>
      <c r="AG22" s="18" t="s">
        <v>228</v>
      </c>
      <c r="AK22" s="1" t="s">
        <v>153</v>
      </c>
    </row>
    <row r="23" spans="1:37">
      <c r="B23" t="s">
        <v>88</v>
      </c>
      <c r="I23" s="14" t="s">
        <v>197</v>
      </c>
      <c r="J23" s="2">
        <f>(L23/N23)*IF(N23&gt;5,1,IF(N23=5,0.9,IF(N23=4,0.8,0.7)))</f>
        <v>0.7</v>
      </c>
      <c r="K23" s="2">
        <f>M23/N23</f>
        <v>0</v>
      </c>
      <c r="L23" s="1">
        <f>0+1+1+1</f>
        <v>3</v>
      </c>
      <c r="M23" s="1">
        <f>0+0+0+0</f>
        <v>0</v>
      </c>
      <c r="N23" s="1">
        <f>0+1+1+1</f>
        <v>3</v>
      </c>
      <c r="W23" s="1">
        <v>23</v>
      </c>
      <c r="X23" s="13" t="s">
        <v>28</v>
      </c>
      <c r="Y23" t="s">
        <v>52</v>
      </c>
      <c r="AG23" s="18" t="s">
        <v>226</v>
      </c>
      <c r="AK23" s="1" t="s">
        <v>153</v>
      </c>
    </row>
    <row r="24" spans="1:37">
      <c r="A24" t="s">
        <v>16</v>
      </c>
      <c r="C24"/>
      <c r="D24"/>
      <c r="E24"/>
      <c r="F24"/>
      <c r="I24" s="14" t="s">
        <v>161</v>
      </c>
      <c r="J24" s="2">
        <f>(L24/N24)*IF(N24&gt;5,1,IF(N24=5,0.9,IF(N24=4,0.8,0.7)))</f>
        <v>0.66666666666666663</v>
      </c>
      <c r="K24" s="2">
        <f>M24/N24</f>
        <v>-0.33333333333333331</v>
      </c>
      <c r="L24" s="1">
        <f>0+1+1+0+0+1+1</f>
        <v>4</v>
      </c>
      <c r="M24" s="1">
        <f>0+0+0+-1+-1+0+0</f>
        <v>-2</v>
      </c>
      <c r="N24" s="1">
        <f>0+1+1+1+1+1+1</f>
        <v>6</v>
      </c>
      <c r="W24" s="1">
        <v>24</v>
      </c>
      <c r="X24" s="13" t="s">
        <v>64</v>
      </c>
      <c r="Y24" t="s">
        <v>53</v>
      </c>
      <c r="AG24" s="18" t="s">
        <v>213</v>
      </c>
    </row>
    <row r="25" spans="1:37">
      <c r="A25" t="s">
        <v>17</v>
      </c>
      <c r="B25" s="2" t="e">
        <f t="shared" ref="B25" si="2">(D25/F25)*IF(F25&gt;5,1,IF(F25=5,0.9,IF(F25=4,0.8,0.7)))</f>
        <v>#DIV/0!</v>
      </c>
      <c r="C25" s="2" t="e">
        <f t="shared" ref="C25" si="3">E25/F25</f>
        <v>#DIV/0!</v>
      </c>
      <c r="D25" s="1">
        <f>0</f>
        <v>0</v>
      </c>
      <c r="E25" s="1">
        <f>0</f>
        <v>0</v>
      </c>
      <c r="F25" s="1">
        <f>0</f>
        <v>0</v>
      </c>
      <c r="I25" s="14" t="s">
        <v>125</v>
      </c>
      <c r="J25" s="2">
        <f>(L25/N25)*IF(N25&gt;5,1,IF(N25=5,0.9,IF(N25=4,0.8,0.7)))</f>
        <v>0.66666666666666663</v>
      </c>
      <c r="K25" s="2">
        <f>M25/N25</f>
        <v>-1.1666666666666667</v>
      </c>
      <c r="L25" s="1">
        <f>0+0+0+0+0+1+3</f>
        <v>4</v>
      </c>
      <c r="M25" s="1">
        <f>0+-1+-3+-3+-1+0+1</f>
        <v>-7</v>
      </c>
      <c r="N25" s="1">
        <f>0+1+1+1+1+1+1</f>
        <v>6</v>
      </c>
      <c r="W25" s="1">
        <v>25</v>
      </c>
      <c r="X25" s="13" t="s">
        <v>65</v>
      </c>
      <c r="Y25" t="s">
        <v>68</v>
      </c>
      <c r="AG25" s="18" t="s">
        <v>221</v>
      </c>
      <c r="AJ25" s="1" t="s">
        <v>150</v>
      </c>
    </row>
    <row r="26" spans="1:37">
      <c r="A26" t="s">
        <v>18</v>
      </c>
      <c r="B26" t="s">
        <v>136</v>
      </c>
      <c r="I26" s="14" t="s">
        <v>94</v>
      </c>
      <c r="J26" s="2">
        <f>(L26/N26)*IF(N26&gt;5,1,IF(N26=5,0.9,IF(N26=4,0.8,0.7)))</f>
        <v>0.60000000000000009</v>
      </c>
      <c r="K26" s="2">
        <f>M26/N26</f>
        <v>-1.75</v>
      </c>
      <c r="L26" s="1">
        <f>0+3+0+0+0</f>
        <v>3</v>
      </c>
      <c r="M26" s="1">
        <f>0+1+-3+-2+-3</f>
        <v>-7</v>
      </c>
      <c r="N26" s="1">
        <f>0+1+1+1+1</f>
        <v>4</v>
      </c>
      <c r="W26" s="1">
        <v>26</v>
      </c>
      <c r="X26" s="13" t="s">
        <v>66</v>
      </c>
      <c r="Y26" t="s">
        <v>69</v>
      </c>
      <c r="AG26" s="18" t="s">
        <v>221</v>
      </c>
      <c r="AJ26" s="1" t="s">
        <v>150</v>
      </c>
    </row>
    <row r="27" spans="1:37">
      <c r="A27" t="s">
        <v>14</v>
      </c>
      <c r="I27" s="14" t="s">
        <v>114</v>
      </c>
      <c r="J27" s="2">
        <f>(L27/N27)*IF(N27&gt;5,1,IF(N27=5,0.9,IF(N27=4,0.8,0.7)))</f>
        <v>0.60000000000000009</v>
      </c>
      <c r="K27" s="2">
        <f>M27/N27</f>
        <v>-2.25</v>
      </c>
      <c r="L27" s="1">
        <f>0+0+0+3+0</f>
        <v>3</v>
      </c>
      <c r="M27" s="1">
        <f>0+-2+-5+2+-4</f>
        <v>-9</v>
      </c>
      <c r="N27" s="1">
        <f>0+1+1+1+1</f>
        <v>4</v>
      </c>
      <c r="W27" s="1">
        <v>27</v>
      </c>
      <c r="X27" s="13" t="s">
        <v>67</v>
      </c>
      <c r="Y27" t="s">
        <v>70</v>
      </c>
      <c r="AG27" s="18" t="s">
        <v>226</v>
      </c>
      <c r="AK27" s="1" t="s">
        <v>153</v>
      </c>
    </row>
    <row r="28" spans="1:37">
      <c r="A28" t="s">
        <v>21</v>
      </c>
      <c r="I28" s="14" t="s">
        <v>93</v>
      </c>
      <c r="J28" s="2">
        <f>(L28/N28)*IF(N28&gt;5,1,IF(N28=5,0.9,IF(N28=4,0.8,0.7)))</f>
        <v>0.5</v>
      </c>
      <c r="K28" s="2">
        <f>M28/N28</f>
        <v>-1.5</v>
      </c>
      <c r="L28" s="1">
        <f>0+0+0+3+0+0+0</f>
        <v>3</v>
      </c>
      <c r="M28" s="1">
        <f>0+-2+-1+1+-4+-2+-1</f>
        <v>-9</v>
      </c>
      <c r="N28" s="1">
        <f>0+1+1+1+1+1+1</f>
        <v>6</v>
      </c>
      <c r="W28" s="1">
        <v>28</v>
      </c>
      <c r="AG28" s="18" t="s">
        <v>191</v>
      </c>
    </row>
    <row r="29" spans="1:37">
      <c r="A29" t="s">
        <v>147</v>
      </c>
      <c r="I29" s="14" t="s">
        <v>155</v>
      </c>
      <c r="J29" s="2">
        <f>(L29/N29)*IF(N29&gt;5,1,IF(N29=5,0.9,IF(N29=4,0.8,0.7)))</f>
        <v>0.46666666666666662</v>
      </c>
      <c r="K29" s="2">
        <f>M29/N29</f>
        <v>-0.33333333333333331</v>
      </c>
      <c r="L29" s="1">
        <f>0+1+1+0</f>
        <v>2</v>
      </c>
      <c r="M29" s="1">
        <f>0+0+0+-1</f>
        <v>-1</v>
      </c>
      <c r="N29" s="1">
        <f>0+1+1+1</f>
        <v>3</v>
      </c>
      <c r="W29" s="1">
        <v>29</v>
      </c>
      <c r="AG29" s="18" t="s">
        <v>225</v>
      </c>
    </row>
    <row r="30" spans="1:37">
      <c r="A30" t="s">
        <v>148</v>
      </c>
      <c r="I30" s="14" t="s">
        <v>159</v>
      </c>
      <c r="J30" s="2">
        <f>(L30/N30)*IF(N30&gt;5,1,IF(N30=5,0.9,IF(N30=4,0.8,0.7)))</f>
        <v>0.33333333333333331</v>
      </c>
      <c r="K30" s="2">
        <f>M30/N30</f>
        <v>-1.6666666666666667</v>
      </c>
      <c r="L30" s="1">
        <f>0+1+0+0+1+0+0</f>
        <v>2</v>
      </c>
      <c r="M30" s="1">
        <f>0+0+-3+-5+0+-1+-1</f>
        <v>-10</v>
      </c>
      <c r="N30" s="1">
        <f>0+1+1+1+1+1+1</f>
        <v>6</v>
      </c>
      <c r="W30" s="1">
        <v>30</v>
      </c>
      <c r="AG30" s="18" t="s">
        <v>193</v>
      </c>
    </row>
    <row r="31" spans="1:37">
      <c r="A31" t="s">
        <v>149</v>
      </c>
      <c r="I31" s="14" t="s">
        <v>137</v>
      </c>
      <c r="J31" s="2">
        <f>(L31/N31)*IF(N31&gt;5,1,IF(N31=5,0.9,IF(N31=4,0.8,0.7)))</f>
        <v>0.23333333333333331</v>
      </c>
      <c r="K31" s="2">
        <f>M31/N31</f>
        <v>-1.6666666666666667</v>
      </c>
      <c r="L31" s="1">
        <f>0+1+0+0</f>
        <v>1</v>
      </c>
      <c r="M31" s="1">
        <f>0+0+-4+-1</f>
        <v>-5</v>
      </c>
      <c r="N31" s="1">
        <f>0+1+1+1</f>
        <v>3</v>
      </c>
      <c r="W31" s="1">
        <v>31</v>
      </c>
      <c r="AG31" s="18" t="s">
        <v>191</v>
      </c>
    </row>
    <row r="32" spans="1:37">
      <c r="I32" s="14" t="s">
        <v>171</v>
      </c>
      <c r="J32" s="2">
        <f>(L32/N32)*IF(N32&gt;5,1,IF(N32=5,0.9,IF(N32=4,0.8,0.7)))</f>
        <v>0</v>
      </c>
      <c r="K32" s="2">
        <f>M32/N32</f>
        <v>-1</v>
      </c>
      <c r="L32" s="1">
        <f>0+0+0+0</f>
        <v>0</v>
      </c>
      <c r="M32" s="1">
        <f>0+-1+-1+-1</f>
        <v>-3</v>
      </c>
      <c r="N32" s="1">
        <f>0+1+1+1</f>
        <v>3</v>
      </c>
      <c r="W32" s="1">
        <v>32</v>
      </c>
      <c r="AG32" s="18" t="s">
        <v>226</v>
      </c>
    </row>
    <row r="33" spans="9:33">
      <c r="I33" s="14" t="s">
        <v>158</v>
      </c>
      <c r="J33" s="2">
        <f>(L33/N33)*IF(N33&gt;5,1,IF(N33=5,0.9,IF(N33=4,0.8,0.7)))</f>
        <v>0</v>
      </c>
      <c r="K33" s="2">
        <f>M33/N33</f>
        <v>-1.3333333333333333</v>
      </c>
      <c r="L33" s="1">
        <f>0+0+0+0</f>
        <v>0</v>
      </c>
      <c r="M33" s="1">
        <f>0+-1+-1+-2</f>
        <v>-4</v>
      </c>
      <c r="N33" s="1">
        <f>0+1+1+1</f>
        <v>3</v>
      </c>
      <c r="W33" s="1">
        <v>33</v>
      </c>
      <c r="AG33" s="18" t="s">
        <v>193</v>
      </c>
    </row>
    <row r="34" spans="9:33">
      <c r="I34" s="14" t="s">
        <v>91</v>
      </c>
      <c r="J34" s="2">
        <f>(L34/N34)*IF(N34&gt;5,1,IF(N34=5,0.9,IF(N34=4,0.8,0.7)))</f>
        <v>1.0499999999999998</v>
      </c>
      <c r="K34" s="2">
        <f>M34/N34</f>
        <v>0</v>
      </c>
      <c r="L34" s="1">
        <f>0+0+3</f>
        <v>3</v>
      </c>
      <c r="M34" s="1">
        <f>0+-1+1</f>
        <v>0</v>
      </c>
      <c r="N34" s="1">
        <f>0+1+1</f>
        <v>2</v>
      </c>
      <c r="W34" s="1">
        <v>34</v>
      </c>
      <c r="AG34" s="18" t="s">
        <v>212</v>
      </c>
    </row>
    <row r="35" spans="9:33">
      <c r="I35" s="14" t="s">
        <v>239</v>
      </c>
      <c r="J35" s="2">
        <f>(L35/N35)*IF(N35&gt;5,1,IF(N35=5,0.9,IF(N35=4,0.8,0.7)))</f>
        <v>2.0999999999999996</v>
      </c>
      <c r="K35" s="2">
        <f>M35/N35</f>
        <v>1</v>
      </c>
      <c r="L35" s="1">
        <f>0+3</f>
        <v>3</v>
      </c>
      <c r="M35" s="1">
        <f>0+1</f>
        <v>1</v>
      </c>
      <c r="N35" s="1">
        <f>0+1</f>
        <v>1</v>
      </c>
      <c r="W35" s="1">
        <v>35</v>
      </c>
      <c r="AG35" s="18" t="s">
        <v>213</v>
      </c>
    </row>
    <row r="36" spans="9:33">
      <c r="I36" s="14" t="s">
        <v>160</v>
      </c>
      <c r="J36" s="2">
        <f>(L36/N36)*IF(N36&gt;5,1,IF(N36=5,0.9,IF(N36=4,0.8,0.7)))</f>
        <v>0.7</v>
      </c>
      <c r="K36" s="2">
        <f>M36/N36</f>
        <v>0</v>
      </c>
      <c r="L36" s="1">
        <f>0+1</f>
        <v>1</v>
      </c>
      <c r="M36" s="1">
        <f>0+0</f>
        <v>0</v>
      </c>
      <c r="N36" s="1">
        <f>0+1</f>
        <v>1</v>
      </c>
      <c r="W36" s="1">
        <v>36</v>
      </c>
      <c r="AG36" s="18" t="s">
        <v>225</v>
      </c>
    </row>
    <row r="37" spans="9:33">
      <c r="I37" s="14" t="s">
        <v>238</v>
      </c>
      <c r="J37" s="2">
        <f>(L37/N37)*IF(N37&gt;5,1,IF(N37=5,0.9,IF(N37=4,0.8,0.7)))</f>
        <v>0</v>
      </c>
      <c r="K37" s="2">
        <f>M37/N37</f>
        <v>-1</v>
      </c>
      <c r="L37" s="1">
        <f>0+0</f>
        <v>0</v>
      </c>
      <c r="M37" s="1">
        <f>0+-1</f>
        <v>-1</v>
      </c>
      <c r="N37" s="1">
        <f>0+1</f>
        <v>1</v>
      </c>
      <c r="W37" s="1">
        <v>37</v>
      </c>
      <c r="AG37" s="18" t="s">
        <v>225</v>
      </c>
    </row>
    <row r="38" spans="9:33">
      <c r="I38" s="14" t="s">
        <v>244</v>
      </c>
      <c r="J38" s="2">
        <f>(L38/N38)*IF(N38&gt;5,1,IF(N38=5,0.9,IF(N38=4,0.8,0.7)))</f>
        <v>0</v>
      </c>
      <c r="K38" s="2">
        <f>M38/N38</f>
        <v>-1</v>
      </c>
      <c r="L38" s="1">
        <f>0+0</f>
        <v>0</v>
      </c>
      <c r="M38" s="1">
        <f>0+-1</f>
        <v>-1</v>
      </c>
      <c r="N38" s="1">
        <f>0+1</f>
        <v>1</v>
      </c>
      <c r="W38" s="1">
        <v>38</v>
      </c>
      <c r="AG38" s="18" t="s">
        <v>193</v>
      </c>
    </row>
    <row r="39" spans="9:33">
      <c r="I39" s="14" t="s">
        <v>214</v>
      </c>
      <c r="J39" s="2">
        <f>(L39/N39)*IF(N39&gt;5,1,IF(N39=5,0.9,IF(N39=4,0.8,0.7)))</f>
        <v>0</v>
      </c>
      <c r="K39" s="2">
        <f>M39/N39</f>
        <v>-3</v>
      </c>
      <c r="L39" s="1">
        <f>0+0</f>
        <v>0</v>
      </c>
      <c r="M39" s="1">
        <f>0+-3</f>
        <v>-3</v>
      </c>
      <c r="N39" s="1">
        <f>0+1</f>
        <v>1</v>
      </c>
      <c r="W39" s="1">
        <v>39</v>
      </c>
      <c r="AG39" s="18" t="s">
        <v>226</v>
      </c>
    </row>
    <row r="40" spans="9:33">
      <c r="I40"/>
      <c r="W40" s="1">
        <v>40</v>
      </c>
    </row>
    <row r="41" spans="9:33">
      <c r="I41"/>
      <c r="W41" s="1">
        <v>41</v>
      </c>
    </row>
    <row r="42" spans="9:33">
      <c r="I42"/>
      <c r="W42" s="1">
        <v>42</v>
      </c>
    </row>
    <row r="43" spans="9:33">
      <c r="I43"/>
      <c r="W43" s="1">
        <v>43</v>
      </c>
    </row>
    <row r="44" spans="9:33">
      <c r="I44"/>
      <c r="W44" s="1">
        <v>44</v>
      </c>
    </row>
    <row r="45" spans="9:33">
      <c r="I45"/>
      <c r="W45" s="1">
        <v>45</v>
      </c>
    </row>
    <row r="46" spans="9:33">
      <c r="I46"/>
      <c r="W46" s="1">
        <v>46</v>
      </c>
    </row>
    <row r="47" spans="9:33">
      <c r="I47"/>
      <c r="W47" s="1">
        <v>47</v>
      </c>
    </row>
    <row r="48" spans="9:33">
      <c r="I48"/>
      <c r="W48" s="1">
        <v>48</v>
      </c>
    </row>
    <row r="49" spans="9:23">
      <c r="I49"/>
      <c r="W49" s="1">
        <v>49</v>
      </c>
    </row>
    <row r="50" spans="9:23">
      <c r="I50"/>
      <c r="W50" s="1">
        <v>50</v>
      </c>
    </row>
    <row r="51" spans="9:23">
      <c r="I51"/>
      <c r="W51" s="1">
        <v>51</v>
      </c>
    </row>
    <row r="52" spans="9:23">
      <c r="I52"/>
      <c r="W52" s="1">
        <v>52</v>
      </c>
    </row>
    <row r="53" spans="9:23">
      <c r="I53"/>
      <c r="W53" s="1">
        <v>53</v>
      </c>
    </row>
    <row r="54" spans="9:23">
      <c r="I54"/>
      <c r="W54" s="1">
        <v>54</v>
      </c>
    </row>
    <row r="55" spans="9:23">
      <c r="I55"/>
      <c r="W55" s="1">
        <v>55</v>
      </c>
    </row>
    <row r="56" spans="9:23">
      <c r="I56"/>
      <c r="W56" s="1">
        <v>56</v>
      </c>
    </row>
    <row r="57" spans="9:23">
      <c r="I57"/>
      <c r="W57" s="1">
        <v>57</v>
      </c>
    </row>
    <row r="58" spans="9:23">
      <c r="I58"/>
      <c r="W58" s="1">
        <v>58</v>
      </c>
    </row>
    <row r="59" spans="9:23">
      <c r="I59"/>
      <c r="W59" s="1">
        <v>59</v>
      </c>
    </row>
    <row r="60" spans="9:23">
      <c r="I60"/>
      <c r="W60" s="1">
        <v>60</v>
      </c>
    </row>
    <row r="61" spans="9:23">
      <c r="I61"/>
      <c r="W61" s="1">
        <v>61</v>
      </c>
    </row>
    <row r="62" spans="9:23">
      <c r="I62"/>
      <c r="W62" s="1">
        <v>62</v>
      </c>
    </row>
    <row r="63" spans="9:23">
      <c r="I63"/>
      <c r="W63" s="1">
        <v>63</v>
      </c>
    </row>
    <row r="64" spans="9:23">
      <c r="I64"/>
      <c r="W64" s="1">
        <v>64</v>
      </c>
    </row>
    <row r="65" spans="9:23">
      <c r="I65"/>
      <c r="W65" s="1">
        <v>65</v>
      </c>
    </row>
    <row r="66" spans="9:23">
      <c r="I66"/>
      <c r="W66" s="1">
        <v>66</v>
      </c>
    </row>
    <row r="67" spans="9:23">
      <c r="I67"/>
      <c r="W67" s="1">
        <v>67</v>
      </c>
    </row>
    <row r="68" spans="9:23">
      <c r="I68"/>
      <c r="W68" s="1">
        <v>68</v>
      </c>
    </row>
    <row r="69" spans="9:23">
      <c r="I69"/>
      <c r="W69" s="1">
        <v>69</v>
      </c>
    </row>
    <row r="70" spans="9:23">
      <c r="I70"/>
      <c r="W70" s="1">
        <v>70</v>
      </c>
    </row>
    <row r="71" spans="9:23">
      <c r="W71" s="1">
        <v>71</v>
      </c>
    </row>
    <row r="72" spans="9:23">
      <c r="W72" s="1">
        <v>72</v>
      </c>
    </row>
    <row r="73" spans="9:23">
      <c r="W73" s="1">
        <v>73</v>
      </c>
    </row>
    <row r="74" spans="9:23">
      <c r="W74" s="1">
        <v>74</v>
      </c>
    </row>
    <row r="75" spans="9:23">
      <c r="W75" s="1">
        <v>75</v>
      </c>
    </row>
    <row r="76" spans="9:23">
      <c r="W76" s="1">
        <v>76</v>
      </c>
    </row>
    <row r="77" spans="9:23">
      <c r="W77" s="1">
        <v>77</v>
      </c>
    </row>
    <row r="78" spans="9:23">
      <c r="W78" s="1">
        <v>78</v>
      </c>
    </row>
    <row r="79" spans="9:23">
      <c r="W79" s="1">
        <v>79</v>
      </c>
    </row>
    <row r="80" spans="9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K99"/>
  <sheetViews>
    <sheetView tabSelected="1" zoomScale="73" zoomScaleNormal="73" workbookViewId="0">
      <selection activeCell="S29" sqref="S29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style="14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4.85546875" style="1" customWidth="1"/>
    <col min="29" max="29" width="2.140625" style="8" customWidth="1"/>
    <col min="30" max="31" width="4.85546875" style="1" customWidth="1"/>
    <col min="32" max="32" width="2.140625" style="8" customWidth="1"/>
    <col min="33" max="33" width="4.85546875" style="18" customWidth="1"/>
    <col min="34" max="34" width="2.140625" style="8" customWidth="1"/>
    <col min="35" max="35" width="9.7109375" customWidth="1"/>
    <col min="36" max="37" width="4.28515625" style="1" customWidth="1"/>
  </cols>
  <sheetData>
    <row r="1" spans="1:35">
      <c r="A1" s="4" t="s">
        <v>159</v>
      </c>
      <c r="B1" s="4" t="s">
        <v>90</v>
      </c>
      <c r="C1" s="5"/>
      <c r="D1" s="5"/>
      <c r="E1" s="1">
        <f t="shared" ref="E1:E8" si="0">C1-D1</f>
        <v>0</v>
      </c>
      <c r="F1" s="1">
        <f t="shared" ref="F1:F8" si="1">D1-C1</f>
        <v>0</v>
      </c>
      <c r="G1" s="10">
        <v>0.78125</v>
      </c>
      <c r="H1" s="17"/>
      <c r="I1" s="14" t="s">
        <v>163</v>
      </c>
      <c r="J1" s="2">
        <f>(L1/N1)*IF(N1&gt;5,1,IF(N1=5,0.9,IF(N1=4,0.8,0.7)))</f>
        <v>2.6666666666666665</v>
      </c>
      <c r="K1" s="2">
        <f>M1/N1</f>
        <v>1.8333333333333333</v>
      </c>
      <c r="L1" s="1">
        <f>0+3+1+3+3+3+3</f>
        <v>16</v>
      </c>
      <c r="M1" s="1">
        <f>0+1+0+5+1+1+3</f>
        <v>11</v>
      </c>
      <c r="N1" s="1">
        <f>0+1+1+1+1+1+1</f>
        <v>6</v>
      </c>
      <c r="P1" t="s">
        <v>250</v>
      </c>
      <c r="Q1" s="2" t="s">
        <v>266</v>
      </c>
      <c r="S1" s="1" t="s">
        <v>256</v>
      </c>
      <c r="U1" s="1" t="s">
        <v>247</v>
      </c>
      <c r="V1" s="1"/>
      <c r="W1" s="1">
        <v>1</v>
      </c>
      <c r="X1" s="12" t="s">
        <v>60</v>
      </c>
      <c r="Y1" s="4" t="s">
        <v>38</v>
      </c>
      <c r="AA1" s="18" t="s">
        <v>198</v>
      </c>
      <c r="AB1" s="18" t="s">
        <v>193</v>
      </c>
      <c r="AD1" s="1">
        <v>30</v>
      </c>
      <c r="AE1" s="1">
        <v>3</v>
      </c>
      <c r="AG1" s="18" t="s">
        <v>193</v>
      </c>
      <c r="AI1" s="12"/>
    </row>
    <row r="2" spans="1:35">
      <c r="A2" s="4" t="s">
        <v>86</v>
      </c>
      <c r="B2" s="4" t="s">
        <v>178</v>
      </c>
      <c r="C2" s="5"/>
      <c r="D2" s="5"/>
      <c r="E2" s="1">
        <f t="shared" si="0"/>
        <v>0</v>
      </c>
      <c r="F2" s="1">
        <f t="shared" si="1"/>
        <v>0</v>
      </c>
      <c r="G2" s="10">
        <v>0.78125</v>
      </c>
      <c r="H2" s="17"/>
      <c r="I2" s="14" t="s">
        <v>167</v>
      </c>
      <c r="J2" s="2">
        <f>(L2/N2)*IF(N2&gt;5,1,IF(N2=5,0.9,IF(N2=4,0.8,0.7)))</f>
        <v>2.4285714285714284</v>
      </c>
      <c r="K2" s="2">
        <f>M2/N2</f>
        <v>1</v>
      </c>
      <c r="L2" s="1">
        <f>0+1+3+3+3+1+3+3</f>
        <v>17</v>
      </c>
      <c r="M2" s="1">
        <f>0+0+1+1+1+0+2+2</f>
        <v>7</v>
      </c>
      <c r="N2" s="1">
        <f>0+1+1+1+1+1+1+1</f>
        <v>7</v>
      </c>
      <c r="P2" t="s">
        <v>251</v>
      </c>
      <c r="Q2" s="2" t="s">
        <v>263</v>
      </c>
      <c r="S2" s="1" t="s">
        <v>257</v>
      </c>
      <c r="U2" s="1" t="s">
        <v>265</v>
      </c>
      <c r="W2" s="1">
        <v>2</v>
      </c>
      <c r="X2" s="12" t="s">
        <v>60</v>
      </c>
      <c r="Y2" s="4" t="s">
        <v>38</v>
      </c>
      <c r="AA2" s="18" t="s">
        <v>270</v>
      </c>
      <c r="AB2" s="18" t="s">
        <v>212</v>
      </c>
      <c r="AD2" s="1">
        <v>22</v>
      </c>
      <c r="AE2" s="1">
        <v>8</v>
      </c>
      <c r="AG2" s="18" t="s">
        <v>212</v>
      </c>
      <c r="AI2" s="12"/>
    </row>
    <row r="3" spans="1:35">
      <c r="A3" s="4" t="s">
        <v>85</v>
      </c>
      <c r="B3" s="4" t="s">
        <v>167</v>
      </c>
      <c r="C3" s="5"/>
      <c r="D3" s="5"/>
      <c r="E3" s="1">
        <f t="shared" si="0"/>
        <v>0</v>
      </c>
      <c r="F3" s="1">
        <f t="shared" si="1"/>
        <v>0</v>
      </c>
      <c r="G3" s="10">
        <v>0.875</v>
      </c>
      <c r="H3" s="17"/>
      <c r="I3" s="14" t="s">
        <v>90</v>
      </c>
      <c r="J3" s="2">
        <f>(L3/N3)*IF(N3&gt;5,1,IF(N3=5,0.9,IF(N3=4,0.8,0.7)))</f>
        <v>2.2857142857142856</v>
      </c>
      <c r="K3" s="2">
        <f>M3/N3</f>
        <v>1.2857142857142858</v>
      </c>
      <c r="L3" s="1">
        <f>0+1+3+3+3+3+0+3</f>
        <v>16</v>
      </c>
      <c r="M3" s="1">
        <f>0+0+2+3+3+5+-5+1</f>
        <v>9</v>
      </c>
      <c r="N3" s="1">
        <f>0+1+1+1+1+1+1+1</f>
        <v>7</v>
      </c>
      <c r="P3" t="s">
        <v>252</v>
      </c>
      <c r="Q3" s="2" t="s">
        <v>265</v>
      </c>
      <c r="S3" s="1" t="s">
        <v>258</v>
      </c>
      <c r="U3" s="1" t="s">
        <v>267</v>
      </c>
      <c r="W3" s="1">
        <v>3</v>
      </c>
      <c r="X3" s="12" t="s">
        <v>60</v>
      </c>
      <c r="Y3" s="4" t="s">
        <v>38</v>
      </c>
      <c r="AA3" s="18" t="s">
        <v>198</v>
      </c>
      <c r="AB3" s="18" t="s">
        <v>212</v>
      </c>
      <c r="AD3" s="1">
        <v>10</v>
      </c>
      <c r="AE3" s="1">
        <v>2</v>
      </c>
      <c r="AG3" s="18" t="s">
        <v>193</v>
      </c>
      <c r="AI3" s="12"/>
    </row>
    <row r="4" spans="1:35">
      <c r="A4" s="4"/>
      <c r="B4" s="4"/>
      <c r="C4" s="5"/>
      <c r="D4" s="5"/>
      <c r="E4" s="1">
        <f t="shared" si="0"/>
        <v>0</v>
      </c>
      <c r="F4" s="1">
        <f t="shared" si="1"/>
        <v>0</v>
      </c>
      <c r="G4" s="10"/>
      <c r="H4" s="17"/>
      <c r="I4" s="14" t="s">
        <v>123</v>
      </c>
      <c r="J4" s="2">
        <f>(L4/N4)*IF(N4&gt;5,1,IF(N4=5,0.9,IF(N4=4,0.8,0.7)))</f>
        <v>2.2222222222222223</v>
      </c>
      <c r="K4" s="2">
        <f>M4/N4</f>
        <v>1.7777777777777777</v>
      </c>
      <c r="L4" s="1">
        <f>0+1+3+3+1+3+3+3+0+3</f>
        <v>20</v>
      </c>
      <c r="M4" s="1">
        <f>0+0+1+4+0+1+5+2+-1+4</f>
        <v>16</v>
      </c>
      <c r="N4" s="1">
        <f>0+1+1+1+1+1+1+1+1+1</f>
        <v>9</v>
      </c>
      <c r="V4" s="1"/>
      <c r="W4" s="1">
        <v>4</v>
      </c>
      <c r="X4" s="12"/>
      <c r="Y4" s="4"/>
      <c r="AA4" s="18"/>
      <c r="AB4" s="18"/>
      <c r="AG4" s="18" t="s">
        <v>225</v>
      </c>
      <c r="AI4" s="12" t="s">
        <v>249</v>
      </c>
    </row>
    <row r="5" spans="1:35">
      <c r="A5" s="4" t="s">
        <v>95</v>
      </c>
      <c r="B5" s="4" t="s">
        <v>84</v>
      </c>
      <c r="C5" s="5"/>
      <c r="D5" s="5"/>
      <c r="E5" s="1">
        <f t="shared" si="0"/>
        <v>0</v>
      </c>
      <c r="F5" s="1">
        <f t="shared" si="1"/>
        <v>0</v>
      </c>
      <c r="G5" s="10">
        <v>0.875</v>
      </c>
      <c r="H5" s="17"/>
      <c r="I5" s="14" t="s">
        <v>164</v>
      </c>
      <c r="J5" s="2">
        <f>(L5/N5)*IF(N5&gt;5,1,IF(N5=5,0.9,IF(N5=4,0.8,0.7)))</f>
        <v>2.0999999999999996</v>
      </c>
      <c r="K5" s="2">
        <f>M5/N5</f>
        <v>3.3333333333333335</v>
      </c>
      <c r="L5" s="1">
        <f>0+3+3+3</f>
        <v>9</v>
      </c>
      <c r="M5" s="1">
        <f>0+4+4+2</f>
        <v>10</v>
      </c>
      <c r="N5" s="1">
        <f>0+1+1+1</f>
        <v>3</v>
      </c>
      <c r="P5" t="s">
        <v>253</v>
      </c>
      <c r="Q5" s="2" t="s">
        <v>264</v>
      </c>
      <c r="S5" s="1" t="s">
        <v>259</v>
      </c>
      <c r="U5" s="1" t="s">
        <v>265</v>
      </c>
      <c r="W5" s="1">
        <v>5</v>
      </c>
      <c r="X5" s="12" t="s">
        <v>60</v>
      </c>
      <c r="Y5" s="4" t="s">
        <v>38</v>
      </c>
      <c r="AA5" s="18" t="s">
        <v>199</v>
      </c>
      <c r="AB5" s="18" t="s">
        <v>193</v>
      </c>
      <c r="AD5" s="1">
        <v>7</v>
      </c>
      <c r="AE5" s="1">
        <v>12</v>
      </c>
      <c r="AG5" s="18" t="s">
        <v>193</v>
      </c>
      <c r="AI5" s="12"/>
    </row>
    <row r="6" spans="1:35">
      <c r="A6" s="4" t="s">
        <v>126</v>
      </c>
      <c r="B6" s="4" t="s">
        <v>139</v>
      </c>
      <c r="C6" s="5"/>
      <c r="D6" s="5"/>
      <c r="E6" s="1">
        <f t="shared" si="0"/>
        <v>0</v>
      </c>
      <c r="F6" s="1">
        <f t="shared" si="1"/>
        <v>0</v>
      </c>
      <c r="G6" s="10">
        <v>0.875</v>
      </c>
      <c r="H6" s="17"/>
      <c r="I6" s="14" t="s">
        <v>89</v>
      </c>
      <c r="J6" s="2">
        <f>(L6/N6)*IF(N6&gt;5,1,IF(N6=5,0.9,IF(N6=4,0.8,0.7)))</f>
        <v>2</v>
      </c>
      <c r="K6" s="2">
        <f>M6/N6</f>
        <v>2</v>
      </c>
      <c r="L6" s="1">
        <f>0+1+3+3+3</f>
        <v>10</v>
      </c>
      <c r="M6" s="1">
        <f>0+0+1+2+5</f>
        <v>8</v>
      </c>
      <c r="N6" s="1">
        <f>0+1+1+1+1</f>
        <v>4</v>
      </c>
      <c r="P6" t="s">
        <v>252</v>
      </c>
      <c r="Q6" s="2" t="s">
        <v>265</v>
      </c>
      <c r="S6" s="1" t="s">
        <v>260</v>
      </c>
      <c r="U6" s="1" t="s">
        <v>268</v>
      </c>
      <c r="W6" s="1">
        <v>6</v>
      </c>
      <c r="X6" s="12" t="s">
        <v>60</v>
      </c>
      <c r="Y6" s="4" t="s">
        <v>38</v>
      </c>
      <c r="AA6" s="1" t="s">
        <v>240</v>
      </c>
      <c r="AB6" s="1" t="s">
        <v>191</v>
      </c>
      <c r="AD6" s="1">
        <v>11</v>
      </c>
      <c r="AE6" s="1">
        <v>13</v>
      </c>
      <c r="AG6" s="18" t="s">
        <v>224</v>
      </c>
      <c r="AI6" s="12"/>
    </row>
    <row r="7" spans="1:35">
      <c r="A7" s="4" t="s">
        <v>123</v>
      </c>
      <c r="B7" s="4" t="s">
        <v>138</v>
      </c>
      <c r="C7" s="5"/>
      <c r="D7" s="5"/>
      <c r="E7" s="1">
        <f t="shared" si="0"/>
        <v>0</v>
      </c>
      <c r="F7" s="1">
        <f t="shared" si="1"/>
        <v>0</v>
      </c>
      <c r="G7" s="10">
        <v>0.875</v>
      </c>
      <c r="H7" s="17"/>
      <c r="I7" s="14" t="s">
        <v>95</v>
      </c>
      <c r="J7" s="2">
        <f>(L7/N7)*IF(N7&gt;5,1,IF(N7=5,0.9,IF(N7=4,0.8,0.7)))</f>
        <v>1.8571428571428572</v>
      </c>
      <c r="K7" s="2">
        <f>M7/N7</f>
        <v>1.1428571428571428</v>
      </c>
      <c r="L7" s="1">
        <f>0+0+3+3+3+0+1+3</f>
        <v>13</v>
      </c>
      <c r="M7" s="1">
        <f>0+-1+5+3+1+-2+0+2</f>
        <v>8</v>
      </c>
      <c r="N7" s="1">
        <f>0+1+1+1+1+1+1+1</f>
        <v>7</v>
      </c>
      <c r="P7" t="s">
        <v>254</v>
      </c>
      <c r="Q7" s="2" t="s">
        <v>247</v>
      </c>
      <c r="S7" s="1" t="s">
        <v>261</v>
      </c>
      <c r="U7" s="1" t="s">
        <v>269</v>
      </c>
      <c r="W7" s="1">
        <v>7</v>
      </c>
      <c r="X7" s="12" t="s">
        <v>60</v>
      </c>
      <c r="Y7" s="4" t="s">
        <v>38</v>
      </c>
      <c r="AA7" s="18" t="s">
        <v>206</v>
      </c>
      <c r="AB7" s="18" t="s">
        <v>193</v>
      </c>
      <c r="AD7" s="1">
        <v>4</v>
      </c>
      <c r="AE7" s="1">
        <v>17</v>
      </c>
      <c r="AG7" s="18" t="s">
        <v>191</v>
      </c>
      <c r="AI7" s="12"/>
    </row>
    <row r="8" spans="1:35">
      <c r="A8" s="4" t="s">
        <v>137</v>
      </c>
      <c r="B8" s="4" t="s">
        <v>93</v>
      </c>
      <c r="C8" s="5"/>
      <c r="D8" s="5"/>
      <c r="E8" s="1">
        <f t="shared" si="0"/>
        <v>0</v>
      </c>
      <c r="F8" s="1">
        <f t="shared" si="1"/>
        <v>0</v>
      </c>
      <c r="G8" s="10">
        <v>0.875</v>
      </c>
      <c r="H8" s="17"/>
      <c r="I8" s="14" t="s">
        <v>178</v>
      </c>
      <c r="J8" s="2">
        <f>(L8/N8)*IF(N8&gt;5,1,IF(N8=5,0.9,IF(N8=4,0.8,0.7)))</f>
        <v>1.6666666666666667</v>
      </c>
      <c r="K8" s="2">
        <f>M8/N8</f>
        <v>-0.33333333333333331</v>
      </c>
      <c r="L8" s="1">
        <f>0+3+3+0+3+1+0</f>
        <v>10</v>
      </c>
      <c r="M8" s="1">
        <f>0+1+1+-5+3+0+-2</f>
        <v>-2</v>
      </c>
      <c r="N8" s="1">
        <f>0+1+1+1+1+1+1</f>
        <v>6</v>
      </c>
      <c r="P8" t="s">
        <v>255</v>
      </c>
      <c r="Q8" s="2" t="s">
        <v>266</v>
      </c>
      <c r="S8" s="1" t="s">
        <v>262</v>
      </c>
      <c r="U8" s="1" t="s">
        <v>266</v>
      </c>
      <c r="W8" s="1">
        <v>8</v>
      </c>
      <c r="X8" s="12" t="s">
        <v>60</v>
      </c>
      <c r="Y8" s="4" t="s">
        <v>38</v>
      </c>
      <c r="AA8" s="18" t="s">
        <v>199</v>
      </c>
      <c r="AB8" s="18" t="s">
        <v>191</v>
      </c>
      <c r="AD8" s="1">
        <v>31</v>
      </c>
      <c r="AE8" s="1">
        <v>28</v>
      </c>
      <c r="AG8" s="18" t="s">
        <v>212</v>
      </c>
      <c r="AI8" s="12"/>
    </row>
    <row r="9" spans="1:35">
      <c r="A9" t="s">
        <v>6</v>
      </c>
      <c r="C9"/>
      <c r="D9"/>
      <c r="E9"/>
      <c r="F9"/>
      <c r="G9" s="15"/>
      <c r="H9" s="7"/>
      <c r="I9" s="14" t="s">
        <v>156</v>
      </c>
      <c r="J9" s="2">
        <f>(L9/N9)*IF(N9&gt;5,1,IF(N9=5,0.9,IF(N9=4,0.8,0.7)))</f>
        <v>1.6333333333333333</v>
      </c>
      <c r="K9" s="2">
        <f>M9/N9</f>
        <v>1</v>
      </c>
      <c r="L9" s="1">
        <f>0+1+3+3</f>
        <v>7</v>
      </c>
      <c r="M9" s="1">
        <f>0+0+1+2</f>
        <v>3</v>
      </c>
      <c r="N9" s="1">
        <f>0+1+1+1</f>
        <v>3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/>
      <c r="AE9" s="3"/>
      <c r="AG9" s="18" t="s">
        <v>193</v>
      </c>
      <c r="AI9" s="16" t="s">
        <v>248</v>
      </c>
    </row>
    <row r="10" spans="1:35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I10" s="14" t="s">
        <v>85</v>
      </c>
      <c r="J10" s="2">
        <f>(L10/N10)*IF(N10&gt;5,1,IF(N10=5,0.9,IF(N10=4,0.8,0.7)))</f>
        <v>1.5714285714285714</v>
      </c>
      <c r="K10" s="2">
        <f>M10/N10</f>
        <v>0.5714285714285714</v>
      </c>
      <c r="L10" s="1">
        <f>0+1+3+1+3+3+0+0</f>
        <v>11</v>
      </c>
      <c r="M10" s="1">
        <f>0+0+2+0+1+3+-1+-1</f>
        <v>4</v>
      </c>
      <c r="N10" s="1">
        <f>0+1+1+1+1+1+1+1</f>
        <v>7</v>
      </c>
      <c r="W10" s="1">
        <v>10</v>
      </c>
      <c r="X10" s="13" t="s">
        <v>54</v>
      </c>
      <c r="Y10" t="s">
        <v>38</v>
      </c>
      <c r="AG10" s="18" t="s">
        <v>193</v>
      </c>
    </row>
    <row r="11" spans="1:35">
      <c r="A11" t="s">
        <v>7</v>
      </c>
      <c r="C11"/>
      <c r="D11"/>
      <c r="E11"/>
      <c r="F11"/>
      <c r="I11" s="14" t="s">
        <v>126</v>
      </c>
      <c r="J11" s="2">
        <f>(L11/N11)*IF(N11&gt;5,1,IF(N11=5,0.9,IF(N11=4,0.8,0.7)))</f>
        <v>1.5714285714285714</v>
      </c>
      <c r="K11" s="2">
        <f>M11/N11</f>
        <v>0.42857142857142855</v>
      </c>
      <c r="L11" s="1">
        <f>0+1+1+3+3+0+3+0</f>
        <v>11</v>
      </c>
      <c r="M11" s="1">
        <f>0+0+0+1+2+-1+3+-2</f>
        <v>3</v>
      </c>
      <c r="N11" s="1">
        <f>0+1+1+1+1+1+1+1</f>
        <v>7</v>
      </c>
      <c r="T11" s="1">
        <v>33</v>
      </c>
      <c r="W11" s="1">
        <v>11</v>
      </c>
      <c r="X11" s="13" t="s">
        <v>55</v>
      </c>
      <c r="Y11" t="s">
        <v>39</v>
      </c>
      <c r="AG11" s="18" t="s">
        <v>213</v>
      </c>
    </row>
    <row r="12" spans="1:35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I12" s="14" t="s">
        <v>84</v>
      </c>
      <c r="J12" s="2">
        <f>(L12/N12)*IF(N12&gt;5,1,IF(N12=5,0.9,IF(N12=4,0.8,0.7)))</f>
        <v>1.4400000000000002</v>
      </c>
      <c r="K12" s="2">
        <f>M12/N12</f>
        <v>0.4</v>
      </c>
      <c r="L12" s="1">
        <f>0+0+3+3+1+1</f>
        <v>8</v>
      </c>
      <c r="M12" s="1">
        <f>0-1+2+1+0+0</f>
        <v>2</v>
      </c>
      <c r="N12" s="1">
        <f>0+1+1+1+1+1</f>
        <v>5</v>
      </c>
      <c r="W12" s="1">
        <v>12</v>
      </c>
      <c r="X12" s="13" t="s">
        <v>25</v>
      </c>
      <c r="Y12" t="s">
        <v>40</v>
      </c>
      <c r="AG12" s="18" t="s">
        <v>193</v>
      </c>
    </row>
    <row r="13" spans="1:35">
      <c r="A13" t="s">
        <v>15</v>
      </c>
      <c r="C13"/>
      <c r="D13"/>
      <c r="E13"/>
      <c r="F13"/>
      <c r="I13" s="14" t="s">
        <v>139</v>
      </c>
      <c r="J13" s="2">
        <f>(L13/N13)*IF(N13&gt;5,1,IF(N13=5,0.9,IF(N13=4,0.8,0.7)))</f>
        <v>1.3333333333333333</v>
      </c>
      <c r="K13" s="2">
        <f>M13/N13</f>
        <v>0.1111111111111111</v>
      </c>
      <c r="L13" s="1">
        <f>0+3+0+1+0+3+0+3+1+1</f>
        <v>12</v>
      </c>
      <c r="M13" s="1">
        <f>0+2+-1+0+-1+1+-1+1+0+0</f>
        <v>1</v>
      </c>
      <c r="N13" s="1">
        <f>0+1+1+1+1+1+1+1+1+1</f>
        <v>9</v>
      </c>
      <c r="W13" s="1">
        <v>13</v>
      </c>
      <c r="X13" s="13" t="s">
        <v>29</v>
      </c>
      <c r="Y13" t="s">
        <v>45</v>
      </c>
      <c r="AG13" s="18" t="s">
        <v>191</v>
      </c>
    </row>
    <row r="14" spans="1:35">
      <c r="A14" s="3" t="s">
        <v>30</v>
      </c>
      <c r="C14"/>
      <c r="D14"/>
      <c r="E14"/>
      <c r="F14"/>
      <c r="I14" s="14" t="s">
        <v>140</v>
      </c>
      <c r="J14" s="2">
        <f>(L14/N14)*IF(N14&gt;5,1,IF(N14=5,0.9,IF(N14=4,0.8,0.7)))</f>
        <v>1.2857142857142858</v>
      </c>
      <c r="K14" s="2">
        <f>M14/N14</f>
        <v>-0.14285714285714285</v>
      </c>
      <c r="L14" s="1">
        <f>0+0+3+3+1+1+1+0</f>
        <v>9</v>
      </c>
      <c r="M14" s="1">
        <f>0+-2+1+2+0+0+0+-2</f>
        <v>-1</v>
      </c>
      <c r="N14" s="1">
        <f>0+1+1+1+1+1+1+1</f>
        <v>7</v>
      </c>
      <c r="W14" s="1">
        <v>14</v>
      </c>
      <c r="X14" s="13" t="s">
        <v>56</v>
      </c>
      <c r="Y14" t="s">
        <v>42</v>
      </c>
      <c r="AG14" s="18" t="s">
        <v>222</v>
      </c>
    </row>
    <row r="15" spans="1:35">
      <c r="A15" t="s">
        <v>133</v>
      </c>
      <c r="C15"/>
      <c r="D15"/>
      <c r="E15"/>
      <c r="F15"/>
      <c r="I15" s="14" t="s">
        <v>157</v>
      </c>
      <c r="J15" s="2">
        <f>(L15/N15)*IF(N15&gt;5,1,IF(N15=5,0.9,IF(N15=4,0.8,0.7)))</f>
        <v>1.1666666666666667</v>
      </c>
      <c r="K15" s="2">
        <f>M15/N15</f>
        <v>-0.66666666666666663</v>
      </c>
      <c r="L15" s="1">
        <f>0+0+1+0+3+0+3</f>
        <v>7</v>
      </c>
      <c r="M15" s="1">
        <f>0+-3+0+-2+1+-1+1</f>
        <v>-4</v>
      </c>
      <c r="N15" s="1">
        <f>0+1+1+1+1+1+1</f>
        <v>6</v>
      </c>
      <c r="W15" s="1">
        <v>15</v>
      </c>
      <c r="X15" s="13" t="s">
        <v>57</v>
      </c>
      <c r="Y15" t="s">
        <v>43</v>
      </c>
      <c r="AG15" s="18" t="s">
        <v>222</v>
      </c>
    </row>
    <row r="16" spans="1:35">
      <c r="A16" t="s">
        <v>23</v>
      </c>
      <c r="C16"/>
      <c r="D16"/>
      <c r="E16"/>
      <c r="F16"/>
      <c r="I16" s="20" t="s">
        <v>132</v>
      </c>
      <c r="J16" s="2">
        <f>(L16/N16)*IF(N16&gt;5,1,IF(N16=5,0.9,IF(N16=4,0.8,0.7)))</f>
        <v>1.1428571428571428</v>
      </c>
      <c r="K16" s="2">
        <f>M16/N16</f>
        <v>-0.42857142857142855</v>
      </c>
      <c r="L16" s="1">
        <f>0+3+0+3+1+1+0+0</f>
        <v>8</v>
      </c>
      <c r="M16" s="1">
        <f>0+1+-1+3+0+0+-5+-1</f>
        <v>-3</v>
      </c>
      <c r="N16" s="1">
        <f>0+1+1+1+1+1+1+1</f>
        <v>7</v>
      </c>
      <c r="W16" s="1">
        <v>16</v>
      </c>
      <c r="X16" s="13" t="s">
        <v>58</v>
      </c>
      <c r="Y16" t="s">
        <v>44</v>
      </c>
      <c r="AG16" s="18" t="s">
        <v>191</v>
      </c>
    </row>
    <row r="17" spans="1:33">
      <c r="A17" t="s">
        <v>134</v>
      </c>
      <c r="I17" s="14" t="s">
        <v>138</v>
      </c>
      <c r="J17" s="2">
        <f>(L17/N17)*IF(N17&gt;5,1,IF(N17=5,0.9,IF(N17=4,0.8,0.7)))</f>
        <v>1.08</v>
      </c>
      <c r="K17" s="2">
        <f>M17/N17</f>
        <v>-0.6</v>
      </c>
      <c r="L17" s="1">
        <f>0+1+1+0+3+1</f>
        <v>6</v>
      </c>
      <c r="M17" s="1">
        <f>0+0+0+-4+1+0</f>
        <v>-3</v>
      </c>
      <c r="N17" s="1">
        <f>0+1+1+1+1+1</f>
        <v>5</v>
      </c>
      <c r="W17" s="1">
        <v>17</v>
      </c>
      <c r="X17" s="13" t="s">
        <v>59</v>
      </c>
      <c r="Y17" t="s">
        <v>46</v>
      </c>
      <c r="AG17" s="18" t="s">
        <v>193</v>
      </c>
    </row>
    <row r="18" spans="1:33">
      <c r="A18" t="s">
        <v>33</v>
      </c>
      <c r="C18"/>
      <c r="D18"/>
      <c r="E18"/>
      <c r="F18"/>
      <c r="I18" s="14" t="s">
        <v>162</v>
      </c>
      <c r="J18" s="2">
        <f>(L18/N18)*IF(N18&gt;5,1,IF(N18=5,0.9,IF(N18=4,0.8,0.7)))</f>
        <v>1</v>
      </c>
      <c r="K18" s="2">
        <f>M18/N18</f>
        <v>-0.2857142857142857</v>
      </c>
      <c r="L18" s="1">
        <f>0+0+1+1+0+1+1+3</f>
        <v>7</v>
      </c>
      <c r="M18" s="1">
        <f>0+-1+0+0+-2+0+0+1</f>
        <v>-2</v>
      </c>
      <c r="N18" s="1">
        <f>0+1+1+1+1+1+1+1</f>
        <v>7</v>
      </c>
      <c r="W18" s="1">
        <v>18</v>
      </c>
      <c r="X18" s="13" t="s">
        <v>60</v>
      </c>
      <c r="Y18" t="s">
        <v>47</v>
      </c>
      <c r="AG18" s="18" t="s">
        <v>225</v>
      </c>
    </row>
    <row r="19" spans="1:33">
      <c r="B19" t="s">
        <v>180</v>
      </c>
      <c r="I19" s="14" t="s">
        <v>96</v>
      </c>
      <c r="J19" s="2">
        <f>(L19/N19)*IF(N19&gt;5,1,IF(N19=5,0.9,IF(N19=4,0.8,0.7)))</f>
        <v>1</v>
      </c>
      <c r="K19" s="2">
        <f>M19/N19</f>
        <v>-0.5</v>
      </c>
      <c r="L19" s="1">
        <f>0+1+1+3+0</f>
        <v>5</v>
      </c>
      <c r="M19" s="1">
        <f>0+0+0+1+-3</f>
        <v>-2</v>
      </c>
      <c r="N19" s="1">
        <f>0+1+1+1+1</f>
        <v>4</v>
      </c>
      <c r="W19" s="1">
        <v>19</v>
      </c>
      <c r="X19" s="13" t="s">
        <v>26</v>
      </c>
      <c r="Y19" t="s">
        <v>48</v>
      </c>
      <c r="AG19" s="18" t="s">
        <v>241</v>
      </c>
    </row>
    <row r="20" spans="1:33">
      <c r="A20" t="s">
        <v>135</v>
      </c>
      <c r="I20" s="14" t="s">
        <v>83</v>
      </c>
      <c r="J20" s="2">
        <f>(L20/N20)*IF(N20&gt;5,1,IF(N20=5,0.9,IF(N20=4,0.8,0.7)))</f>
        <v>0.93333333333333324</v>
      </c>
      <c r="K20" s="2">
        <f>M20/N20</f>
        <v>0</v>
      </c>
      <c r="L20" s="1">
        <f>0+3+1+0</f>
        <v>4</v>
      </c>
      <c r="M20" s="1">
        <f>0+1+0+-1</f>
        <v>0</v>
      </c>
      <c r="N20" s="1">
        <f>0+1+1+1</f>
        <v>3</v>
      </c>
      <c r="W20" s="1">
        <v>20</v>
      </c>
      <c r="X20" s="13" t="s">
        <v>61</v>
      </c>
      <c r="Y20" t="s">
        <v>49</v>
      </c>
      <c r="AG20" s="18" t="s">
        <v>228</v>
      </c>
    </row>
    <row r="21" spans="1:33">
      <c r="A21" t="s">
        <v>19</v>
      </c>
      <c r="I21" s="14" t="s">
        <v>124</v>
      </c>
      <c r="J21" s="2">
        <f>(L21/N21)*IF(N21&gt;5,1,IF(N21=5,0.9,IF(N21=4,0.8,0.7)))</f>
        <v>0.9</v>
      </c>
      <c r="K21" s="2">
        <f>M21/N21</f>
        <v>-0.6</v>
      </c>
      <c r="L21" s="1">
        <f>0+3+1+1+0+0</f>
        <v>5</v>
      </c>
      <c r="M21" s="1">
        <f>0+1+0+0+-2+-2</f>
        <v>-3</v>
      </c>
      <c r="N21" s="1">
        <f>0+1+1+1+1+1</f>
        <v>5</v>
      </c>
      <c r="W21" s="1">
        <v>21</v>
      </c>
      <c r="X21" s="13" t="s">
        <v>62</v>
      </c>
      <c r="Y21" t="s">
        <v>50</v>
      </c>
      <c r="AG21" s="18" t="s">
        <v>222</v>
      </c>
    </row>
    <row r="22" spans="1:33">
      <c r="B22" t="s">
        <v>20</v>
      </c>
      <c r="I22" s="14" t="s">
        <v>86</v>
      </c>
      <c r="J22" s="2">
        <f>(L22/N22)*IF(N22&gt;5,1,IF(N22=5,0.9,IF(N22=4,0.8,0.7)))</f>
        <v>0.83333333333333337</v>
      </c>
      <c r="K22" s="2">
        <f>M22/N22</f>
        <v>-0.16666666666666666</v>
      </c>
      <c r="L22" s="1">
        <f>0+1+1+1+1+1+0</f>
        <v>5</v>
      </c>
      <c r="M22" s="1">
        <f>0+0+0+0+0+0+-1</f>
        <v>-1</v>
      </c>
      <c r="N22" s="1">
        <f>0+1+1+1+1+1+1</f>
        <v>6</v>
      </c>
      <c r="W22" s="1">
        <v>22</v>
      </c>
      <c r="X22" s="13" t="s">
        <v>63</v>
      </c>
      <c r="Y22" t="s">
        <v>51</v>
      </c>
      <c r="AG22" s="18" t="s">
        <v>228</v>
      </c>
    </row>
    <row r="23" spans="1:33">
      <c r="B23" t="s">
        <v>88</v>
      </c>
      <c r="I23" s="14" t="s">
        <v>197</v>
      </c>
      <c r="J23" s="2">
        <f>(L23/N23)*IF(N23&gt;5,1,IF(N23=5,0.9,IF(N23=4,0.8,0.7)))</f>
        <v>0.7</v>
      </c>
      <c r="K23" s="2">
        <f>M23/N23</f>
        <v>0</v>
      </c>
      <c r="L23" s="1">
        <f>0+1+1+1</f>
        <v>3</v>
      </c>
      <c r="M23" s="1">
        <f>0+0+0+0</f>
        <v>0</v>
      </c>
      <c r="N23" s="1">
        <f>0+1+1+1</f>
        <v>3</v>
      </c>
      <c r="W23" s="1">
        <v>23</v>
      </c>
      <c r="X23" s="13" t="s">
        <v>28</v>
      </c>
      <c r="Y23" t="s">
        <v>52</v>
      </c>
      <c r="AG23" s="18" t="s">
        <v>226</v>
      </c>
    </row>
    <row r="24" spans="1:33">
      <c r="A24" t="s">
        <v>16</v>
      </c>
      <c r="C24"/>
      <c r="D24"/>
      <c r="E24"/>
      <c r="F24"/>
      <c r="I24" s="14" t="s">
        <v>161</v>
      </c>
      <c r="J24" s="2">
        <f>(L24/N24)*IF(N24&gt;5,1,IF(N24=5,0.9,IF(N24=4,0.8,0.7)))</f>
        <v>0.66666666666666663</v>
      </c>
      <c r="K24" s="2">
        <f>M24/N24</f>
        <v>-0.33333333333333331</v>
      </c>
      <c r="L24" s="1">
        <f>0+1+1+0+0+1+1</f>
        <v>4</v>
      </c>
      <c r="M24" s="1">
        <f>0+0+0+-1+-1+0+0</f>
        <v>-2</v>
      </c>
      <c r="N24" s="1">
        <f>0+1+1+1+1+1+1</f>
        <v>6</v>
      </c>
      <c r="W24" s="1">
        <v>24</v>
      </c>
      <c r="X24" s="13" t="s">
        <v>64</v>
      </c>
      <c r="Y24" t="s">
        <v>53</v>
      </c>
      <c r="AG24" s="18" t="s">
        <v>213</v>
      </c>
    </row>
    <row r="25" spans="1:33">
      <c r="A25" t="s">
        <v>17</v>
      </c>
      <c r="B25" s="2" t="e">
        <f t="shared" ref="B25" si="2">(D25/F25)*IF(F25&gt;5,1,IF(F25=5,0.9,IF(F25=4,0.8,0.7)))</f>
        <v>#DIV/0!</v>
      </c>
      <c r="C25" s="2" t="e">
        <f t="shared" ref="C25" si="3">E25/F25</f>
        <v>#DIV/0!</v>
      </c>
      <c r="D25" s="1">
        <f>0</f>
        <v>0</v>
      </c>
      <c r="E25" s="1">
        <f>0</f>
        <v>0</v>
      </c>
      <c r="F25" s="1">
        <f>0</f>
        <v>0</v>
      </c>
      <c r="I25" s="14" t="s">
        <v>125</v>
      </c>
      <c r="J25" s="2">
        <f>(L25/N25)*IF(N25&gt;5,1,IF(N25=5,0.9,IF(N25=4,0.8,0.7)))</f>
        <v>0.66666666666666663</v>
      </c>
      <c r="K25" s="2">
        <f>M25/N25</f>
        <v>-1.1666666666666667</v>
      </c>
      <c r="L25" s="1">
        <f>0+0+0+0+0+1+3</f>
        <v>4</v>
      </c>
      <c r="M25" s="1">
        <f>0+-1+-3+-3+-1+0+1</f>
        <v>-7</v>
      </c>
      <c r="N25" s="1">
        <f>0+1+1+1+1+1+1</f>
        <v>6</v>
      </c>
      <c r="W25" s="1">
        <v>25</v>
      </c>
      <c r="X25" s="13" t="s">
        <v>65</v>
      </c>
      <c r="Y25" t="s">
        <v>68</v>
      </c>
      <c r="AG25" s="18" t="s">
        <v>221</v>
      </c>
    </row>
    <row r="26" spans="1:33">
      <c r="A26" t="s">
        <v>18</v>
      </c>
      <c r="B26" t="s">
        <v>136</v>
      </c>
      <c r="I26" s="14" t="s">
        <v>94</v>
      </c>
      <c r="J26" s="2">
        <f>(L26/N26)*IF(N26&gt;5,1,IF(N26=5,0.9,IF(N26=4,0.8,0.7)))</f>
        <v>0.60000000000000009</v>
      </c>
      <c r="K26" s="2">
        <f>M26/N26</f>
        <v>-1.75</v>
      </c>
      <c r="L26" s="1">
        <f>0+3+0+0+0</f>
        <v>3</v>
      </c>
      <c r="M26" s="1">
        <f>0+1+-3+-2+-3</f>
        <v>-7</v>
      </c>
      <c r="N26" s="1">
        <f>0+1+1+1+1</f>
        <v>4</v>
      </c>
      <c r="W26" s="1">
        <v>26</v>
      </c>
      <c r="X26" s="13" t="s">
        <v>66</v>
      </c>
      <c r="Y26" t="s">
        <v>69</v>
      </c>
      <c r="AG26" s="18" t="s">
        <v>221</v>
      </c>
    </row>
    <row r="27" spans="1:33">
      <c r="A27" t="s">
        <v>14</v>
      </c>
      <c r="I27" s="14" t="s">
        <v>114</v>
      </c>
      <c r="J27" s="2">
        <f>(L27/N27)*IF(N27&gt;5,1,IF(N27=5,0.9,IF(N27=4,0.8,0.7)))</f>
        <v>0.60000000000000009</v>
      </c>
      <c r="K27" s="2">
        <f>M27/N27</f>
        <v>-2.25</v>
      </c>
      <c r="L27" s="1">
        <f>0+0+0+3+0</f>
        <v>3</v>
      </c>
      <c r="M27" s="1">
        <f>0+-2+-5+2+-4</f>
        <v>-9</v>
      </c>
      <c r="N27" s="1">
        <f>0+1+1+1+1</f>
        <v>4</v>
      </c>
      <c r="W27" s="1">
        <v>27</v>
      </c>
      <c r="X27" s="13" t="s">
        <v>67</v>
      </c>
      <c r="Y27" t="s">
        <v>70</v>
      </c>
      <c r="AG27" s="18" t="s">
        <v>226</v>
      </c>
    </row>
    <row r="28" spans="1:33">
      <c r="A28" t="s">
        <v>21</v>
      </c>
      <c r="I28" s="14" t="s">
        <v>93</v>
      </c>
      <c r="J28" s="2">
        <f>(L28/N28)*IF(N28&gt;5,1,IF(N28=5,0.9,IF(N28=4,0.8,0.7)))</f>
        <v>0.5</v>
      </c>
      <c r="K28" s="2">
        <f>M28/N28</f>
        <v>-1.5</v>
      </c>
      <c r="L28" s="1">
        <f>0+0+0+3+0+0+0</f>
        <v>3</v>
      </c>
      <c r="M28" s="1">
        <f>0+-2+-1+1+-4+-2+-1</f>
        <v>-9</v>
      </c>
      <c r="N28" s="1">
        <f>0+1+1+1+1+1+1</f>
        <v>6</v>
      </c>
      <c r="W28" s="1">
        <v>28</v>
      </c>
      <c r="AG28" s="18" t="s">
        <v>191</v>
      </c>
    </row>
    <row r="29" spans="1:33">
      <c r="A29" t="s">
        <v>147</v>
      </c>
      <c r="I29" s="14" t="s">
        <v>155</v>
      </c>
      <c r="J29" s="2">
        <f>(L29/N29)*IF(N29&gt;5,1,IF(N29=5,0.9,IF(N29=4,0.8,0.7)))</f>
        <v>0.46666666666666662</v>
      </c>
      <c r="K29" s="2">
        <f>M29/N29</f>
        <v>-0.33333333333333331</v>
      </c>
      <c r="L29" s="1">
        <f>0+1+1+0</f>
        <v>2</v>
      </c>
      <c r="M29" s="1">
        <f>0+0+0+-1</f>
        <v>-1</v>
      </c>
      <c r="N29" s="1">
        <f>0+1+1+1</f>
        <v>3</v>
      </c>
      <c r="W29" s="1">
        <v>29</v>
      </c>
      <c r="AG29" s="18" t="s">
        <v>225</v>
      </c>
    </row>
    <row r="30" spans="1:33">
      <c r="A30" t="s">
        <v>148</v>
      </c>
      <c r="I30" s="14" t="s">
        <v>159</v>
      </c>
      <c r="J30" s="2">
        <f>(L30/N30)*IF(N30&gt;5,1,IF(N30=5,0.9,IF(N30=4,0.8,0.7)))</f>
        <v>0.33333333333333331</v>
      </c>
      <c r="K30" s="2">
        <f>M30/N30</f>
        <v>-1.6666666666666667</v>
      </c>
      <c r="L30" s="1">
        <f>0+1+0+0+1+0+0</f>
        <v>2</v>
      </c>
      <c r="M30" s="1">
        <f>0+0+-3+-5+0+-1+-1</f>
        <v>-10</v>
      </c>
      <c r="N30" s="1">
        <f>0+1+1+1+1+1+1</f>
        <v>6</v>
      </c>
      <c r="W30" s="1">
        <v>30</v>
      </c>
      <c r="AG30" s="18" t="s">
        <v>193</v>
      </c>
    </row>
    <row r="31" spans="1:33">
      <c r="A31" t="s">
        <v>149</v>
      </c>
      <c r="I31" s="14" t="s">
        <v>137</v>
      </c>
      <c r="J31" s="2">
        <f>(L31/N31)*IF(N31&gt;5,1,IF(N31=5,0.9,IF(N31=4,0.8,0.7)))</f>
        <v>0.23333333333333331</v>
      </c>
      <c r="K31" s="2">
        <f>M31/N31</f>
        <v>-1.6666666666666667</v>
      </c>
      <c r="L31" s="1">
        <f>0+1+0+0</f>
        <v>1</v>
      </c>
      <c r="M31" s="1">
        <f>0+0+-4+-1</f>
        <v>-5</v>
      </c>
      <c r="N31" s="1">
        <f>0+1+1+1</f>
        <v>3</v>
      </c>
      <c r="W31" s="1">
        <v>31</v>
      </c>
      <c r="AG31" s="18" t="s">
        <v>191</v>
      </c>
    </row>
    <row r="32" spans="1:33">
      <c r="I32" s="14" t="s">
        <v>171</v>
      </c>
      <c r="J32" s="2">
        <f>(L32/N32)*IF(N32&gt;5,1,IF(N32=5,0.9,IF(N32=4,0.8,0.7)))</f>
        <v>0</v>
      </c>
      <c r="K32" s="2">
        <f>M32/N32</f>
        <v>-1</v>
      </c>
      <c r="L32" s="1">
        <f>0+0+0+0</f>
        <v>0</v>
      </c>
      <c r="M32" s="1">
        <f>0+-1+-1+-1</f>
        <v>-3</v>
      </c>
      <c r="N32" s="1">
        <f>0+1+1+1</f>
        <v>3</v>
      </c>
      <c r="W32" s="1">
        <v>32</v>
      </c>
      <c r="AG32" s="18" t="s">
        <v>226</v>
      </c>
    </row>
    <row r="33" spans="9:33">
      <c r="I33" s="14" t="s">
        <v>158</v>
      </c>
      <c r="J33" s="2">
        <f>(L33/N33)*IF(N33&gt;5,1,IF(N33=5,0.9,IF(N33=4,0.8,0.7)))</f>
        <v>0</v>
      </c>
      <c r="K33" s="2">
        <f>M33/N33</f>
        <v>-1.3333333333333333</v>
      </c>
      <c r="L33" s="1">
        <f>0+0+0+0</f>
        <v>0</v>
      </c>
      <c r="M33" s="1">
        <f>0+-1+-1+-2</f>
        <v>-4</v>
      </c>
      <c r="N33" s="1">
        <f>0+1+1+1</f>
        <v>3</v>
      </c>
      <c r="W33" s="1">
        <v>33</v>
      </c>
      <c r="AG33" s="18" t="s">
        <v>193</v>
      </c>
    </row>
    <row r="34" spans="9:33">
      <c r="I34" s="14" t="s">
        <v>91</v>
      </c>
      <c r="J34" s="2">
        <f>(L34/N34)*IF(N34&gt;5,1,IF(N34=5,0.9,IF(N34=4,0.8,0.7)))</f>
        <v>1.0499999999999998</v>
      </c>
      <c r="K34" s="2">
        <f>M34/N34</f>
        <v>0</v>
      </c>
      <c r="L34" s="1">
        <f>0+0+3</f>
        <v>3</v>
      </c>
      <c r="M34" s="1">
        <f>0+-1+1</f>
        <v>0</v>
      </c>
      <c r="N34" s="1">
        <f>0+1+1</f>
        <v>2</v>
      </c>
      <c r="W34" s="1">
        <v>34</v>
      </c>
      <c r="AG34" s="18" t="s">
        <v>212</v>
      </c>
    </row>
    <row r="35" spans="9:33">
      <c r="I35" s="14" t="s">
        <v>239</v>
      </c>
      <c r="J35" s="2">
        <f>(L35/N35)*IF(N35&gt;5,1,IF(N35=5,0.9,IF(N35=4,0.8,0.7)))</f>
        <v>2.0999999999999996</v>
      </c>
      <c r="K35" s="2">
        <f>M35/N35</f>
        <v>1</v>
      </c>
      <c r="L35" s="1">
        <f>0+3</f>
        <v>3</v>
      </c>
      <c r="M35" s="1">
        <f>0+1</f>
        <v>1</v>
      </c>
      <c r="N35" s="1">
        <f>0+1</f>
        <v>1</v>
      </c>
      <c r="W35" s="1">
        <v>35</v>
      </c>
      <c r="AG35" s="18" t="s">
        <v>213</v>
      </c>
    </row>
    <row r="36" spans="9:33">
      <c r="I36" s="14" t="s">
        <v>160</v>
      </c>
      <c r="J36" s="2">
        <f>(L36/N36)*IF(N36&gt;5,1,IF(N36=5,0.9,IF(N36=4,0.8,0.7)))</f>
        <v>0.7</v>
      </c>
      <c r="K36" s="2">
        <f>M36/N36</f>
        <v>0</v>
      </c>
      <c r="L36" s="1">
        <f>0+1</f>
        <v>1</v>
      </c>
      <c r="M36" s="1">
        <f>0+0</f>
        <v>0</v>
      </c>
      <c r="N36" s="1">
        <f>0+1</f>
        <v>1</v>
      </c>
      <c r="W36" s="1">
        <v>36</v>
      </c>
      <c r="AG36" s="18" t="s">
        <v>225</v>
      </c>
    </row>
    <row r="37" spans="9:33">
      <c r="I37" s="14" t="s">
        <v>238</v>
      </c>
      <c r="J37" s="2">
        <f>(L37/N37)*IF(N37&gt;5,1,IF(N37=5,0.9,IF(N37=4,0.8,0.7)))</f>
        <v>0</v>
      </c>
      <c r="K37" s="2">
        <f>M37/N37</f>
        <v>-1</v>
      </c>
      <c r="L37" s="1">
        <f>0+0</f>
        <v>0</v>
      </c>
      <c r="M37" s="1">
        <f>0+-1</f>
        <v>-1</v>
      </c>
      <c r="N37" s="1">
        <f>0+1</f>
        <v>1</v>
      </c>
      <c r="W37" s="1">
        <v>37</v>
      </c>
      <c r="AG37" s="18" t="s">
        <v>225</v>
      </c>
    </row>
    <row r="38" spans="9:33">
      <c r="I38" s="14" t="s">
        <v>244</v>
      </c>
      <c r="J38" s="2">
        <f>(L38/N38)*IF(N38&gt;5,1,IF(N38=5,0.9,IF(N38=4,0.8,0.7)))</f>
        <v>0</v>
      </c>
      <c r="K38" s="2">
        <f>M38/N38</f>
        <v>-1</v>
      </c>
      <c r="L38" s="1">
        <f>0+0</f>
        <v>0</v>
      </c>
      <c r="M38" s="1">
        <f>0+-1</f>
        <v>-1</v>
      </c>
      <c r="N38" s="1">
        <f>0+1</f>
        <v>1</v>
      </c>
      <c r="W38" s="1">
        <v>38</v>
      </c>
      <c r="AG38" s="18" t="s">
        <v>193</v>
      </c>
    </row>
    <row r="39" spans="9:33">
      <c r="I39" s="14" t="s">
        <v>214</v>
      </c>
      <c r="J39" s="2">
        <f>(L39/N39)*IF(N39&gt;5,1,IF(N39=5,0.9,IF(N39=4,0.8,0.7)))</f>
        <v>0</v>
      </c>
      <c r="K39" s="2">
        <f>M39/N39</f>
        <v>-3</v>
      </c>
      <c r="L39" s="1">
        <f>0+0</f>
        <v>0</v>
      </c>
      <c r="M39" s="1">
        <f>0+-3</f>
        <v>-3</v>
      </c>
      <c r="N39" s="1">
        <f>0+1</f>
        <v>1</v>
      </c>
      <c r="W39" s="1">
        <v>39</v>
      </c>
      <c r="AG39" s="18" t="s">
        <v>226</v>
      </c>
    </row>
    <row r="40" spans="9:33">
      <c r="I40"/>
      <c r="W40" s="1">
        <v>40</v>
      </c>
    </row>
    <row r="41" spans="9:33">
      <c r="I41"/>
      <c r="W41" s="1">
        <v>41</v>
      </c>
    </row>
    <row r="42" spans="9:33">
      <c r="I42"/>
      <c r="W42" s="1">
        <v>42</v>
      </c>
    </row>
    <row r="43" spans="9:33">
      <c r="I43"/>
      <c r="W43" s="1">
        <v>43</v>
      </c>
    </row>
    <row r="44" spans="9:33">
      <c r="I44"/>
      <c r="W44" s="1">
        <v>44</v>
      </c>
    </row>
    <row r="45" spans="9:33">
      <c r="I45"/>
      <c r="W45" s="1">
        <v>45</v>
      </c>
    </row>
    <row r="46" spans="9:33">
      <c r="I46"/>
      <c r="W46" s="1">
        <v>46</v>
      </c>
    </row>
    <row r="47" spans="9:33">
      <c r="I47"/>
      <c r="W47" s="1">
        <v>47</v>
      </c>
    </row>
    <row r="48" spans="9:33">
      <c r="I48"/>
      <c r="W48" s="1">
        <v>48</v>
      </c>
    </row>
    <row r="49" spans="9:23">
      <c r="I49"/>
      <c r="W49" s="1">
        <v>49</v>
      </c>
    </row>
    <row r="50" spans="9:23">
      <c r="I50"/>
      <c r="W50" s="1">
        <v>50</v>
      </c>
    </row>
    <row r="51" spans="9:23">
      <c r="I51"/>
      <c r="W51" s="1">
        <v>51</v>
      </c>
    </row>
    <row r="52" spans="9:23">
      <c r="I52"/>
      <c r="W52" s="1">
        <v>52</v>
      </c>
    </row>
    <row r="53" spans="9:23">
      <c r="I53"/>
      <c r="W53" s="1">
        <v>53</v>
      </c>
    </row>
    <row r="54" spans="9:23">
      <c r="I54"/>
      <c r="W54" s="1">
        <v>54</v>
      </c>
    </row>
    <row r="55" spans="9:23">
      <c r="I55"/>
      <c r="W55" s="1">
        <v>55</v>
      </c>
    </row>
    <row r="56" spans="9:23">
      <c r="I56"/>
      <c r="W56" s="1">
        <v>56</v>
      </c>
    </row>
    <row r="57" spans="9:23">
      <c r="I57"/>
      <c r="W57" s="1">
        <v>57</v>
      </c>
    </row>
    <row r="58" spans="9:23">
      <c r="I58"/>
      <c r="W58" s="1">
        <v>58</v>
      </c>
    </row>
    <row r="59" spans="9:23">
      <c r="I59"/>
      <c r="W59" s="1">
        <v>59</v>
      </c>
    </row>
    <row r="60" spans="9:23">
      <c r="I60"/>
      <c r="W60" s="1">
        <v>60</v>
      </c>
    </row>
    <row r="61" spans="9:23">
      <c r="I61"/>
      <c r="W61" s="1">
        <v>61</v>
      </c>
    </row>
    <row r="62" spans="9:23">
      <c r="I62"/>
      <c r="W62" s="1">
        <v>62</v>
      </c>
    </row>
    <row r="63" spans="9:23">
      <c r="I63"/>
      <c r="W63" s="1">
        <v>63</v>
      </c>
    </row>
    <row r="64" spans="9:23">
      <c r="I64"/>
      <c r="W64" s="1">
        <v>64</v>
      </c>
    </row>
    <row r="65" spans="9:23">
      <c r="I65"/>
      <c r="W65" s="1">
        <v>65</v>
      </c>
    </row>
    <row r="66" spans="9:23">
      <c r="I66"/>
      <c r="W66" s="1">
        <v>66</v>
      </c>
    </row>
    <row r="67" spans="9:23">
      <c r="I67"/>
      <c r="W67" s="1">
        <v>67</v>
      </c>
    </row>
    <row r="68" spans="9:23">
      <c r="I68"/>
      <c r="W68" s="1">
        <v>68</v>
      </c>
    </row>
    <row r="69" spans="9:23">
      <c r="I69"/>
      <c r="W69" s="1">
        <v>69</v>
      </c>
    </row>
    <row r="70" spans="9:23">
      <c r="I70"/>
      <c r="W70" s="1">
        <v>70</v>
      </c>
    </row>
    <row r="71" spans="9:23">
      <c r="W71" s="1">
        <v>71</v>
      </c>
    </row>
    <row r="72" spans="9:23">
      <c r="W72" s="1">
        <v>72</v>
      </c>
    </row>
    <row r="73" spans="9:23">
      <c r="W73" s="1">
        <v>73</v>
      </c>
    </row>
    <row r="74" spans="9:23">
      <c r="W74" s="1">
        <v>74</v>
      </c>
    </row>
    <row r="75" spans="9:23">
      <c r="W75" s="1">
        <v>75</v>
      </c>
    </row>
    <row r="76" spans="9:23">
      <c r="W76" s="1">
        <v>76</v>
      </c>
    </row>
    <row r="77" spans="9:23">
      <c r="W77" s="1">
        <v>77</v>
      </c>
    </row>
    <row r="78" spans="9:23">
      <c r="W78" s="1">
        <v>78</v>
      </c>
    </row>
    <row r="79" spans="9:23">
      <c r="W79" s="1">
        <v>79</v>
      </c>
    </row>
    <row r="80" spans="9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99"/>
  <sheetViews>
    <sheetView zoomScale="90" zoomScaleNormal="90" workbookViewId="0">
      <selection sqref="A1:D8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9.28515625" style="14" customWidth="1"/>
    <col min="9" max="9" width="14.28515625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6.5703125" style="1" customWidth="1"/>
    <col min="29" max="29" width="2.140625" style="8" customWidth="1"/>
    <col min="30" max="31" width="6.42578125" style="1" customWidth="1"/>
    <col min="32" max="32" width="2.140625" style="8" customWidth="1"/>
    <col min="33" max="33" width="6.42578125" style="1" customWidth="1"/>
    <col min="34" max="34" width="2.140625" style="8" customWidth="1"/>
  </cols>
  <sheetData>
    <row r="1" spans="1:33">
      <c r="A1" s="4" t="s">
        <v>89</v>
      </c>
      <c r="B1" s="4" t="s">
        <v>90</v>
      </c>
      <c r="C1" s="5">
        <v>1</v>
      </c>
      <c r="D1" s="5">
        <v>1</v>
      </c>
      <c r="E1" s="1">
        <f>C1-D1</f>
        <v>0</v>
      </c>
      <c r="F1" s="1">
        <f>D1-C1</f>
        <v>0</v>
      </c>
      <c r="G1" s="10"/>
      <c r="H1" s="12"/>
      <c r="I1" t="s">
        <v>83</v>
      </c>
      <c r="J1" s="2">
        <f t="shared" ref="J1:J6" si="0">(L1/N1)*IF(N1&gt;5,1,IF(N1=5,0.9,IF(N1=4,0.8,0.7)))</f>
        <v>2.0999999999999996</v>
      </c>
      <c r="K1" s="2">
        <f t="shared" ref="K1:K6" si="1">M1/N1</f>
        <v>1</v>
      </c>
      <c r="L1" s="1">
        <f>0+3</f>
        <v>3</v>
      </c>
      <c r="M1" s="1">
        <f>0+1</f>
        <v>1</v>
      </c>
      <c r="N1" s="1">
        <f>0+1</f>
        <v>1</v>
      </c>
      <c r="W1" s="1">
        <v>1</v>
      </c>
      <c r="X1" s="12" t="s">
        <v>97</v>
      </c>
      <c r="Y1" s="4" t="s">
        <v>73</v>
      </c>
      <c r="AA1" s="1" t="s">
        <v>79</v>
      </c>
      <c r="AB1" s="1" t="s">
        <v>78</v>
      </c>
      <c r="AD1" s="1">
        <v>2</v>
      </c>
      <c r="AE1" s="1">
        <v>34</v>
      </c>
    </row>
    <row r="2" spans="1:33">
      <c r="A2" s="4"/>
      <c r="B2" s="4"/>
      <c r="C2" s="5"/>
      <c r="D2" s="5"/>
      <c r="E2" s="1">
        <f t="shared" ref="E2:E8" si="2">C2-D2</f>
        <v>0</v>
      </c>
      <c r="F2" s="1">
        <f t="shared" ref="F2:F8" si="3">D2-C2</f>
        <v>0</v>
      </c>
      <c r="G2" s="10"/>
      <c r="H2" s="12" t="s">
        <v>104</v>
      </c>
      <c r="I2" t="s">
        <v>85</v>
      </c>
      <c r="J2" s="2">
        <f t="shared" si="0"/>
        <v>0.7</v>
      </c>
      <c r="K2" s="2">
        <f t="shared" si="1"/>
        <v>0</v>
      </c>
      <c r="L2" s="1">
        <f>0+1</f>
        <v>1</v>
      </c>
      <c r="M2" s="1">
        <f>0+0</f>
        <v>0</v>
      </c>
      <c r="N2" s="1">
        <f>0+1</f>
        <v>1</v>
      </c>
      <c r="W2" s="1">
        <v>2</v>
      </c>
      <c r="X2" s="12"/>
      <c r="Y2" s="4"/>
      <c r="AA2" s="1" t="s">
        <v>80</v>
      </c>
    </row>
    <row r="3" spans="1:33">
      <c r="A3" s="4" t="s">
        <v>94</v>
      </c>
      <c r="B3" s="4" t="s">
        <v>95</v>
      </c>
      <c r="C3" s="5"/>
      <c r="D3" s="5"/>
      <c r="E3" s="1">
        <f t="shared" si="2"/>
        <v>0</v>
      </c>
      <c r="F3" s="1">
        <f t="shared" si="3"/>
        <v>0</v>
      </c>
      <c r="G3" s="10"/>
      <c r="H3" s="12"/>
      <c r="I3" t="s">
        <v>86</v>
      </c>
      <c r="J3" s="2">
        <f t="shared" si="0"/>
        <v>0.7</v>
      </c>
      <c r="K3" s="2">
        <f t="shared" si="1"/>
        <v>0</v>
      </c>
      <c r="L3" s="1">
        <f>0+1</f>
        <v>1</v>
      </c>
      <c r="M3" s="1">
        <f>0+0</f>
        <v>0</v>
      </c>
      <c r="N3" s="1">
        <f>0+1</f>
        <v>1</v>
      </c>
      <c r="W3" s="1">
        <v>3</v>
      </c>
      <c r="X3" s="12" t="s">
        <v>97</v>
      </c>
      <c r="Y3" s="4" t="s">
        <v>41</v>
      </c>
      <c r="AA3" s="1" t="s">
        <v>80</v>
      </c>
    </row>
    <row r="4" spans="1:33">
      <c r="A4" s="4"/>
      <c r="B4" s="4"/>
      <c r="C4" s="5"/>
      <c r="D4" s="5"/>
      <c r="E4" s="1">
        <f t="shared" si="2"/>
        <v>0</v>
      </c>
      <c r="F4" s="1">
        <f t="shared" si="3"/>
        <v>0</v>
      </c>
      <c r="G4" s="10"/>
      <c r="H4" s="12" t="s">
        <v>105</v>
      </c>
      <c r="I4" t="s">
        <v>89</v>
      </c>
      <c r="J4" s="2">
        <f t="shared" si="0"/>
        <v>0.7</v>
      </c>
      <c r="K4" s="2">
        <f t="shared" si="1"/>
        <v>0</v>
      </c>
      <c r="L4" s="1">
        <f>0+1</f>
        <v>1</v>
      </c>
      <c r="M4" s="1">
        <f>0+0</f>
        <v>0</v>
      </c>
      <c r="N4" s="1">
        <f>0+1</f>
        <v>1</v>
      </c>
      <c r="W4" s="1">
        <v>4</v>
      </c>
      <c r="X4" s="12"/>
      <c r="Y4" s="4"/>
      <c r="AA4" s="1" t="s">
        <v>81</v>
      </c>
    </row>
    <row r="5" spans="1:33">
      <c r="A5" s="4" t="s">
        <v>86</v>
      </c>
      <c r="B5" s="4" t="s">
        <v>96</v>
      </c>
      <c r="C5" s="5"/>
      <c r="D5" s="5"/>
      <c r="E5" s="1">
        <f t="shared" si="2"/>
        <v>0</v>
      </c>
      <c r="F5" s="1">
        <f t="shared" si="3"/>
        <v>0</v>
      </c>
      <c r="G5" s="10">
        <v>0.83333333333333337</v>
      </c>
      <c r="H5" s="12"/>
      <c r="I5" t="s">
        <v>90</v>
      </c>
      <c r="J5" s="2">
        <f t="shared" si="0"/>
        <v>0.7</v>
      </c>
      <c r="K5" s="2">
        <f t="shared" si="1"/>
        <v>0</v>
      </c>
      <c r="L5" s="1">
        <f>0+1</f>
        <v>1</v>
      </c>
      <c r="M5" s="1">
        <f>0+0</f>
        <v>0</v>
      </c>
      <c r="N5" s="1">
        <f>0+1</f>
        <v>1</v>
      </c>
      <c r="W5" s="1">
        <v>5</v>
      </c>
      <c r="X5" s="12" t="s">
        <v>97</v>
      </c>
      <c r="Y5" s="4" t="s">
        <v>98</v>
      </c>
    </row>
    <row r="6" spans="1:33">
      <c r="A6" s="4"/>
      <c r="B6" s="4"/>
      <c r="C6" s="5"/>
      <c r="D6" s="5"/>
      <c r="E6" s="1">
        <f t="shared" si="2"/>
        <v>0</v>
      </c>
      <c r="F6" s="1">
        <f t="shared" si="3"/>
        <v>0</v>
      </c>
      <c r="G6" s="10"/>
      <c r="H6" s="12" t="s">
        <v>106</v>
      </c>
      <c r="I6" t="s">
        <v>84</v>
      </c>
      <c r="J6" s="2">
        <f t="shared" si="0"/>
        <v>0</v>
      </c>
      <c r="K6" s="2">
        <f t="shared" si="1"/>
        <v>-1</v>
      </c>
      <c r="L6" s="1">
        <f>0+0</f>
        <v>0</v>
      </c>
      <c r="M6" s="1">
        <f>0-1</f>
        <v>-1</v>
      </c>
      <c r="N6" s="1">
        <f>0+1</f>
        <v>1</v>
      </c>
      <c r="W6" s="1">
        <v>6</v>
      </c>
      <c r="X6" s="12"/>
      <c r="Y6" s="4"/>
    </row>
    <row r="7" spans="1:33">
      <c r="A7" s="4" t="s">
        <v>93</v>
      </c>
      <c r="B7" s="4" t="s">
        <v>90</v>
      </c>
      <c r="C7" s="5"/>
      <c r="D7" s="5"/>
      <c r="E7" s="1">
        <f t="shared" si="2"/>
        <v>0</v>
      </c>
      <c r="F7" s="1">
        <f t="shared" si="3"/>
        <v>0</v>
      </c>
      <c r="G7" s="10">
        <v>0.85416666666666663</v>
      </c>
      <c r="H7" s="12"/>
      <c r="W7" s="1">
        <v>7</v>
      </c>
      <c r="X7" s="12" t="s">
        <v>29</v>
      </c>
      <c r="Y7" s="4" t="s">
        <v>99</v>
      </c>
    </row>
    <row r="8" spans="1:33">
      <c r="A8" s="4" t="s">
        <v>91</v>
      </c>
      <c r="B8" s="4" t="s">
        <v>92</v>
      </c>
      <c r="C8" s="5"/>
      <c r="D8" s="5"/>
      <c r="E8" s="1">
        <f t="shared" si="2"/>
        <v>0</v>
      </c>
      <c r="F8" s="1">
        <f t="shared" si="3"/>
        <v>0</v>
      </c>
      <c r="G8" s="10">
        <v>0.875</v>
      </c>
      <c r="H8" s="12"/>
      <c r="W8" s="1">
        <v>8</v>
      </c>
      <c r="X8" s="12" t="s">
        <v>100</v>
      </c>
      <c r="Y8" s="4" t="s">
        <v>38</v>
      </c>
    </row>
    <row r="9" spans="1:33">
      <c r="A9" t="s">
        <v>6</v>
      </c>
      <c r="C9"/>
      <c r="D9"/>
      <c r="E9"/>
      <c r="F9"/>
      <c r="G9" s="15"/>
      <c r="H9" s="16" t="s">
        <v>103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 t="s">
        <v>75</v>
      </c>
      <c r="AE9" s="3" t="s">
        <v>77</v>
      </c>
      <c r="AG9" s="3"/>
    </row>
    <row r="10" spans="1:33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H10" s="14" t="s">
        <v>102</v>
      </c>
      <c r="W10" s="1">
        <v>10</v>
      </c>
      <c r="X10" s="13" t="s">
        <v>54</v>
      </c>
      <c r="Y10" t="s">
        <v>38</v>
      </c>
    </row>
    <row r="11" spans="1:33">
      <c r="A11" t="s">
        <v>7</v>
      </c>
      <c r="C11"/>
      <c r="D11"/>
      <c r="E11"/>
      <c r="F11"/>
      <c r="W11" s="1">
        <v>11</v>
      </c>
      <c r="X11" s="13" t="s">
        <v>55</v>
      </c>
      <c r="Y11" t="s">
        <v>39</v>
      </c>
    </row>
    <row r="12" spans="1:33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W12" s="1">
        <v>12</v>
      </c>
      <c r="X12" s="13" t="s">
        <v>25</v>
      </c>
      <c r="Y12" t="s">
        <v>40</v>
      </c>
    </row>
    <row r="13" spans="1:33">
      <c r="A13" t="s">
        <v>15</v>
      </c>
      <c r="C13"/>
      <c r="D13"/>
      <c r="E13"/>
      <c r="F13"/>
      <c r="W13" s="1">
        <v>13</v>
      </c>
      <c r="X13" s="13" t="s">
        <v>29</v>
      </c>
      <c r="Y13" t="s">
        <v>45</v>
      </c>
    </row>
    <row r="14" spans="1:33">
      <c r="A14" s="3" t="s">
        <v>30</v>
      </c>
      <c r="C14"/>
      <c r="D14"/>
      <c r="E14"/>
      <c r="F14"/>
      <c r="W14" s="1">
        <v>14</v>
      </c>
      <c r="X14" s="13" t="s">
        <v>56</v>
      </c>
      <c r="Y14" t="s">
        <v>42</v>
      </c>
    </row>
    <row r="15" spans="1:33">
      <c r="A15" t="s">
        <v>31</v>
      </c>
      <c r="C15"/>
      <c r="D15"/>
      <c r="E15"/>
      <c r="F15"/>
      <c r="W15" s="1">
        <v>15</v>
      </c>
      <c r="X15" s="13" t="s">
        <v>57</v>
      </c>
      <c r="Y15" t="s">
        <v>43</v>
      </c>
    </row>
    <row r="16" spans="1:33">
      <c r="A16" t="s">
        <v>23</v>
      </c>
      <c r="C16"/>
      <c r="D16"/>
      <c r="E16"/>
      <c r="F16"/>
      <c r="W16" s="1">
        <v>16</v>
      </c>
      <c r="X16" s="13" t="s">
        <v>58</v>
      </c>
      <c r="Y16" t="s">
        <v>44</v>
      </c>
    </row>
    <row r="17" spans="1:25">
      <c r="A17" t="s">
        <v>32</v>
      </c>
      <c r="W17" s="1">
        <v>17</v>
      </c>
      <c r="X17" s="13" t="s">
        <v>59</v>
      </c>
      <c r="Y17" t="s">
        <v>46</v>
      </c>
    </row>
    <row r="18" spans="1:25">
      <c r="A18" t="s">
        <v>33</v>
      </c>
      <c r="C18"/>
      <c r="D18"/>
      <c r="E18"/>
      <c r="F18"/>
      <c r="W18" s="1">
        <v>18</v>
      </c>
      <c r="X18" s="13" t="s">
        <v>60</v>
      </c>
      <c r="Y18" t="s">
        <v>47</v>
      </c>
    </row>
    <row r="19" spans="1:25">
      <c r="A19" t="s">
        <v>34</v>
      </c>
      <c r="W19" s="1">
        <v>19</v>
      </c>
      <c r="X19" s="13" t="s">
        <v>26</v>
      </c>
      <c r="Y19" t="s">
        <v>48</v>
      </c>
    </row>
    <row r="20" spans="1:25">
      <c r="A20" t="s">
        <v>19</v>
      </c>
      <c r="W20" s="1">
        <v>20</v>
      </c>
      <c r="X20" s="13" t="s">
        <v>61</v>
      </c>
      <c r="Y20" t="s">
        <v>49</v>
      </c>
    </row>
    <row r="21" spans="1:25">
      <c r="B21" t="s">
        <v>20</v>
      </c>
      <c r="W21" s="1">
        <v>21</v>
      </c>
      <c r="X21" s="13" t="s">
        <v>62</v>
      </c>
      <c r="Y21" t="s">
        <v>50</v>
      </c>
    </row>
    <row r="22" spans="1:25">
      <c r="B22" t="s">
        <v>88</v>
      </c>
      <c r="W22" s="1">
        <v>22</v>
      </c>
      <c r="X22" s="13" t="s">
        <v>63</v>
      </c>
      <c r="Y22" t="s">
        <v>51</v>
      </c>
    </row>
    <row r="23" spans="1:25">
      <c r="A23" t="s">
        <v>16</v>
      </c>
      <c r="C23"/>
      <c r="D23"/>
      <c r="E23"/>
      <c r="F23"/>
      <c r="W23" s="1">
        <v>23</v>
      </c>
      <c r="X23" s="13" t="s">
        <v>28</v>
      </c>
      <c r="Y23" t="s">
        <v>52</v>
      </c>
    </row>
    <row r="24" spans="1:25">
      <c r="A24" t="s">
        <v>17</v>
      </c>
      <c r="B24" s="2" t="e">
        <f t="shared" ref="B24" si="4">(D24/F24)*IF(F24&gt;5,1,IF(F24=5,0.9,IF(F24=4,0.8,0.7)))</f>
        <v>#DIV/0!</v>
      </c>
      <c r="C24" s="2" t="e">
        <f t="shared" ref="C24" si="5">E24/F24</f>
        <v>#DIV/0!</v>
      </c>
      <c r="D24" s="1">
        <f>0</f>
        <v>0</v>
      </c>
      <c r="E24" s="1">
        <f>0</f>
        <v>0</v>
      </c>
      <c r="F24" s="1">
        <f>0</f>
        <v>0</v>
      </c>
      <c r="W24" s="1">
        <v>24</v>
      </c>
      <c r="X24" s="13" t="s">
        <v>64</v>
      </c>
      <c r="Y24" t="s">
        <v>53</v>
      </c>
    </row>
    <row r="25" spans="1:25">
      <c r="A25" t="s">
        <v>18</v>
      </c>
      <c r="B25" t="s">
        <v>22</v>
      </c>
      <c r="W25" s="1">
        <v>25</v>
      </c>
      <c r="X25" s="13" t="s">
        <v>65</v>
      </c>
      <c r="Y25" t="s">
        <v>68</v>
      </c>
    </row>
    <row r="26" spans="1:25">
      <c r="A26" t="s">
        <v>14</v>
      </c>
      <c r="W26" s="1">
        <v>26</v>
      </c>
      <c r="X26" s="13" t="s">
        <v>66</v>
      </c>
      <c r="Y26" t="s">
        <v>69</v>
      </c>
    </row>
    <row r="27" spans="1:25">
      <c r="A27" t="s">
        <v>21</v>
      </c>
      <c r="W27" s="1">
        <v>27</v>
      </c>
      <c r="X27" s="13" t="s">
        <v>67</v>
      </c>
      <c r="Y27" t="s">
        <v>70</v>
      </c>
    </row>
    <row r="28" spans="1:25">
      <c r="W28" s="1">
        <v>28</v>
      </c>
    </row>
    <row r="29" spans="1:25">
      <c r="W29" s="1">
        <v>29</v>
      </c>
    </row>
    <row r="30" spans="1:25">
      <c r="W30" s="1">
        <v>30</v>
      </c>
    </row>
    <row r="31" spans="1:25">
      <c r="W31" s="1">
        <v>31</v>
      </c>
    </row>
    <row r="32" spans="1:25">
      <c r="W32" s="1">
        <v>32</v>
      </c>
    </row>
    <row r="33" spans="23:23">
      <c r="W33" s="1">
        <v>33</v>
      </c>
    </row>
    <row r="34" spans="23:23">
      <c r="W34" s="1">
        <v>34</v>
      </c>
    </row>
    <row r="35" spans="23:23">
      <c r="W35" s="1">
        <v>35</v>
      </c>
    </row>
    <row r="36" spans="23:23">
      <c r="W36" s="1">
        <v>36</v>
      </c>
    </row>
    <row r="37" spans="23:23">
      <c r="W37" s="1">
        <v>37</v>
      </c>
    </row>
    <row r="38" spans="23:23">
      <c r="W38" s="1">
        <v>38</v>
      </c>
    </row>
    <row r="39" spans="23:23">
      <c r="W39" s="1">
        <v>39</v>
      </c>
    </row>
    <row r="40" spans="23:23">
      <c r="W40" s="1">
        <v>40</v>
      </c>
    </row>
    <row r="41" spans="23:23">
      <c r="W41" s="1">
        <v>41</v>
      </c>
    </row>
    <row r="42" spans="23:23">
      <c r="W42" s="1">
        <v>42</v>
      </c>
    </row>
    <row r="43" spans="23:23">
      <c r="W43" s="1">
        <v>43</v>
      </c>
    </row>
    <row r="44" spans="23:23">
      <c r="W44" s="1">
        <v>44</v>
      </c>
    </row>
    <row r="45" spans="23:23">
      <c r="W45" s="1">
        <v>45</v>
      </c>
    </row>
    <row r="46" spans="23:23">
      <c r="W46" s="1">
        <v>46</v>
      </c>
    </row>
    <row r="47" spans="23:23">
      <c r="W47" s="1">
        <v>47</v>
      </c>
    </row>
    <row r="48" spans="23:23">
      <c r="W48" s="1">
        <v>48</v>
      </c>
    </row>
    <row r="49" spans="23:23">
      <c r="W49" s="1">
        <v>49</v>
      </c>
    </row>
    <row r="50" spans="23:23">
      <c r="W50" s="1">
        <v>50</v>
      </c>
    </row>
    <row r="51" spans="23:23">
      <c r="W51" s="1">
        <v>51</v>
      </c>
    </row>
    <row r="52" spans="23:23">
      <c r="W52" s="1">
        <v>52</v>
      </c>
    </row>
    <row r="53" spans="23:23">
      <c r="W53" s="1">
        <v>53</v>
      </c>
    </row>
    <row r="54" spans="23:23">
      <c r="W54" s="1">
        <v>54</v>
      </c>
    </row>
    <row r="55" spans="23:23">
      <c r="W55" s="1">
        <v>55</v>
      </c>
    </row>
    <row r="56" spans="23:23">
      <c r="W56" s="1">
        <v>56</v>
      </c>
    </row>
    <row r="57" spans="23:23">
      <c r="W57" s="1">
        <v>57</v>
      </c>
    </row>
    <row r="58" spans="23:23">
      <c r="W58" s="1">
        <v>58</v>
      </c>
    </row>
    <row r="59" spans="23:23">
      <c r="W59" s="1">
        <v>59</v>
      </c>
    </row>
    <row r="60" spans="23:23">
      <c r="W60" s="1">
        <v>60</v>
      </c>
    </row>
    <row r="61" spans="23:23">
      <c r="W61" s="1">
        <v>61</v>
      </c>
    </row>
    <row r="62" spans="23:23">
      <c r="W62" s="1">
        <v>62</v>
      </c>
    </row>
    <row r="63" spans="23:23">
      <c r="W63" s="1">
        <v>63</v>
      </c>
    </row>
    <row r="64" spans="23:23">
      <c r="W64" s="1">
        <v>64</v>
      </c>
    </row>
    <row r="65" spans="23:23">
      <c r="W65" s="1">
        <v>65</v>
      </c>
    </row>
    <row r="66" spans="23:23">
      <c r="W66" s="1">
        <v>66</v>
      </c>
    </row>
    <row r="67" spans="23:23">
      <c r="W67" s="1">
        <v>67</v>
      </c>
    </row>
    <row r="68" spans="23:23">
      <c r="W68" s="1">
        <v>68</v>
      </c>
    </row>
    <row r="69" spans="23:23">
      <c r="W69" s="1">
        <v>69</v>
      </c>
    </row>
    <row r="70" spans="23:23">
      <c r="W70" s="1">
        <v>70</v>
      </c>
    </row>
    <row r="71" spans="23:23">
      <c r="W71" s="1">
        <v>71</v>
      </c>
    </row>
    <row r="72" spans="23:23">
      <c r="W72" s="1">
        <v>72</v>
      </c>
    </row>
    <row r="73" spans="23:23">
      <c r="W73" s="1">
        <v>73</v>
      </c>
    </row>
    <row r="74" spans="23:23">
      <c r="W74" s="1">
        <v>74</v>
      </c>
    </row>
    <row r="75" spans="23:23">
      <c r="W75" s="1">
        <v>75</v>
      </c>
    </row>
    <row r="76" spans="23:23">
      <c r="W76" s="1">
        <v>76</v>
      </c>
    </row>
    <row r="77" spans="23:23">
      <c r="W77" s="1">
        <v>77</v>
      </c>
    </row>
    <row r="78" spans="23:23">
      <c r="W78" s="1">
        <v>78</v>
      </c>
    </row>
    <row r="79" spans="23:23">
      <c r="W79" s="1">
        <v>79</v>
      </c>
    </row>
    <row r="80" spans="23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sortState ref="I1:N99">
    <sortCondition descending="1" ref="J1:J99"/>
    <sortCondition descending="1" ref="K1:K9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99"/>
  <sheetViews>
    <sheetView zoomScale="73" zoomScaleNormal="73" workbookViewId="0">
      <selection activeCell="G7" sqref="G7:G8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6.5703125" style="1" customWidth="1"/>
    <col min="29" max="29" width="2.140625" style="8" customWidth="1"/>
    <col min="30" max="31" width="6.42578125" style="1" customWidth="1"/>
    <col min="32" max="32" width="2.140625" style="8" customWidth="1"/>
    <col min="33" max="33" width="6.42578125" style="1" customWidth="1"/>
    <col min="34" max="34" width="2.140625" style="8" customWidth="1"/>
    <col min="35" max="35" width="9.7109375" customWidth="1"/>
  </cols>
  <sheetData>
    <row r="1" spans="1:35">
      <c r="A1" s="4" t="s">
        <v>89</v>
      </c>
      <c r="B1" s="4" t="s">
        <v>90</v>
      </c>
      <c r="C1" s="5">
        <v>1</v>
      </c>
      <c r="D1" s="5">
        <v>1</v>
      </c>
      <c r="E1" s="1">
        <f t="shared" ref="E1:E8" si="0">C1-D1</f>
        <v>0</v>
      </c>
      <c r="F1" s="1">
        <f t="shared" ref="F1:F8" si="1">D1-C1</f>
        <v>0</v>
      </c>
      <c r="G1" s="10"/>
      <c r="H1" s="17"/>
      <c r="I1" t="s">
        <v>83</v>
      </c>
      <c r="J1" s="2">
        <f t="shared" ref="J1:J8" si="2">(L1/N1)*IF(N1&gt;5,1,IF(N1=5,0.9,IF(N1=4,0.8,0.7)))</f>
        <v>2.0999999999999996</v>
      </c>
      <c r="K1" s="2">
        <f t="shared" ref="K1:K8" si="3">M1/N1</f>
        <v>1</v>
      </c>
      <c r="L1" s="1">
        <f>0+3</f>
        <v>3</v>
      </c>
      <c r="M1" s="1">
        <f>0+1</f>
        <v>1</v>
      </c>
      <c r="N1" s="1">
        <f>0+1</f>
        <v>1</v>
      </c>
      <c r="W1" s="1">
        <v>1</v>
      </c>
      <c r="X1" s="12" t="s">
        <v>97</v>
      </c>
      <c r="Y1" s="4" t="s">
        <v>73</v>
      </c>
      <c r="AA1" s="18" t="s">
        <v>108</v>
      </c>
      <c r="AB1" s="18" t="s">
        <v>111</v>
      </c>
      <c r="AD1" s="18"/>
      <c r="AE1" s="18"/>
      <c r="AI1" s="12"/>
    </row>
    <row r="2" spans="1:35">
      <c r="A2" s="4"/>
      <c r="B2" s="4"/>
      <c r="C2" s="5"/>
      <c r="D2" s="5"/>
      <c r="E2" s="1">
        <f t="shared" si="0"/>
        <v>0</v>
      </c>
      <c r="F2" s="1">
        <f t="shared" si="1"/>
        <v>0</v>
      </c>
      <c r="G2" s="10"/>
      <c r="H2" s="17"/>
      <c r="I2" t="s">
        <v>94</v>
      </c>
      <c r="J2" s="2">
        <f t="shared" si="2"/>
        <v>2.0999999999999996</v>
      </c>
      <c r="K2" s="2">
        <f t="shared" si="3"/>
        <v>1</v>
      </c>
      <c r="L2" s="1">
        <f>0+3</f>
        <v>3</v>
      </c>
      <c r="M2" s="1">
        <f>0+1</f>
        <v>1</v>
      </c>
      <c r="N2" s="1">
        <f>0+1</f>
        <v>1</v>
      </c>
      <c r="W2" s="1">
        <v>2</v>
      </c>
      <c r="X2" s="12"/>
      <c r="Y2" s="4"/>
      <c r="AA2" s="18"/>
      <c r="AB2" s="18"/>
      <c r="AD2" s="18"/>
      <c r="AE2" s="18"/>
      <c r="AI2" s="12" t="s">
        <v>104</v>
      </c>
    </row>
    <row r="3" spans="1:35">
      <c r="A3" s="4" t="s">
        <v>94</v>
      </c>
      <c r="B3" s="4" t="s">
        <v>95</v>
      </c>
      <c r="C3" s="5">
        <v>1</v>
      </c>
      <c r="D3" s="5">
        <v>0</v>
      </c>
      <c r="E3" s="1">
        <f t="shared" si="0"/>
        <v>1</v>
      </c>
      <c r="F3" s="1">
        <f t="shared" si="1"/>
        <v>-1</v>
      </c>
      <c r="G3" s="10"/>
      <c r="H3" s="17"/>
      <c r="I3" t="s">
        <v>85</v>
      </c>
      <c r="J3" s="2">
        <f t="shared" si="2"/>
        <v>0.7</v>
      </c>
      <c r="K3" s="2">
        <f t="shared" si="3"/>
        <v>0</v>
      </c>
      <c r="L3" s="1">
        <f>0+1</f>
        <v>1</v>
      </c>
      <c r="M3" s="1">
        <f>0+0</f>
        <v>0</v>
      </c>
      <c r="N3" s="1">
        <f t="shared" ref="N3:N8" si="4">0+1</f>
        <v>1</v>
      </c>
      <c r="W3" s="1">
        <v>3</v>
      </c>
      <c r="X3" s="12" t="s">
        <v>97</v>
      </c>
      <c r="Y3" s="4" t="s">
        <v>41</v>
      </c>
      <c r="AA3" s="18" t="s">
        <v>109</v>
      </c>
      <c r="AB3" s="18" t="s">
        <v>111</v>
      </c>
      <c r="AD3" s="18"/>
      <c r="AE3" s="18"/>
      <c r="AI3" s="12"/>
    </row>
    <row r="4" spans="1:35">
      <c r="A4" s="4"/>
      <c r="B4" s="4"/>
      <c r="C4" s="5"/>
      <c r="D4" s="5"/>
      <c r="E4" s="1">
        <f t="shared" si="0"/>
        <v>0</v>
      </c>
      <c r="F4" s="1">
        <f t="shared" si="1"/>
        <v>0</v>
      </c>
      <c r="G4" s="10"/>
      <c r="H4" s="17"/>
      <c r="I4" t="s">
        <v>86</v>
      </c>
      <c r="J4" s="2">
        <f t="shared" si="2"/>
        <v>0.7</v>
      </c>
      <c r="K4" s="2">
        <f t="shared" si="3"/>
        <v>0</v>
      </c>
      <c r="L4" s="1">
        <f>0+1</f>
        <v>1</v>
      </c>
      <c r="M4" s="1">
        <f>0+0</f>
        <v>0</v>
      </c>
      <c r="N4" s="1">
        <f t="shared" si="4"/>
        <v>1</v>
      </c>
      <c r="W4" s="1">
        <v>4</v>
      </c>
      <c r="X4" s="12"/>
      <c r="Y4" s="4"/>
      <c r="AA4" s="18"/>
      <c r="AB4" s="18"/>
      <c r="AD4" s="18"/>
      <c r="AE4" s="18"/>
      <c r="AI4" s="12" t="s">
        <v>105</v>
      </c>
    </row>
    <row r="5" spans="1:35">
      <c r="A5" s="4" t="s">
        <v>86</v>
      </c>
      <c r="B5" s="4" t="s">
        <v>96</v>
      </c>
      <c r="C5" s="5"/>
      <c r="D5" s="5"/>
      <c r="E5" s="1">
        <f t="shared" si="0"/>
        <v>0</v>
      </c>
      <c r="F5" s="1">
        <f t="shared" si="1"/>
        <v>0</v>
      </c>
      <c r="G5" s="10">
        <v>0.83333333333333337</v>
      </c>
      <c r="H5" s="17"/>
      <c r="I5" t="s">
        <v>89</v>
      </c>
      <c r="J5" s="2">
        <f t="shared" si="2"/>
        <v>0.7</v>
      </c>
      <c r="K5" s="2">
        <f t="shared" si="3"/>
        <v>0</v>
      </c>
      <c r="L5" s="1">
        <f>0+1</f>
        <v>1</v>
      </c>
      <c r="M5" s="1">
        <f>0+0</f>
        <v>0</v>
      </c>
      <c r="N5" s="1">
        <f t="shared" si="4"/>
        <v>1</v>
      </c>
      <c r="W5" s="1">
        <v>5</v>
      </c>
      <c r="X5" s="12" t="s">
        <v>97</v>
      </c>
      <c r="Y5" s="4" t="s">
        <v>98</v>
      </c>
      <c r="AA5" s="18" t="s">
        <v>109</v>
      </c>
      <c r="AB5" s="18" t="s">
        <v>112</v>
      </c>
      <c r="AD5" s="18"/>
      <c r="AE5" s="18"/>
      <c r="AI5" s="12"/>
    </row>
    <row r="6" spans="1:35">
      <c r="A6" s="4"/>
      <c r="B6" s="4"/>
      <c r="C6" s="5"/>
      <c r="D6" s="5"/>
      <c r="E6" s="1">
        <f t="shared" si="0"/>
        <v>0</v>
      </c>
      <c r="F6" s="1">
        <f t="shared" si="1"/>
        <v>0</v>
      </c>
      <c r="G6" s="10"/>
      <c r="H6" s="17"/>
      <c r="I6" t="s">
        <v>90</v>
      </c>
      <c r="J6" s="2">
        <f t="shared" si="2"/>
        <v>0.7</v>
      </c>
      <c r="K6" s="2">
        <f t="shared" si="3"/>
        <v>0</v>
      </c>
      <c r="L6" s="1">
        <f>0+1</f>
        <v>1</v>
      </c>
      <c r="M6" s="1">
        <f>0+0</f>
        <v>0</v>
      </c>
      <c r="N6" s="1">
        <f t="shared" si="4"/>
        <v>1</v>
      </c>
      <c r="W6" s="1">
        <v>6</v>
      </c>
      <c r="X6" s="12"/>
      <c r="Y6" s="4"/>
      <c r="AA6" s="18"/>
      <c r="AB6" s="18"/>
      <c r="AD6" s="18"/>
      <c r="AE6" s="18"/>
      <c r="AI6" s="12" t="s">
        <v>106</v>
      </c>
    </row>
    <row r="7" spans="1:35">
      <c r="A7" s="4" t="s">
        <v>93</v>
      </c>
      <c r="B7" s="4" t="s">
        <v>90</v>
      </c>
      <c r="C7" s="5"/>
      <c r="D7" s="5"/>
      <c r="E7" s="1">
        <f t="shared" si="0"/>
        <v>0</v>
      </c>
      <c r="F7" s="1">
        <f t="shared" si="1"/>
        <v>0</v>
      </c>
      <c r="G7" s="10">
        <v>0.85416666666666663</v>
      </c>
      <c r="H7" s="17"/>
      <c r="I7" t="s">
        <v>84</v>
      </c>
      <c r="J7" s="2">
        <f t="shared" si="2"/>
        <v>0</v>
      </c>
      <c r="K7" s="2">
        <f t="shared" si="3"/>
        <v>-1</v>
      </c>
      <c r="L7" s="1">
        <f>0+0</f>
        <v>0</v>
      </c>
      <c r="M7" s="1">
        <f>0-1</f>
        <v>-1</v>
      </c>
      <c r="N7" s="1">
        <f t="shared" si="4"/>
        <v>1</v>
      </c>
      <c r="W7" s="1">
        <v>7</v>
      </c>
      <c r="X7" s="12" t="s">
        <v>29</v>
      </c>
      <c r="Y7" s="4" t="s">
        <v>99</v>
      </c>
      <c r="AA7" s="18" t="s">
        <v>110</v>
      </c>
      <c r="AB7" s="18" t="s">
        <v>111</v>
      </c>
      <c r="AD7" s="18"/>
      <c r="AE7" s="18"/>
      <c r="AI7" s="12"/>
    </row>
    <row r="8" spans="1:35">
      <c r="A8" s="4" t="s">
        <v>91</v>
      </c>
      <c r="B8" s="4" t="s">
        <v>92</v>
      </c>
      <c r="C8" s="5"/>
      <c r="D8" s="5"/>
      <c r="E8" s="1">
        <f t="shared" si="0"/>
        <v>0</v>
      </c>
      <c r="F8" s="1">
        <f t="shared" si="1"/>
        <v>0</v>
      </c>
      <c r="G8" s="10">
        <v>0.875</v>
      </c>
      <c r="H8" s="17"/>
      <c r="I8" t="s">
        <v>95</v>
      </c>
      <c r="J8" s="2">
        <f t="shared" si="2"/>
        <v>0</v>
      </c>
      <c r="K8" s="2">
        <f t="shared" si="3"/>
        <v>-1</v>
      </c>
      <c r="L8" s="1">
        <f>0+0</f>
        <v>0</v>
      </c>
      <c r="M8" s="1">
        <f>0+-1</f>
        <v>-1</v>
      </c>
      <c r="N8" s="1">
        <f t="shared" si="4"/>
        <v>1</v>
      </c>
      <c r="W8" s="1">
        <v>8</v>
      </c>
      <c r="X8" s="12" t="s">
        <v>100</v>
      </c>
      <c r="Y8" s="4" t="s">
        <v>38</v>
      </c>
      <c r="AA8" s="18" t="s">
        <v>110</v>
      </c>
      <c r="AB8" s="18" t="s">
        <v>113</v>
      </c>
      <c r="AD8" s="18"/>
      <c r="AE8" s="18"/>
      <c r="AI8" s="12"/>
    </row>
    <row r="9" spans="1:35">
      <c r="A9" t="s">
        <v>6</v>
      </c>
      <c r="C9"/>
      <c r="D9"/>
      <c r="E9"/>
      <c r="F9"/>
      <c r="G9" s="15"/>
      <c r="H9" s="7"/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 t="s">
        <v>75</v>
      </c>
      <c r="AE9" s="3" t="s">
        <v>77</v>
      </c>
      <c r="AG9" s="3"/>
      <c r="AI9" s="16" t="s">
        <v>103</v>
      </c>
    </row>
    <row r="10" spans="1:35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W10" s="1">
        <v>10</v>
      </c>
      <c r="X10" s="13" t="s">
        <v>54</v>
      </c>
      <c r="Y10" t="s">
        <v>38</v>
      </c>
    </row>
    <row r="11" spans="1:35">
      <c r="A11" t="s">
        <v>7</v>
      </c>
      <c r="C11"/>
      <c r="D11"/>
      <c r="E11"/>
      <c r="F11"/>
      <c r="W11" s="1">
        <v>11</v>
      </c>
      <c r="X11" s="13" t="s">
        <v>55</v>
      </c>
      <c r="Y11" t="s">
        <v>39</v>
      </c>
    </row>
    <row r="12" spans="1:35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W12" s="1">
        <v>12</v>
      </c>
      <c r="X12" s="13" t="s">
        <v>25</v>
      </c>
      <c r="Y12" t="s">
        <v>40</v>
      </c>
    </row>
    <row r="13" spans="1:35">
      <c r="A13" t="s">
        <v>15</v>
      </c>
      <c r="C13"/>
      <c r="D13"/>
      <c r="E13"/>
      <c r="F13"/>
      <c r="W13" s="1">
        <v>13</v>
      </c>
      <c r="X13" s="13" t="s">
        <v>29</v>
      </c>
      <c r="Y13" t="s">
        <v>45</v>
      </c>
    </row>
    <row r="14" spans="1:35">
      <c r="A14" s="3" t="s">
        <v>30</v>
      </c>
      <c r="C14"/>
      <c r="D14"/>
      <c r="E14"/>
      <c r="F14"/>
      <c r="W14" s="1">
        <v>14</v>
      </c>
      <c r="X14" s="13" t="s">
        <v>56</v>
      </c>
      <c r="Y14" t="s">
        <v>42</v>
      </c>
    </row>
    <row r="15" spans="1:35">
      <c r="A15" t="s">
        <v>31</v>
      </c>
      <c r="C15"/>
      <c r="D15"/>
      <c r="E15"/>
      <c r="F15"/>
      <c r="H15" s="8" t="s">
        <v>107</v>
      </c>
      <c r="W15" s="1">
        <v>15</v>
      </c>
      <c r="X15" s="13" t="s">
        <v>57</v>
      </c>
      <c r="Y15" t="s">
        <v>43</v>
      </c>
    </row>
    <row r="16" spans="1:35">
      <c r="A16" t="s">
        <v>23</v>
      </c>
      <c r="C16"/>
      <c r="D16"/>
      <c r="E16"/>
      <c r="F16"/>
      <c r="W16" s="1">
        <v>16</v>
      </c>
      <c r="X16" s="13" t="s">
        <v>58</v>
      </c>
      <c r="Y16" t="s">
        <v>44</v>
      </c>
    </row>
    <row r="17" spans="1:25">
      <c r="A17" t="s">
        <v>32</v>
      </c>
      <c r="H17" s="8" t="s">
        <v>107</v>
      </c>
      <c r="W17" s="1">
        <v>17</v>
      </c>
      <c r="X17" s="13" t="s">
        <v>59</v>
      </c>
      <c r="Y17" t="s">
        <v>46</v>
      </c>
    </row>
    <row r="18" spans="1:25">
      <c r="A18" t="s">
        <v>33</v>
      </c>
      <c r="C18"/>
      <c r="D18"/>
      <c r="E18"/>
      <c r="F18"/>
      <c r="W18" s="1">
        <v>18</v>
      </c>
      <c r="X18" s="13" t="s">
        <v>60</v>
      </c>
      <c r="Y18" t="s">
        <v>47</v>
      </c>
    </row>
    <row r="19" spans="1:25">
      <c r="A19" t="s">
        <v>34</v>
      </c>
      <c r="H19" s="8" t="s">
        <v>107</v>
      </c>
      <c r="W19" s="1">
        <v>19</v>
      </c>
      <c r="X19" s="13" t="s">
        <v>26</v>
      </c>
      <c r="Y19" t="s">
        <v>48</v>
      </c>
    </row>
    <row r="20" spans="1:25">
      <c r="A20" t="s">
        <v>19</v>
      </c>
      <c r="W20" s="1">
        <v>20</v>
      </c>
      <c r="X20" s="13" t="s">
        <v>61</v>
      </c>
      <c r="Y20" t="s">
        <v>49</v>
      </c>
    </row>
    <row r="21" spans="1:25">
      <c r="B21" t="s">
        <v>20</v>
      </c>
      <c r="W21" s="1">
        <v>21</v>
      </c>
      <c r="X21" s="13" t="s">
        <v>62</v>
      </c>
      <c r="Y21" t="s">
        <v>50</v>
      </c>
    </row>
    <row r="22" spans="1:25">
      <c r="B22" t="s">
        <v>88</v>
      </c>
      <c r="W22" s="1">
        <v>22</v>
      </c>
      <c r="X22" s="13" t="s">
        <v>63</v>
      </c>
      <c r="Y22" t="s">
        <v>51</v>
      </c>
    </row>
    <row r="23" spans="1:25">
      <c r="A23" t="s">
        <v>16</v>
      </c>
      <c r="C23"/>
      <c r="D23"/>
      <c r="E23"/>
      <c r="F23"/>
      <c r="W23" s="1">
        <v>23</v>
      </c>
      <c r="X23" s="13" t="s">
        <v>28</v>
      </c>
      <c r="Y23" t="s">
        <v>52</v>
      </c>
    </row>
    <row r="24" spans="1:25">
      <c r="A24" t="s">
        <v>17</v>
      </c>
      <c r="B24" s="2" t="e">
        <f t="shared" ref="B24" si="5">(D24/F24)*IF(F24&gt;5,1,IF(F24=5,0.9,IF(F24=4,0.8,0.7)))</f>
        <v>#DIV/0!</v>
      </c>
      <c r="C24" s="2" t="e">
        <f t="shared" ref="C24" si="6">E24/F24</f>
        <v>#DIV/0!</v>
      </c>
      <c r="D24" s="1">
        <f>0</f>
        <v>0</v>
      </c>
      <c r="E24" s="1">
        <f>0</f>
        <v>0</v>
      </c>
      <c r="F24" s="1">
        <f>0</f>
        <v>0</v>
      </c>
      <c r="W24" s="1">
        <v>24</v>
      </c>
      <c r="X24" s="13" t="s">
        <v>64</v>
      </c>
      <c r="Y24" t="s">
        <v>53</v>
      </c>
    </row>
    <row r="25" spans="1:25">
      <c r="A25" t="s">
        <v>18</v>
      </c>
      <c r="B25" t="s">
        <v>22</v>
      </c>
      <c r="H25" s="8" t="s">
        <v>107</v>
      </c>
      <c r="W25" s="1">
        <v>25</v>
      </c>
      <c r="X25" s="13" t="s">
        <v>65</v>
      </c>
      <c r="Y25" t="s">
        <v>68</v>
      </c>
    </row>
    <row r="26" spans="1:25">
      <c r="A26" t="s">
        <v>14</v>
      </c>
      <c r="W26" s="1">
        <v>26</v>
      </c>
      <c r="X26" s="13" t="s">
        <v>66</v>
      </c>
      <c r="Y26" t="s">
        <v>69</v>
      </c>
    </row>
    <row r="27" spans="1:25">
      <c r="A27" t="s">
        <v>21</v>
      </c>
      <c r="W27" s="1">
        <v>27</v>
      </c>
      <c r="X27" s="13" t="s">
        <v>67</v>
      </c>
      <c r="Y27" t="s">
        <v>70</v>
      </c>
    </row>
    <row r="28" spans="1:25">
      <c r="W28" s="1">
        <v>28</v>
      </c>
    </row>
    <row r="29" spans="1:25">
      <c r="W29" s="1">
        <v>29</v>
      </c>
    </row>
    <row r="30" spans="1:25">
      <c r="W30" s="1">
        <v>30</v>
      </c>
    </row>
    <row r="31" spans="1:25">
      <c r="W31" s="1">
        <v>31</v>
      </c>
    </row>
    <row r="32" spans="1:25">
      <c r="W32" s="1">
        <v>32</v>
      </c>
    </row>
    <row r="33" spans="23:23">
      <c r="W33" s="1">
        <v>33</v>
      </c>
    </row>
    <row r="34" spans="23:23">
      <c r="W34" s="1">
        <v>34</v>
      </c>
    </row>
    <row r="35" spans="23:23">
      <c r="W35" s="1">
        <v>35</v>
      </c>
    </row>
    <row r="36" spans="23:23">
      <c r="W36" s="1">
        <v>36</v>
      </c>
    </row>
    <row r="37" spans="23:23">
      <c r="W37" s="1">
        <v>37</v>
      </c>
    </row>
    <row r="38" spans="23:23">
      <c r="W38" s="1">
        <v>38</v>
      </c>
    </row>
    <row r="39" spans="23:23">
      <c r="W39" s="1">
        <v>39</v>
      </c>
    </row>
    <row r="40" spans="23:23">
      <c r="W40" s="1">
        <v>40</v>
      </c>
    </row>
    <row r="41" spans="23:23">
      <c r="W41" s="1">
        <v>41</v>
      </c>
    </row>
    <row r="42" spans="23:23">
      <c r="W42" s="1">
        <v>42</v>
      </c>
    </row>
    <row r="43" spans="23:23">
      <c r="W43" s="1">
        <v>43</v>
      </c>
    </row>
    <row r="44" spans="23:23">
      <c r="W44" s="1">
        <v>44</v>
      </c>
    </row>
    <row r="45" spans="23:23">
      <c r="W45" s="1">
        <v>45</v>
      </c>
    </row>
    <row r="46" spans="23:23">
      <c r="W46" s="1">
        <v>46</v>
      </c>
    </row>
    <row r="47" spans="23:23">
      <c r="W47" s="1">
        <v>47</v>
      </c>
    </row>
    <row r="48" spans="23:23">
      <c r="W48" s="1">
        <v>48</v>
      </c>
    </row>
    <row r="49" spans="23:23">
      <c r="W49" s="1">
        <v>49</v>
      </c>
    </row>
    <row r="50" spans="23:23">
      <c r="W50" s="1">
        <v>50</v>
      </c>
    </row>
    <row r="51" spans="23:23">
      <c r="W51" s="1">
        <v>51</v>
      </c>
    </row>
    <row r="52" spans="23:23">
      <c r="W52" s="1">
        <v>52</v>
      </c>
    </row>
    <row r="53" spans="23:23">
      <c r="W53" s="1">
        <v>53</v>
      </c>
    </row>
    <row r="54" spans="23:23">
      <c r="W54" s="1">
        <v>54</v>
      </c>
    </row>
    <row r="55" spans="23:23">
      <c r="W55" s="1">
        <v>55</v>
      </c>
    </row>
    <row r="56" spans="23:23">
      <c r="W56" s="1">
        <v>56</v>
      </c>
    </row>
    <row r="57" spans="23:23">
      <c r="W57" s="1">
        <v>57</v>
      </c>
    </row>
    <row r="58" spans="23:23">
      <c r="W58" s="1">
        <v>58</v>
      </c>
    </row>
    <row r="59" spans="23:23">
      <c r="W59" s="1">
        <v>59</v>
      </c>
    </row>
    <row r="60" spans="23:23">
      <c r="W60" s="1">
        <v>60</v>
      </c>
    </row>
    <row r="61" spans="23:23">
      <c r="W61" s="1">
        <v>61</v>
      </c>
    </row>
    <row r="62" spans="23:23">
      <c r="W62" s="1">
        <v>62</v>
      </c>
    </row>
    <row r="63" spans="23:23">
      <c r="W63" s="1">
        <v>63</v>
      </c>
    </row>
    <row r="64" spans="23:23">
      <c r="W64" s="1">
        <v>64</v>
      </c>
    </row>
    <row r="65" spans="23:23">
      <c r="W65" s="1">
        <v>65</v>
      </c>
    </row>
    <row r="66" spans="23:23">
      <c r="W66" s="1">
        <v>66</v>
      </c>
    </row>
    <row r="67" spans="23:23">
      <c r="W67" s="1">
        <v>67</v>
      </c>
    </row>
    <row r="68" spans="23:23">
      <c r="W68" s="1">
        <v>68</v>
      </c>
    </row>
    <row r="69" spans="23:23">
      <c r="W69" s="1">
        <v>69</v>
      </c>
    </row>
    <row r="70" spans="23:23">
      <c r="W70" s="1">
        <v>70</v>
      </c>
    </row>
    <row r="71" spans="23:23">
      <c r="W71" s="1">
        <v>71</v>
      </c>
    </row>
    <row r="72" spans="23:23">
      <c r="W72" s="1">
        <v>72</v>
      </c>
    </row>
    <row r="73" spans="23:23">
      <c r="W73" s="1">
        <v>73</v>
      </c>
    </row>
    <row r="74" spans="23:23">
      <c r="W74" s="1">
        <v>74</v>
      </c>
    </row>
    <row r="75" spans="23:23">
      <c r="W75" s="1">
        <v>75</v>
      </c>
    </row>
    <row r="76" spans="23:23">
      <c r="W76" s="1">
        <v>76</v>
      </c>
    </row>
    <row r="77" spans="23:23">
      <c r="W77" s="1">
        <v>77</v>
      </c>
    </row>
    <row r="78" spans="23:23">
      <c r="W78" s="1">
        <v>78</v>
      </c>
    </row>
    <row r="79" spans="23:23">
      <c r="W79" s="1">
        <v>79</v>
      </c>
    </row>
    <row r="80" spans="23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sortState ref="I1:N99">
    <sortCondition descending="1" ref="J1:J99"/>
    <sortCondition descending="1" ref="K1:K9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99"/>
  <sheetViews>
    <sheetView zoomScale="73" zoomScaleNormal="73" workbookViewId="0">
      <selection activeCell="Y3" sqref="Y3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6.5703125" style="1" customWidth="1"/>
    <col min="29" max="29" width="2.140625" style="8" customWidth="1"/>
    <col min="30" max="31" width="6.42578125" style="1" customWidth="1"/>
    <col min="32" max="32" width="2.140625" style="8" customWidth="1"/>
    <col min="33" max="33" width="6.42578125" style="1" customWidth="1"/>
    <col min="34" max="34" width="2.140625" style="8" customWidth="1"/>
    <col min="35" max="35" width="9.7109375" customWidth="1"/>
  </cols>
  <sheetData>
    <row r="1" spans="1:35">
      <c r="A1" s="4" t="s">
        <v>89</v>
      </c>
      <c r="B1" s="4" t="s">
        <v>90</v>
      </c>
      <c r="C1" s="5">
        <v>1</v>
      </c>
      <c r="D1" s="5">
        <v>1</v>
      </c>
      <c r="E1" s="1">
        <f t="shared" ref="E1:E8" si="0">C1-D1</f>
        <v>0</v>
      </c>
      <c r="F1" s="1">
        <f t="shared" ref="F1:F8" si="1">D1-C1</f>
        <v>0</v>
      </c>
      <c r="G1" s="10"/>
      <c r="H1" s="17"/>
      <c r="I1" t="s">
        <v>86</v>
      </c>
      <c r="J1" s="2">
        <f t="shared" ref="J1:J9" si="2">(L1/N1)*IF(N1&gt;5,1,IF(N1=5,0.9,IF(N1=4,0.8,0.7)))</f>
        <v>0.7</v>
      </c>
      <c r="K1" s="2">
        <f t="shared" ref="K1:K9" si="3">M1/N1</f>
        <v>0</v>
      </c>
      <c r="L1" s="1">
        <f>0+1+1</f>
        <v>2</v>
      </c>
      <c r="M1" s="1">
        <f>0+0+0</f>
        <v>0</v>
      </c>
      <c r="N1" s="1">
        <f>0+1+1</f>
        <v>2</v>
      </c>
      <c r="W1" s="1">
        <v>1</v>
      </c>
      <c r="X1" s="12" t="s">
        <v>97</v>
      </c>
      <c r="Y1" s="4" t="s">
        <v>73</v>
      </c>
      <c r="AA1" s="18" t="s">
        <v>108</v>
      </c>
      <c r="AB1" s="18" t="s">
        <v>111</v>
      </c>
      <c r="AD1" s="18"/>
      <c r="AE1" s="18"/>
      <c r="AI1" s="12"/>
    </row>
    <row r="2" spans="1:35">
      <c r="A2" s="4"/>
      <c r="B2" s="4"/>
      <c r="C2" s="5"/>
      <c r="D2" s="5"/>
      <c r="E2" s="1">
        <f t="shared" si="0"/>
        <v>0</v>
      </c>
      <c r="F2" s="1">
        <f t="shared" si="1"/>
        <v>0</v>
      </c>
      <c r="G2" s="10"/>
      <c r="H2" s="17"/>
      <c r="I2" t="s">
        <v>83</v>
      </c>
      <c r="J2" s="2">
        <f t="shared" si="2"/>
        <v>2.0999999999999996</v>
      </c>
      <c r="K2" s="2">
        <f t="shared" si="3"/>
        <v>1</v>
      </c>
      <c r="L2" s="1">
        <f>0+3</f>
        <v>3</v>
      </c>
      <c r="M2" s="1">
        <f>0+1</f>
        <v>1</v>
      </c>
      <c r="N2" s="1">
        <f>0+1</f>
        <v>1</v>
      </c>
      <c r="W2" s="1">
        <v>2</v>
      </c>
      <c r="X2" s="12"/>
      <c r="Y2" s="4"/>
      <c r="AA2" s="18"/>
      <c r="AB2" s="18"/>
      <c r="AD2" s="18"/>
      <c r="AE2" s="18"/>
      <c r="AI2" s="12" t="s">
        <v>104</v>
      </c>
    </row>
    <row r="3" spans="1:35">
      <c r="A3" s="4" t="s">
        <v>94</v>
      </c>
      <c r="B3" s="4" t="s">
        <v>95</v>
      </c>
      <c r="C3" s="5">
        <v>1</v>
      </c>
      <c r="D3" s="5">
        <v>0</v>
      </c>
      <c r="E3" s="1">
        <f t="shared" si="0"/>
        <v>1</v>
      </c>
      <c r="F3" s="1">
        <f t="shared" si="1"/>
        <v>-1</v>
      </c>
      <c r="G3" s="10"/>
      <c r="H3" s="17"/>
      <c r="I3" t="s">
        <v>94</v>
      </c>
      <c r="J3" s="2">
        <f t="shared" si="2"/>
        <v>2.0999999999999996</v>
      </c>
      <c r="K3" s="2">
        <f t="shared" si="3"/>
        <v>1</v>
      </c>
      <c r="L3" s="1">
        <f>0+3</f>
        <v>3</v>
      </c>
      <c r="M3" s="1">
        <f>0+1</f>
        <v>1</v>
      </c>
      <c r="N3" s="1">
        <f>0+1</f>
        <v>1</v>
      </c>
      <c r="W3" s="1">
        <v>3</v>
      </c>
      <c r="X3" s="12" t="s">
        <v>97</v>
      </c>
      <c r="Y3" s="4" t="s">
        <v>41</v>
      </c>
      <c r="AA3" s="18" t="s">
        <v>109</v>
      </c>
      <c r="AB3" s="18" t="s">
        <v>111</v>
      </c>
      <c r="AD3" s="18"/>
      <c r="AE3" s="18"/>
      <c r="AI3" s="12"/>
    </row>
    <row r="4" spans="1:35">
      <c r="A4" s="4"/>
      <c r="B4" s="4"/>
      <c r="C4" s="5"/>
      <c r="D4" s="5"/>
      <c r="E4" s="1">
        <f t="shared" si="0"/>
        <v>0</v>
      </c>
      <c r="F4" s="1">
        <f t="shared" si="1"/>
        <v>0</v>
      </c>
      <c r="G4" s="10"/>
      <c r="H4" s="17"/>
      <c r="I4" t="s">
        <v>85</v>
      </c>
      <c r="J4" s="2">
        <f t="shared" si="2"/>
        <v>0.7</v>
      </c>
      <c r="K4" s="2">
        <f t="shared" si="3"/>
        <v>0</v>
      </c>
      <c r="L4" s="1">
        <f>0+1</f>
        <v>1</v>
      </c>
      <c r="M4" s="1">
        <f>0+0</f>
        <v>0</v>
      </c>
      <c r="N4" s="1">
        <f t="shared" ref="N4:N9" si="4">0+1</f>
        <v>1</v>
      </c>
      <c r="W4" s="1">
        <v>4</v>
      </c>
      <c r="X4" s="12"/>
      <c r="Y4" s="4"/>
      <c r="AA4" s="18"/>
      <c r="AB4" s="18"/>
      <c r="AD4" s="18"/>
      <c r="AE4" s="18"/>
      <c r="AI4" s="12" t="s">
        <v>105</v>
      </c>
    </row>
    <row r="5" spans="1:35">
      <c r="A5" s="4" t="s">
        <v>86</v>
      </c>
      <c r="B5" s="4" t="s">
        <v>96</v>
      </c>
      <c r="C5" s="5">
        <v>0</v>
      </c>
      <c r="D5" s="5">
        <v>0</v>
      </c>
      <c r="E5" s="1">
        <f t="shared" si="0"/>
        <v>0</v>
      </c>
      <c r="F5" s="1">
        <f t="shared" si="1"/>
        <v>0</v>
      </c>
      <c r="G5" s="10"/>
      <c r="H5" s="17"/>
      <c r="I5" t="s">
        <v>89</v>
      </c>
      <c r="J5" s="2">
        <f t="shared" si="2"/>
        <v>0.7</v>
      </c>
      <c r="K5" s="2">
        <f t="shared" si="3"/>
        <v>0</v>
      </c>
      <c r="L5" s="1">
        <f>0+1</f>
        <v>1</v>
      </c>
      <c r="M5" s="1">
        <f>0+0</f>
        <v>0</v>
      </c>
      <c r="N5" s="1">
        <f t="shared" si="4"/>
        <v>1</v>
      </c>
      <c r="W5" s="1">
        <v>5</v>
      </c>
      <c r="X5" s="12" t="s">
        <v>97</v>
      </c>
      <c r="Y5" s="4" t="s">
        <v>98</v>
      </c>
      <c r="AA5" s="18" t="s">
        <v>109</v>
      </c>
      <c r="AB5" s="18" t="s">
        <v>112</v>
      </c>
      <c r="AD5" s="18"/>
      <c r="AE5" s="18"/>
      <c r="AI5" s="12"/>
    </row>
    <row r="6" spans="1:35">
      <c r="A6" s="4"/>
      <c r="B6" s="4"/>
      <c r="C6" s="5"/>
      <c r="D6" s="5"/>
      <c r="E6" s="1">
        <f t="shared" si="0"/>
        <v>0</v>
      </c>
      <c r="F6" s="1">
        <f t="shared" si="1"/>
        <v>0</v>
      </c>
      <c r="G6" s="10"/>
      <c r="H6" s="17"/>
      <c r="I6" t="s">
        <v>90</v>
      </c>
      <c r="J6" s="2">
        <f t="shared" si="2"/>
        <v>0.7</v>
      </c>
      <c r="K6" s="2">
        <f t="shared" si="3"/>
        <v>0</v>
      </c>
      <c r="L6" s="1">
        <f>0+1</f>
        <v>1</v>
      </c>
      <c r="M6" s="1">
        <f>0+0</f>
        <v>0</v>
      </c>
      <c r="N6" s="1">
        <f t="shared" si="4"/>
        <v>1</v>
      </c>
      <c r="W6" s="1">
        <v>6</v>
      </c>
      <c r="X6" s="12"/>
      <c r="Y6" s="4"/>
      <c r="AA6" s="18"/>
      <c r="AB6" s="18"/>
      <c r="AD6" s="18"/>
      <c r="AE6" s="18"/>
      <c r="AI6" s="12" t="s">
        <v>106</v>
      </c>
    </row>
    <row r="7" spans="1:35">
      <c r="A7" s="4" t="s">
        <v>93</v>
      </c>
      <c r="B7" s="4" t="s">
        <v>90</v>
      </c>
      <c r="C7" s="5"/>
      <c r="D7" s="5"/>
      <c r="E7" s="1">
        <f t="shared" si="0"/>
        <v>0</v>
      </c>
      <c r="F7" s="1">
        <f t="shared" si="1"/>
        <v>0</v>
      </c>
      <c r="G7" s="10">
        <v>0.85416666666666663</v>
      </c>
      <c r="H7" s="17"/>
      <c r="I7" t="s">
        <v>96</v>
      </c>
      <c r="J7" s="2">
        <f t="shared" si="2"/>
        <v>0.7</v>
      </c>
      <c r="K7" s="2">
        <f t="shared" si="3"/>
        <v>0</v>
      </c>
      <c r="L7" s="1">
        <f>0+1</f>
        <v>1</v>
      </c>
      <c r="M7" s="1">
        <f>0+0</f>
        <v>0</v>
      </c>
      <c r="N7" s="1">
        <f t="shared" si="4"/>
        <v>1</v>
      </c>
      <c r="W7" s="1">
        <v>7</v>
      </c>
      <c r="X7" s="12" t="s">
        <v>29</v>
      </c>
      <c r="Y7" s="4" t="s">
        <v>99</v>
      </c>
      <c r="AA7" s="18" t="s">
        <v>110</v>
      </c>
      <c r="AB7" s="18" t="s">
        <v>111</v>
      </c>
      <c r="AD7" s="18"/>
      <c r="AE7" s="18"/>
      <c r="AI7" s="12"/>
    </row>
    <row r="8" spans="1:35">
      <c r="A8" s="4" t="s">
        <v>91</v>
      </c>
      <c r="B8" s="4" t="s">
        <v>92</v>
      </c>
      <c r="C8" s="5"/>
      <c r="D8" s="5"/>
      <c r="E8" s="1">
        <f t="shared" si="0"/>
        <v>0</v>
      </c>
      <c r="F8" s="1">
        <f t="shared" si="1"/>
        <v>0</v>
      </c>
      <c r="G8" s="10">
        <v>0.875</v>
      </c>
      <c r="H8" s="17"/>
      <c r="I8" t="s">
        <v>84</v>
      </c>
      <c r="J8" s="2">
        <f t="shared" si="2"/>
        <v>0</v>
      </c>
      <c r="K8" s="2">
        <f t="shared" si="3"/>
        <v>-1</v>
      </c>
      <c r="L8" s="1">
        <f>0+0</f>
        <v>0</v>
      </c>
      <c r="M8" s="1">
        <f>0-1</f>
        <v>-1</v>
      </c>
      <c r="N8" s="1">
        <f t="shared" si="4"/>
        <v>1</v>
      </c>
      <c r="W8" s="1">
        <v>8</v>
      </c>
      <c r="X8" s="12" t="s">
        <v>100</v>
      </c>
      <c r="Y8" s="4" t="s">
        <v>38</v>
      </c>
      <c r="AA8" s="18" t="s">
        <v>110</v>
      </c>
      <c r="AB8" s="18" t="s">
        <v>113</v>
      </c>
      <c r="AD8" s="18"/>
      <c r="AE8" s="18"/>
      <c r="AI8" s="12"/>
    </row>
    <row r="9" spans="1:35">
      <c r="A9" t="s">
        <v>6</v>
      </c>
      <c r="C9"/>
      <c r="D9"/>
      <c r="E9"/>
      <c r="F9"/>
      <c r="G9" s="15"/>
      <c r="H9" s="7"/>
      <c r="I9" t="s">
        <v>95</v>
      </c>
      <c r="J9" s="2">
        <f t="shared" si="2"/>
        <v>0</v>
      </c>
      <c r="K9" s="2">
        <f t="shared" si="3"/>
        <v>-1</v>
      </c>
      <c r="L9" s="1">
        <f>0+0</f>
        <v>0</v>
      </c>
      <c r="M9" s="1">
        <f>0+-1</f>
        <v>-1</v>
      </c>
      <c r="N9" s="1">
        <f t="shared" si="4"/>
        <v>1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 t="s">
        <v>75</v>
      </c>
      <c r="AE9" s="3" t="s">
        <v>77</v>
      </c>
      <c r="AG9" s="3"/>
      <c r="AI9" s="16" t="s">
        <v>103</v>
      </c>
    </row>
    <row r="10" spans="1:35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W10" s="1">
        <v>10</v>
      </c>
      <c r="X10" s="13" t="s">
        <v>54</v>
      </c>
      <c r="Y10" t="s">
        <v>38</v>
      </c>
    </row>
    <row r="11" spans="1:35">
      <c r="A11" t="s">
        <v>7</v>
      </c>
      <c r="C11"/>
      <c r="D11"/>
      <c r="E11"/>
      <c r="F11"/>
      <c r="W11" s="1">
        <v>11</v>
      </c>
      <c r="X11" s="13" t="s">
        <v>55</v>
      </c>
      <c r="Y11" t="s">
        <v>39</v>
      </c>
    </row>
    <row r="12" spans="1:35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W12" s="1">
        <v>12</v>
      </c>
      <c r="X12" s="13" t="s">
        <v>25</v>
      </c>
      <c r="Y12" t="s">
        <v>40</v>
      </c>
    </row>
    <row r="13" spans="1:35">
      <c r="A13" t="s">
        <v>15</v>
      </c>
      <c r="C13"/>
      <c r="D13"/>
      <c r="E13"/>
      <c r="F13"/>
      <c r="W13" s="1">
        <v>13</v>
      </c>
      <c r="X13" s="13" t="s">
        <v>29</v>
      </c>
      <c r="Y13" t="s">
        <v>45</v>
      </c>
    </row>
    <row r="14" spans="1:35">
      <c r="A14" s="3" t="s">
        <v>30</v>
      </c>
      <c r="C14"/>
      <c r="D14"/>
      <c r="E14"/>
      <c r="F14"/>
      <c r="W14" s="1">
        <v>14</v>
      </c>
      <c r="X14" s="13" t="s">
        <v>56</v>
      </c>
      <c r="Y14" t="s">
        <v>42</v>
      </c>
    </row>
    <row r="15" spans="1:35">
      <c r="A15" t="s">
        <v>31</v>
      </c>
      <c r="C15"/>
      <c r="D15"/>
      <c r="E15"/>
      <c r="F15"/>
      <c r="H15" s="8" t="s">
        <v>107</v>
      </c>
      <c r="W15" s="1">
        <v>15</v>
      </c>
      <c r="X15" s="13" t="s">
        <v>57</v>
      </c>
      <c r="Y15" t="s">
        <v>43</v>
      </c>
    </row>
    <row r="16" spans="1:35">
      <c r="A16" t="s">
        <v>23</v>
      </c>
      <c r="C16"/>
      <c r="D16"/>
      <c r="E16"/>
      <c r="F16"/>
      <c r="W16" s="1">
        <v>16</v>
      </c>
      <c r="X16" s="13" t="s">
        <v>58</v>
      </c>
      <c r="Y16" t="s">
        <v>44</v>
      </c>
    </row>
    <row r="17" spans="1:25">
      <c r="A17" t="s">
        <v>32</v>
      </c>
      <c r="H17" s="8" t="s">
        <v>107</v>
      </c>
      <c r="W17" s="1">
        <v>17</v>
      </c>
      <c r="X17" s="13" t="s">
        <v>59</v>
      </c>
      <c r="Y17" t="s">
        <v>46</v>
      </c>
    </row>
    <row r="18" spans="1:25">
      <c r="A18" t="s">
        <v>33</v>
      </c>
      <c r="C18"/>
      <c r="D18"/>
      <c r="E18"/>
      <c r="F18"/>
      <c r="W18" s="1">
        <v>18</v>
      </c>
      <c r="X18" s="13" t="s">
        <v>60</v>
      </c>
      <c r="Y18" t="s">
        <v>47</v>
      </c>
    </row>
    <row r="19" spans="1:25">
      <c r="A19" t="s">
        <v>34</v>
      </c>
      <c r="H19" s="8" t="s">
        <v>107</v>
      </c>
      <c r="W19" s="1">
        <v>19</v>
      </c>
      <c r="X19" s="13" t="s">
        <v>26</v>
      </c>
      <c r="Y19" t="s">
        <v>48</v>
      </c>
    </row>
    <row r="20" spans="1:25">
      <c r="A20" t="s">
        <v>19</v>
      </c>
      <c r="W20" s="1">
        <v>20</v>
      </c>
      <c r="X20" s="13" t="s">
        <v>61</v>
      </c>
      <c r="Y20" t="s">
        <v>49</v>
      </c>
    </row>
    <row r="21" spans="1:25">
      <c r="B21" t="s">
        <v>20</v>
      </c>
      <c r="W21" s="1">
        <v>21</v>
      </c>
      <c r="X21" s="13" t="s">
        <v>62</v>
      </c>
      <c r="Y21" t="s">
        <v>50</v>
      </c>
    </row>
    <row r="22" spans="1:25">
      <c r="B22" t="s">
        <v>88</v>
      </c>
      <c r="W22" s="1">
        <v>22</v>
      </c>
      <c r="X22" s="13" t="s">
        <v>63</v>
      </c>
      <c r="Y22" t="s">
        <v>51</v>
      </c>
    </row>
    <row r="23" spans="1:25">
      <c r="A23" t="s">
        <v>16</v>
      </c>
      <c r="C23"/>
      <c r="D23"/>
      <c r="E23"/>
      <c r="F23"/>
      <c r="W23" s="1">
        <v>23</v>
      </c>
      <c r="X23" s="13" t="s">
        <v>28</v>
      </c>
      <c r="Y23" t="s">
        <v>52</v>
      </c>
    </row>
    <row r="24" spans="1:25">
      <c r="A24" t="s">
        <v>17</v>
      </c>
      <c r="B24" s="2" t="e">
        <f t="shared" ref="B24" si="5">(D24/F24)*IF(F24&gt;5,1,IF(F24=5,0.9,IF(F24=4,0.8,0.7)))</f>
        <v>#DIV/0!</v>
      </c>
      <c r="C24" s="2" t="e">
        <f t="shared" ref="C24" si="6">E24/F24</f>
        <v>#DIV/0!</v>
      </c>
      <c r="D24" s="1">
        <f>0</f>
        <v>0</v>
      </c>
      <c r="E24" s="1">
        <f>0</f>
        <v>0</v>
      </c>
      <c r="F24" s="1">
        <f>0</f>
        <v>0</v>
      </c>
      <c r="W24" s="1">
        <v>24</v>
      </c>
      <c r="X24" s="13" t="s">
        <v>64</v>
      </c>
      <c r="Y24" t="s">
        <v>53</v>
      </c>
    </row>
    <row r="25" spans="1:25">
      <c r="A25" t="s">
        <v>18</v>
      </c>
      <c r="B25" t="s">
        <v>22</v>
      </c>
      <c r="H25" s="8" t="s">
        <v>107</v>
      </c>
      <c r="W25" s="1">
        <v>25</v>
      </c>
      <c r="X25" s="13" t="s">
        <v>65</v>
      </c>
      <c r="Y25" t="s">
        <v>68</v>
      </c>
    </row>
    <row r="26" spans="1:25">
      <c r="A26" t="s">
        <v>14</v>
      </c>
      <c r="W26" s="1">
        <v>26</v>
      </c>
      <c r="X26" s="13" t="s">
        <v>66</v>
      </c>
      <c r="Y26" t="s">
        <v>69</v>
      </c>
    </row>
    <row r="27" spans="1:25">
      <c r="A27" t="s">
        <v>21</v>
      </c>
      <c r="W27" s="1">
        <v>27</v>
      </c>
      <c r="X27" s="13" t="s">
        <v>67</v>
      </c>
      <c r="Y27" t="s">
        <v>70</v>
      </c>
    </row>
    <row r="28" spans="1:25">
      <c r="W28" s="1">
        <v>28</v>
      </c>
    </row>
    <row r="29" spans="1:25">
      <c r="W29" s="1">
        <v>29</v>
      </c>
    </row>
    <row r="30" spans="1:25">
      <c r="W30" s="1">
        <v>30</v>
      </c>
    </row>
    <row r="31" spans="1:25">
      <c r="W31" s="1">
        <v>31</v>
      </c>
    </row>
    <row r="32" spans="1:25">
      <c r="W32" s="1">
        <v>32</v>
      </c>
    </row>
    <row r="33" spans="23:23">
      <c r="W33" s="1">
        <v>33</v>
      </c>
    </row>
    <row r="34" spans="23:23">
      <c r="W34" s="1">
        <v>34</v>
      </c>
    </row>
    <row r="35" spans="23:23">
      <c r="W35" s="1">
        <v>35</v>
      </c>
    </row>
    <row r="36" spans="23:23">
      <c r="W36" s="1">
        <v>36</v>
      </c>
    </row>
    <row r="37" spans="23:23">
      <c r="W37" s="1">
        <v>37</v>
      </c>
    </row>
    <row r="38" spans="23:23">
      <c r="W38" s="1">
        <v>38</v>
      </c>
    </row>
    <row r="39" spans="23:23">
      <c r="W39" s="1">
        <v>39</v>
      </c>
    </row>
    <row r="40" spans="23:23">
      <c r="W40" s="1">
        <v>40</v>
      </c>
    </row>
    <row r="41" spans="23:23">
      <c r="W41" s="1">
        <v>41</v>
      </c>
    </row>
    <row r="42" spans="23:23">
      <c r="W42" s="1">
        <v>42</v>
      </c>
    </row>
    <row r="43" spans="23:23">
      <c r="W43" s="1">
        <v>43</v>
      </c>
    </row>
    <row r="44" spans="23:23">
      <c r="W44" s="1">
        <v>44</v>
      </c>
    </row>
    <row r="45" spans="23:23">
      <c r="W45" s="1">
        <v>45</v>
      </c>
    </row>
    <row r="46" spans="23:23">
      <c r="W46" s="1">
        <v>46</v>
      </c>
    </row>
    <row r="47" spans="23:23">
      <c r="W47" s="1">
        <v>47</v>
      </c>
    </row>
    <row r="48" spans="23:23">
      <c r="W48" s="1">
        <v>48</v>
      </c>
    </row>
    <row r="49" spans="23:23">
      <c r="W49" s="1">
        <v>49</v>
      </c>
    </row>
    <row r="50" spans="23:23">
      <c r="W50" s="1">
        <v>50</v>
      </c>
    </row>
    <row r="51" spans="23:23">
      <c r="W51" s="1">
        <v>51</v>
      </c>
    </row>
    <row r="52" spans="23:23">
      <c r="W52" s="1">
        <v>52</v>
      </c>
    </row>
    <row r="53" spans="23:23">
      <c r="W53" s="1">
        <v>53</v>
      </c>
    </row>
    <row r="54" spans="23:23">
      <c r="W54" s="1">
        <v>54</v>
      </c>
    </row>
    <row r="55" spans="23:23">
      <c r="W55" s="1">
        <v>55</v>
      </c>
    </row>
    <row r="56" spans="23:23">
      <c r="W56" s="1">
        <v>56</v>
      </c>
    </row>
    <row r="57" spans="23:23">
      <c r="W57" s="1">
        <v>57</v>
      </c>
    </row>
    <row r="58" spans="23:23">
      <c r="W58" s="1">
        <v>58</v>
      </c>
    </row>
    <row r="59" spans="23:23">
      <c r="W59" s="1">
        <v>59</v>
      </c>
    </row>
    <row r="60" spans="23:23">
      <c r="W60" s="1">
        <v>60</v>
      </c>
    </row>
    <row r="61" spans="23:23">
      <c r="W61" s="1">
        <v>61</v>
      </c>
    </row>
    <row r="62" spans="23:23">
      <c r="W62" s="1">
        <v>62</v>
      </c>
    </row>
    <row r="63" spans="23:23">
      <c r="W63" s="1">
        <v>63</v>
      </c>
    </row>
    <row r="64" spans="23:23">
      <c r="W64" s="1">
        <v>64</v>
      </c>
    </row>
    <row r="65" spans="23:23">
      <c r="W65" s="1">
        <v>65</v>
      </c>
    </row>
    <row r="66" spans="23:23">
      <c r="W66" s="1">
        <v>66</v>
      </c>
    </row>
    <row r="67" spans="23:23">
      <c r="W67" s="1">
        <v>67</v>
      </c>
    </row>
    <row r="68" spans="23:23">
      <c r="W68" s="1">
        <v>68</v>
      </c>
    </row>
    <row r="69" spans="23:23">
      <c r="W69" s="1">
        <v>69</v>
      </c>
    </row>
    <row r="70" spans="23:23">
      <c r="W70" s="1">
        <v>70</v>
      </c>
    </row>
    <row r="71" spans="23:23">
      <c r="W71" s="1">
        <v>71</v>
      </c>
    </row>
    <row r="72" spans="23:23">
      <c r="W72" s="1">
        <v>72</v>
      </c>
    </row>
    <row r="73" spans="23:23">
      <c r="W73" s="1">
        <v>73</v>
      </c>
    </row>
    <row r="74" spans="23:23">
      <c r="W74" s="1">
        <v>74</v>
      </c>
    </row>
    <row r="75" spans="23:23">
      <c r="W75" s="1">
        <v>75</v>
      </c>
    </row>
    <row r="76" spans="23:23">
      <c r="W76" s="1">
        <v>76</v>
      </c>
    </row>
    <row r="77" spans="23:23">
      <c r="W77" s="1">
        <v>77</v>
      </c>
    </row>
    <row r="78" spans="23:23">
      <c r="W78" s="1">
        <v>78</v>
      </c>
    </row>
    <row r="79" spans="23:23">
      <c r="W79" s="1">
        <v>79</v>
      </c>
    </row>
    <row r="80" spans="23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sortState ref="I1:N99">
    <sortCondition descending="1" ref="J1:J99"/>
    <sortCondition descending="1" ref="K1:K99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99"/>
  <sheetViews>
    <sheetView zoomScale="73" zoomScaleNormal="73" workbookViewId="0">
      <selection activeCell="G6" sqref="G6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6.5703125" style="1" customWidth="1"/>
    <col min="29" max="29" width="2.140625" style="8" customWidth="1"/>
    <col min="30" max="31" width="6.42578125" style="1" customWidth="1"/>
    <col min="32" max="32" width="2.140625" style="8" customWidth="1"/>
    <col min="33" max="33" width="6.42578125" style="1" customWidth="1"/>
    <col min="34" max="34" width="2.140625" style="8" customWidth="1"/>
    <col min="35" max="35" width="9.7109375" customWidth="1"/>
  </cols>
  <sheetData>
    <row r="1" spans="1:35">
      <c r="A1" s="4" t="s">
        <v>93</v>
      </c>
      <c r="B1" s="4" t="s">
        <v>90</v>
      </c>
      <c r="C1" s="5">
        <v>1</v>
      </c>
      <c r="D1" s="5">
        <v>3</v>
      </c>
      <c r="E1" s="1">
        <f t="shared" ref="E1:E8" si="0">C1-D1</f>
        <v>-2</v>
      </c>
      <c r="F1" s="1">
        <f t="shared" ref="F1:F8" si="1">D1-C1</f>
        <v>2</v>
      </c>
      <c r="G1" s="10"/>
      <c r="H1" s="17"/>
      <c r="I1" t="s">
        <v>90</v>
      </c>
      <c r="J1" s="2">
        <f t="shared" ref="J1:J12" si="2">(L1/N1)*IF(N1&gt;5,1,IF(N1=5,0.9,IF(N1=4,0.8,0.7)))</f>
        <v>1.4</v>
      </c>
      <c r="K1" s="2">
        <f t="shared" ref="K1:K12" si="3">M1/N1</f>
        <v>1</v>
      </c>
      <c r="L1" s="1">
        <f>0+1+3</f>
        <v>4</v>
      </c>
      <c r="M1" s="1">
        <f>0+0+2</f>
        <v>2</v>
      </c>
      <c r="N1" s="1">
        <f>0+1+1</f>
        <v>2</v>
      </c>
      <c r="W1" s="1">
        <v>1</v>
      </c>
      <c r="X1" s="12" t="s">
        <v>29</v>
      </c>
      <c r="Y1" s="4" t="s">
        <v>99</v>
      </c>
      <c r="AA1" s="18" t="s">
        <v>110</v>
      </c>
      <c r="AB1" s="18" t="s">
        <v>111</v>
      </c>
      <c r="AD1" s="18"/>
      <c r="AE1" s="18"/>
      <c r="AI1" s="12"/>
    </row>
    <row r="2" spans="1:35">
      <c r="A2" s="4" t="s">
        <v>91</v>
      </c>
      <c r="B2" s="4" t="s">
        <v>92</v>
      </c>
      <c r="C2" s="5">
        <v>0</v>
      </c>
      <c r="D2" s="5">
        <v>1</v>
      </c>
      <c r="E2" s="1">
        <f t="shared" si="0"/>
        <v>-1</v>
      </c>
      <c r="F2" s="1">
        <f t="shared" si="1"/>
        <v>1</v>
      </c>
      <c r="G2" s="10"/>
      <c r="H2" s="17"/>
      <c r="I2" t="s">
        <v>86</v>
      </c>
      <c r="J2" s="2">
        <f t="shared" si="2"/>
        <v>0.7</v>
      </c>
      <c r="K2" s="2">
        <f t="shared" si="3"/>
        <v>0</v>
      </c>
      <c r="L2" s="1">
        <f>0+1+1</f>
        <v>2</v>
      </c>
      <c r="M2" s="1">
        <f>0+0+0</f>
        <v>0</v>
      </c>
      <c r="N2" s="1">
        <f>0+1+1</f>
        <v>2</v>
      </c>
      <c r="W2" s="1">
        <v>2</v>
      </c>
      <c r="X2" s="12" t="s">
        <v>100</v>
      </c>
      <c r="Y2" s="4" t="s">
        <v>38</v>
      </c>
      <c r="AA2" s="18" t="s">
        <v>110</v>
      </c>
      <c r="AB2" s="18" t="s">
        <v>113</v>
      </c>
      <c r="AD2" s="18"/>
      <c r="AE2" s="18"/>
      <c r="AI2" s="12"/>
    </row>
    <row r="3" spans="1:35">
      <c r="A3" s="4"/>
      <c r="B3" s="4"/>
      <c r="C3" s="5"/>
      <c r="D3" s="5"/>
      <c r="E3" s="1">
        <f t="shared" si="0"/>
        <v>0</v>
      </c>
      <c r="F3" s="1">
        <f t="shared" si="1"/>
        <v>0</v>
      </c>
      <c r="G3" s="10"/>
      <c r="H3" s="17"/>
      <c r="I3" t="s">
        <v>83</v>
      </c>
      <c r="J3" s="2">
        <f t="shared" si="2"/>
        <v>2.0999999999999996</v>
      </c>
      <c r="K3" s="2">
        <f t="shared" si="3"/>
        <v>1</v>
      </c>
      <c r="L3" s="1">
        <f>0+3</f>
        <v>3</v>
      </c>
      <c r="M3" s="1">
        <f t="shared" ref="M3:N5" si="4">0+1</f>
        <v>1</v>
      </c>
      <c r="N3" s="1">
        <f t="shared" si="4"/>
        <v>1</v>
      </c>
      <c r="W3" s="1">
        <v>3</v>
      </c>
      <c r="X3" s="12"/>
      <c r="Y3" s="4"/>
      <c r="AA3" s="18"/>
      <c r="AB3" s="18"/>
      <c r="AD3" s="18"/>
      <c r="AE3" s="18"/>
      <c r="AI3" s="12" t="s">
        <v>115</v>
      </c>
    </row>
    <row r="4" spans="1:35">
      <c r="A4" s="4" t="s">
        <v>114</v>
      </c>
      <c r="B4" s="4" t="s">
        <v>85</v>
      </c>
      <c r="C4" s="5"/>
      <c r="D4" s="5"/>
      <c r="E4" s="1">
        <f t="shared" si="0"/>
        <v>0</v>
      </c>
      <c r="F4" s="1">
        <f t="shared" si="1"/>
        <v>0</v>
      </c>
      <c r="G4" s="10">
        <v>0.8125</v>
      </c>
      <c r="H4" s="17"/>
      <c r="I4" t="s">
        <v>94</v>
      </c>
      <c r="J4" s="2">
        <f t="shared" si="2"/>
        <v>2.0999999999999996</v>
      </c>
      <c r="K4" s="2">
        <f t="shared" si="3"/>
        <v>1</v>
      </c>
      <c r="L4" s="1">
        <f>0+3</f>
        <v>3</v>
      </c>
      <c r="M4" s="1">
        <f t="shared" si="4"/>
        <v>1</v>
      </c>
      <c r="N4" s="1">
        <f t="shared" si="4"/>
        <v>1</v>
      </c>
      <c r="W4" s="1">
        <v>4</v>
      </c>
      <c r="X4" s="12" t="s">
        <v>117</v>
      </c>
      <c r="Y4" s="4" t="s">
        <v>41</v>
      </c>
      <c r="AA4" s="18" t="s">
        <v>108</v>
      </c>
      <c r="AB4" s="18" t="s">
        <v>119</v>
      </c>
      <c r="AD4" s="18"/>
      <c r="AE4" s="18"/>
      <c r="AI4" s="12"/>
    </row>
    <row r="5" spans="1:35">
      <c r="A5" s="4"/>
      <c r="B5" s="4"/>
      <c r="C5" s="5"/>
      <c r="D5" s="5"/>
      <c r="E5" s="1">
        <f t="shared" si="0"/>
        <v>0</v>
      </c>
      <c r="F5" s="1">
        <f t="shared" si="1"/>
        <v>0</v>
      </c>
      <c r="G5" s="10"/>
      <c r="H5" s="17"/>
      <c r="I5" s="3" t="s">
        <v>92</v>
      </c>
      <c r="J5" s="2">
        <f t="shared" si="2"/>
        <v>2.0999999999999996</v>
      </c>
      <c r="K5" s="2">
        <f t="shared" si="3"/>
        <v>1</v>
      </c>
      <c r="L5" s="1">
        <f>0+3</f>
        <v>3</v>
      </c>
      <c r="M5" s="1">
        <f t="shared" si="4"/>
        <v>1</v>
      </c>
      <c r="N5" s="1">
        <f t="shared" si="4"/>
        <v>1</v>
      </c>
      <c r="W5" s="1">
        <v>5</v>
      </c>
      <c r="X5" s="12"/>
      <c r="Y5" s="4"/>
      <c r="AA5" s="18"/>
      <c r="AB5" s="18"/>
      <c r="AD5" s="18"/>
      <c r="AE5" s="18"/>
      <c r="AI5" s="12" t="s">
        <v>116</v>
      </c>
    </row>
    <row r="6" spans="1:35">
      <c r="A6" s="4" t="s">
        <v>92</v>
      </c>
      <c r="B6" s="4" t="s">
        <v>91</v>
      </c>
      <c r="C6" s="5"/>
      <c r="D6" s="5"/>
      <c r="E6" s="1">
        <f t="shared" si="0"/>
        <v>0</v>
      </c>
      <c r="F6" s="1">
        <f t="shared" si="1"/>
        <v>0</v>
      </c>
      <c r="G6" s="10">
        <v>0.875</v>
      </c>
      <c r="H6" s="17"/>
      <c r="I6" t="s">
        <v>85</v>
      </c>
      <c r="J6" s="2">
        <f t="shared" si="2"/>
        <v>0.7</v>
      </c>
      <c r="K6" s="2">
        <f t="shared" si="3"/>
        <v>0</v>
      </c>
      <c r="L6" s="1">
        <f>0+1</f>
        <v>1</v>
      </c>
      <c r="M6" s="1">
        <f>0+0</f>
        <v>0</v>
      </c>
      <c r="N6" s="1">
        <f t="shared" ref="N6:N12" si="5">0+1</f>
        <v>1</v>
      </c>
      <c r="W6" s="1">
        <v>6</v>
      </c>
      <c r="X6" s="12" t="s">
        <v>100</v>
      </c>
      <c r="Y6" s="4" t="s">
        <v>38</v>
      </c>
      <c r="AA6" s="18" t="s">
        <v>118</v>
      </c>
      <c r="AB6" s="18" t="s">
        <v>120</v>
      </c>
      <c r="AD6" s="18"/>
      <c r="AE6" s="18"/>
      <c r="AI6" s="12"/>
    </row>
    <row r="7" spans="1:35">
      <c r="A7" s="4"/>
      <c r="B7" s="4"/>
      <c r="C7" s="5"/>
      <c r="D7" s="5"/>
      <c r="E7" s="1">
        <f t="shared" si="0"/>
        <v>0</v>
      </c>
      <c r="F7" s="1">
        <f t="shared" si="1"/>
        <v>0</v>
      </c>
      <c r="G7" s="10"/>
      <c r="H7" s="17"/>
      <c r="I7" t="s">
        <v>89</v>
      </c>
      <c r="J7" s="2">
        <f t="shared" si="2"/>
        <v>0.7</v>
      </c>
      <c r="K7" s="2">
        <f t="shared" si="3"/>
        <v>0</v>
      </c>
      <c r="L7" s="1">
        <f>0+1</f>
        <v>1</v>
      </c>
      <c r="M7" s="1">
        <f>0+0</f>
        <v>0</v>
      </c>
      <c r="N7" s="1">
        <f t="shared" si="5"/>
        <v>1</v>
      </c>
      <c r="W7" s="1">
        <v>7</v>
      </c>
      <c r="X7" s="12"/>
      <c r="Y7" s="4"/>
      <c r="AA7" s="18"/>
      <c r="AB7" s="18"/>
      <c r="AD7" s="18"/>
      <c r="AE7" s="18"/>
      <c r="AI7" s="12"/>
    </row>
    <row r="8" spans="1:35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10"/>
      <c r="H8" s="17"/>
      <c r="I8" t="s">
        <v>96</v>
      </c>
      <c r="J8" s="2">
        <f t="shared" si="2"/>
        <v>0.7</v>
      </c>
      <c r="K8" s="2">
        <f t="shared" si="3"/>
        <v>0</v>
      </c>
      <c r="L8" s="1">
        <f>0+1</f>
        <v>1</v>
      </c>
      <c r="M8" s="1">
        <f>0+0</f>
        <v>0</v>
      </c>
      <c r="N8" s="1">
        <f t="shared" si="5"/>
        <v>1</v>
      </c>
      <c r="W8" s="1">
        <v>8</v>
      </c>
      <c r="X8" s="12"/>
      <c r="Y8" s="4"/>
      <c r="AA8" s="18"/>
      <c r="AB8" s="18"/>
      <c r="AD8" s="18"/>
      <c r="AE8" s="18"/>
      <c r="AI8" s="12"/>
    </row>
    <row r="9" spans="1:35">
      <c r="A9" t="s">
        <v>6</v>
      </c>
      <c r="C9"/>
      <c r="D9"/>
      <c r="E9"/>
      <c r="F9"/>
      <c r="G9" s="15"/>
      <c r="H9" s="7"/>
      <c r="I9" t="s">
        <v>84</v>
      </c>
      <c r="J9" s="2">
        <f t="shared" si="2"/>
        <v>0</v>
      </c>
      <c r="K9" s="2">
        <f t="shared" si="3"/>
        <v>-1</v>
      </c>
      <c r="L9" s="1">
        <f>0+0</f>
        <v>0</v>
      </c>
      <c r="M9" s="1">
        <f>0-1</f>
        <v>-1</v>
      </c>
      <c r="N9" s="1">
        <f t="shared" si="5"/>
        <v>1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/>
      <c r="AE9" s="3"/>
      <c r="AG9" s="3"/>
      <c r="AI9" s="16" t="s">
        <v>106</v>
      </c>
    </row>
    <row r="10" spans="1:35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I10" t="s">
        <v>95</v>
      </c>
      <c r="J10" s="2">
        <f t="shared" si="2"/>
        <v>0</v>
      </c>
      <c r="K10" s="2">
        <f t="shared" si="3"/>
        <v>-1</v>
      </c>
      <c r="L10" s="1">
        <f>0+0</f>
        <v>0</v>
      </c>
      <c r="M10" s="1">
        <f>0+-1</f>
        <v>-1</v>
      </c>
      <c r="N10" s="1">
        <f t="shared" si="5"/>
        <v>1</v>
      </c>
      <c r="W10" s="1">
        <v>10</v>
      </c>
      <c r="X10" s="13" t="s">
        <v>54</v>
      </c>
      <c r="Y10" t="s">
        <v>38</v>
      </c>
    </row>
    <row r="11" spans="1:35">
      <c r="A11" t="s">
        <v>7</v>
      </c>
      <c r="C11"/>
      <c r="D11"/>
      <c r="E11"/>
      <c r="F11"/>
      <c r="I11" t="s">
        <v>91</v>
      </c>
      <c r="J11" s="2">
        <f t="shared" si="2"/>
        <v>0</v>
      </c>
      <c r="K11" s="2">
        <f t="shared" si="3"/>
        <v>-1</v>
      </c>
      <c r="L11" s="1">
        <f>0+0</f>
        <v>0</v>
      </c>
      <c r="M11" s="1">
        <f>0+-1</f>
        <v>-1</v>
      </c>
      <c r="N11" s="1">
        <f t="shared" si="5"/>
        <v>1</v>
      </c>
      <c r="W11" s="1">
        <v>11</v>
      </c>
      <c r="X11" s="13" t="s">
        <v>55</v>
      </c>
      <c r="Y11" t="s">
        <v>39</v>
      </c>
    </row>
    <row r="12" spans="1:35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I12" t="s">
        <v>93</v>
      </c>
      <c r="J12" s="2">
        <f t="shared" si="2"/>
        <v>0</v>
      </c>
      <c r="K12" s="2">
        <f t="shared" si="3"/>
        <v>-2</v>
      </c>
      <c r="L12" s="1">
        <f>0+0</f>
        <v>0</v>
      </c>
      <c r="M12" s="1">
        <f>0+-2</f>
        <v>-2</v>
      </c>
      <c r="N12" s="1">
        <f t="shared" si="5"/>
        <v>1</v>
      </c>
      <c r="W12" s="1">
        <v>12</v>
      </c>
      <c r="X12" s="13" t="s">
        <v>25</v>
      </c>
      <c r="Y12" t="s">
        <v>40</v>
      </c>
    </row>
    <row r="13" spans="1:35">
      <c r="A13" t="s">
        <v>15</v>
      </c>
      <c r="C13"/>
      <c r="D13"/>
      <c r="E13"/>
      <c r="F13"/>
      <c r="W13" s="1">
        <v>13</v>
      </c>
      <c r="X13" s="13" t="s">
        <v>29</v>
      </c>
      <c r="Y13" t="s">
        <v>45</v>
      </c>
    </row>
    <row r="14" spans="1:35">
      <c r="A14" s="3" t="s">
        <v>30</v>
      </c>
      <c r="C14"/>
      <c r="D14"/>
      <c r="E14"/>
      <c r="F14"/>
      <c r="W14" s="1">
        <v>14</v>
      </c>
      <c r="X14" s="13" t="s">
        <v>56</v>
      </c>
      <c r="Y14" t="s">
        <v>42</v>
      </c>
    </row>
    <row r="15" spans="1:35">
      <c r="A15" t="s">
        <v>31</v>
      </c>
      <c r="C15"/>
      <c r="D15"/>
      <c r="E15"/>
      <c r="F15"/>
      <c r="H15" s="8" t="s">
        <v>107</v>
      </c>
      <c r="W15" s="1">
        <v>15</v>
      </c>
      <c r="X15" s="13" t="s">
        <v>57</v>
      </c>
      <c r="Y15" t="s">
        <v>43</v>
      </c>
    </row>
    <row r="16" spans="1:35">
      <c r="A16" t="s">
        <v>23</v>
      </c>
      <c r="C16"/>
      <c r="D16"/>
      <c r="E16"/>
      <c r="F16"/>
      <c r="W16" s="1">
        <v>16</v>
      </c>
      <c r="X16" s="13" t="s">
        <v>58</v>
      </c>
      <c r="Y16" t="s">
        <v>44</v>
      </c>
    </row>
    <row r="17" spans="1:25">
      <c r="A17" t="s">
        <v>32</v>
      </c>
      <c r="H17" s="8" t="s">
        <v>107</v>
      </c>
      <c r="W17" s="1">
        <v>17</v>
      </c>
      <c r="X17" s="13" t="s">
        <v>59</v>
      </c>
      <c r="Y17" t="s">
        <v>46</v>
      </c>
    </row>
    <row r="18" spans="1:25">
      <c r="A18" t="s">
        <v>33</v>
      </c>
      <c r="C18"/>
      <c r="D18"/>
      <c r="E18"/>
      <c r="F18"/>
      <c r="W18" s="1">
        <v>18</v>
      </c>
      <c r="X18" s="13" t="s">
        <v>60</v>
      </c>
      <c r="Y18" t="s">
        <v>47</v>
      </c>
    </row>
    <row r="19" spans="1:25">
      <c r="A19" t="s">
        <v>34</v>
      </c>
      <c r="H19" s="8" t="s">
        <v>107</v>
      </c>
      <c r="W19" s="1">
        <v>19</v>
      </c>
      <c r="X19" s="13" t="s">
        <v>26</v>
      </c>
      <c r="Y19" t="s">
        <v>48</v>
      </c>
    </row>
    <row r="20" spans="1:25">
      <c r="A20" t="s">
        <v>19</v>
      </c>
      <c r="W20" s="1">
        <v>20</v>
      </c>
      <c r="X20" s="13" t="s">
        <v>61</v>
      </c>
      <c r="Y20" t="s">
        <v>49</v>
      </c>
    </row>
    <row r="21" spans="1:25">
      <c r="B21" t="s">
        <v>20</v>
      </c>
      <c r="W21" s="1">
        <v>21</v>
      </c>
      <c r="X21" s="13" t="s">
        <v>62</v>
      </c>
      <c r="Y21" t="s">
        <v>50</v>
      </c>
    </row>
    <row r="22" spans="1:25">
      <c r="B22" t="s">
        <v>88</v>
      </c>
      <c r="W22" s="1">
        <v>22</v>
      </c>
      <c r="X22" s="13" t="s">
        <v>63</v>
      </c>
      <c r="Y22" t="s">
        <v>51</v>
      </c>
    </row>
    <row r="23" spans="1:25">
      <c r="A23" t="s">
        <v>16</v>
      </c>
      <c r="C23"/>
      <c r="D23"/>
      <c r="E23"/>
      <c r="F23"/>
      <c r="W23" s="1">
        <v>23</v>
      </c>
      <c r="X23" s="13" t="s">
        <v>28</v>
      </c>
      <c r="Y23" t="s">
        <v>52</v>
      </c>
    </row>
    <row r="24" spans="1:25">
      <c r="A24" t="s">
        <v>17</v>
      </c>
      <c r="B24" s="2" t="e">
        <f t="shared" ref="B24" si="6">(D24/F24)*IF(F24&gt;5,1,IF(F24=5,0.9,IF(F24=4,0.8,0.7)))</f>
        <v>#DIV/0!</v>
      </c>
      <c r="C24" s="2" t="e">
        <f t="shared" ref="C24" si="7">E24/F24</f>
        <v>#DIV/0!</v>
      </c>
      <c r="D24" s="1">
        <f>0</f>
        <v>0</v>
      </c>
      <c r="E24" s="1">
        <f>0</f>
        <v>0</v>
      </c>
      <c r="F24" s="1">
        <f>0</f>
        <v>0</v>
      </c>
      <c r="W24" s="1">
        <v>24</v>
      </c>
      <c r="X24" s="13" t="s">
        <v>64</v>
      </c>
      <c r="Y24" t="s">
        <v>53</v>
      </c>
    </row>
    <row r="25" spans="1:25">
      <c r="A25" t="s">
        <v>18</v>
      </c>
      <c r="B25" t="s">
        <v>22</v>
      </c>
      <c r="H25" s="8" t="s">
        <v>107</v>
      </c>
      <c r="W25" s="1">
        <v>25</v>
      </c>
      <c r="X25" s="13" t="s">
        <v>65</v>
      </c>
      <c r="Y25" t="s">
        <v>68</v>
      </c>
    </row>
    <row r="26" spans="1:25">
      <c r="A26" t="s">
        <v>14</v>
      </c>
      <c r="W26" s="1">
        <v>26</v>
      </c>
      <c r="X26" s="13" t="s">
        <v>66</v>
      </c>
      <c r="Y26" t="s">
        <v>69</v>
      </c>
    </row>
    <row r="27" spans="1:25">
      <c r="A27" t="s">
        <v>21</v>
      </c>
      <c r="W27" s="1">
        <v>27</v>
      </c>
      <c r="X27" s="13" t="s">
        <v>67</v>
      </c>
      <c r="Y27" t="s">
        <v>70</v>
      </c>
    </row>
    <row r="28" spans="1:25">
      <c r="W28" s="1">
        <v>28</v>
      </c>
    </row>
    <row r="29" spans="1:25">
      <c r="W29" s="1">
        <v>29</v>
      </c>
    </row>
    <row r="30" spans="1:25">
      <c r="W30" s="1">
        <v>30</v>
      </c>
    </row>
    <row r="31" spans="1:25">
      <c r="W31" s="1">
        <v>31</v>
      </c>
    </row>
    <row r="32" spans="1:25">
      <c r="W32" s="1">
        <v>32</v>
      </c>
    </row>
    <row r="33" spans="23:23">
      <c r="W33" s="1">
        <v>33</v>
      </c>
    </row>
    <row r="34" spans="23:23">
      <c r="W34" s="1">
        <v>34</v>
      </c>
    </row>
    <row r="35" spans="23:23">
      <c r="W35" s="1">
        <v>35</v>
      </c>
    </row>
    <row r="36" spans="23:23">
      <c r="W36" s="1">
        <v>36</v>
      </c>
    </row>
    <row r="37" spans="23:23">
      <c r="W37" s="1">
        <v>37</v>
      </c>
    </row>
    <row r="38" spans="23:23">
      <c r="W38" s="1">
        <v>38</v>
      </c>
    </row>
    <row r="39" spans="23:23">
      <c r="W39" s="1">
        <v>39</v>
      </c>
    </row>
    <row r="40" spans="23:23">
      <c r="W40" s="1">
        <v>40</v>
      </c>
    </row>
    <row r="41" spans="23:23">
      <c r="W41" s="1">
        <v>41</v>
      </c>
    </row>
    <row r="42" spans="23:23">
      <c r="W42" s="1">
        <v>42</v>
      </c>
    </row>
    <row r="43" spans="23:23">
      <c r="W43" s="1">
        <v>43</v>
      </c>
    </row>
    <row r="44" spans="23:23">
      <c r="W44" s="1">
        <v>44</v>
      </c>
    </row>
    <row r="45" spans="23:23">
      <c r="W45" s="1">
        <v>45</v>
      </c>
    </row>
    <row r="46" spans="23:23">
      <c r="W46" s="1">
        <v>46</v>
      </c>
    </row>
    <row r="47" spans="23:23">
      <c r="W47" s="1">
        <v>47</v>
      </c>
    </row>
    <row r="48" spans="23:23">
      <c r="W48" s="1">
        <v>48</v>
      </c>
    </row>
    <row r="49" spans="23:23">
      <c r="W49" s="1">
        <v>49</v>
      </c>
    </row>
    <row r="50" spans="23:23">
      <c r="W50" s="1">
        <v>50</v>
      </c>
    </row>
    <row r="51" spans="23:23">
      <c r="W51" s="1">
        <v>51</v>
      </c>
    </row>
    <row r="52" spans="23:23">
      <c r="W52" s="1">
        <v>52</v>
      </c>
    </row>
    <row r="53" spans="23:23">
      <c r="W53" s="1">
        <v>53</v>
      </c>
    </row>
    <row r="54" spans="23:23">
      <c r="W54" s="1">
        <v>54</v>
      </c>
    </row>
    <row r="55" spans="23:23">
      <c r="W55" s="1">
        <v>55</v>
      </c>
    </row>
    <row r="56" spans="23:23">
      <c r="W56" s="1">
        <v>56</v>
      </c>
    </row>
    <row r="57" spans="23:23">
      <c r="W57" s="1">
        <v>57</v>
      </c>
    </row>
    <row r="58" spans="23:23">
      <c r="W58" s="1">
        <v>58</v>
      </c>
    </row>
    <row r="59" spans="23:23">
      <c r="W59" s="1">
        <v>59</v>
      </c>
    </row>
    <row r="60" spans="23:23">
      <c r="W60" s="1">
        <v>60</v>
      </c>
    </row>
    <row r="61" spans="23:23">
      <c r="W61" s="1">
        <v>61</v>
      </c>
    </row>
    <row r="62" spans="23:23">
      <c r="W62" s="1">
        <v>62</v>
      </c>
    </row>
    <row r="63" spans="23:23">
      <c r="W63" s="1">
        <v>63</v>
      </c>
    </row>
    <row r="64" spans="23:23">
      <c r="W64" s="1">
        <v>64</v>
      </c>
    </row>
    <row r="65" spans="23:23">
      <c r="W65" s="1">
        <v>65</v>
      </c>
    </row>
    <row r="66" spans="23:23">
      <c r="W66" s="1">
        <v>66</v>
      </c>
    </row>
    <row r="67" spans="23:23">
      <c r="W67" s="1">
        <v>67</v>
      </c>
    </row>
    <row r="68" spans="23:23">
      <c r="W68" s="1">
        <v>68</v>
      </c>
    </row>
    <row r="69" spans="23:23">
      <c r="W69" s="1">
        <v>69</v>
      </c>
    </row>
    <row r="70" spans="23:23">
      <c r="W70" s="1">
        <v>70</v>
      </c>
    </row>
    <row r="71" spans="23:23">
      <c r="W71" s="1">
        <v>71</v>
      </c>
    </row>
    <row r="72" spans="23:23">
      <c r="W72" s="1">
        <v>72</v>
      </c>
    </row>
    <row r="73" spans="23:23">
      <c r="W73" s="1">
        <v>73</v>
      </c>
    </row>
    <row r="74" spans="23:23">
      <c r="W74" s="1">
        <v>74</v>
      </c>
    </row>
    <row r="75" spans="23:23">
      <c r="W75" s="1">
        <v>75</v>
      </c>
    </row>
    <row r="76" spans="23:23">
      <c r="W76" s="1">
        <v>76</v>
      </c>
    </row>
    <row r="77" spans="23:23">
      <c r="W77" s="1">
        <v>77</v>
      </c>
    </row>
    <row r="78" spans="23:23">
      <c r="W78" s="1">
        <v>78</v>
      </c>
    </row>
    <row r="79" spans="23:23">
      <c r="W79" s="1">
        <v>79</v>
      </c>
    </row>
    <row r="80" spans="23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sortState ref="I1:N99">
    <sortCondition descending="1" ref="J1:J99"/>
    <sortCondition descending="1" ref="K1:K99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I99"/>
  <sheetViews>
    <sheetView zoomScale="73" zoomScaleNormal="73" workbookViewId="0">
      <selection activeCell="I6" sqref="I6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6.5703125" style="1" customWidth="1"/>
    <col min="29" max="29" width="2.140625" style="8" customWidth="1"/>
    <col min="30" max="31" width="6.42578125" style="1" customWidth="1"/>
    <col min="32" max="32" width="2.140625" style="8" customWidth="1"/>
    <col min="33" max="33" width="6.42578125" style="1" customWidth="1"/>
    <col min="34" max="34" width="2.140625" style="8" customWidth="1"/>
    <col min="35" max="35" width="9.7109375" customWidth="1"/>
  </cols>
  <sheetData>
    <row r="1" spans="1:35">
      <c r="A1" s="4" t="s">
        <v>93</v>
      </c>
      <c r="B1" s="4" t="s">
        <v>90</v>
      </c>
      <c r="C1" s="5">
        <v>1</v>
      </c>
      <c r="D1" s="5">
        <v>3</v>
      </c>
      <c r="E1" s="1">
        <f t="shared" ref="E1:E8" si="0">C1-D1</f>
        <v>-2</v>
      </c>
      <c r="F1" s="1">
        <f t="shared" ref="F1:F8" si="1">D1-C1</f>
        <v>2</v>
      </c>
      <c r="G1" s="10"/>
      <c r="H1" s="17"/>
      <c r="I1" t="s">
        <v>90</v>
      </c>
      <c r="J1" s="2">
        <f t="shared" ref="J1:J13" si="2">(L1/N1)*IF(N1&gt;5,1,IF(N1=5,0.9,IF(N1=4,0.8,0.7)))</f>
        <v>1.4</v>
      </c>
      <c r="K1" s="2">
        <f t="shared" ref="K1:K13" si="3">M1/N1</f>
        <v>1</v>
      </c>
      <c r="L1" s="1">
        <f>0+1+3</f>
        <v>4</v>
      </c>
      <c r="M1" s="1">
        <f>0+0+2</f>
        <v>2</v>
      </c>
      <c r="N1" s="1">
        <f>0+1+1</f>
        <v>2</v>
      </c>
      <c r="W1" s="1">
        <v>1</v>
      </c>
      <c r="X1" s="12" t="s">
        <v>29</v>
      </c>
      <c r="Y1" s="4" t="s">
        <v>99</v>
      </c>
      <c r="AA1" s="18" t="s">
        <v>110</v>
      </c>
      <c r="AB1" s="18" t="s">
        <v>111</v>
      </c>
      <c r="AD1" s="18"/>
      <c r="AE1" s="18"/>
      <c r="AI1" s="12"/>
    </row>
    <row r="2" spans="1:35">
      <c r="A2" s="4" t="s">
        <v>91</v>
      </c>
      <c r="B2" s="4" t="s">
        <v>92</v>
      </c>
      <c r="C2" s="5">
        <v>0</v>
      </c>
      <c r="D2" s="5">
        <v>1</v>
      </c>
      <c r="E2" s="1">
        <f t="shared" si="0"/>
        <v>-1</v>
      </c>
      <c r="F2" s="1">
        <f t="shared" si="1"/>
        <v>1</v>
      </c>
      <c r="G2" s="10"/>
      <c r="H2" s="17"/>
      <c r="I2" t="s">
        <v>85</v>
      </c>
      <c r="J2" s="2">
        <f t="shared" si="2"/>
        <v>1.4</v>
      </c>
      <c r="K2" s="2">
        <f t="shared" si="3"/>
        <v>1</v>
      </c>
      <c r="L2" s="1">
        <f>0+1+3</f>
        <v>4</v>
      </c>
      <c r="M2" s="1">
        <f>0+0+2</f>
        <v>2</v>
      </c>
      <c r="N2" s="1">
        <f>0+1+1</f>
        <v>2</v>
      </c>
      <c r="W2" s="1">
        <v>2</v>
      </c>
      <c r="X2" s="12" t="s">
        <v>100</v>
      </c>
      <c r="Y2" s="4" t="s">
        <v>38</v>
      </c>
      <c r="AA2" s="18" t="s">
        <v>110</v>
      </c>
      <c r="AB2" s="18" t="s">
        <v>113</v>
      </c>
      <c r="AD2" s="18"/>
      <c r="AE2" s="18"/>
      <c r="AI2" s="12"/>
    </row>
    <row r="3" spans="1:35">
      <c r="A3" s="4"/>
      <c r="B3" s="4"/>
      <c r="C3" s="5"/>
      <c r="D3" s="5"/>
      <c r="E3" s="1">
        <f t="shared" si="0"/>
        <v>0</v>
      </c>
      <c r="F3" s="1">
        <f t="shared" si="1"/>
        <v>0</v>
      </c>
      <c r="G3" s="10"/>
      <c r="H3" s="17"/>
      <c r="I3" t="s">
        <v>86</v>
      </c>
      <c r="J3" s="2">
        <f t="shared" si="2"/>
        <v>0.7</v>
      </c>
      <c r="K3" s="2">
        <f t="shared" si="3"/>
        <v>0</v>
      </c>
      <c r="L3" s="1">
        <f>0+1+1</f>
        <v>2</v>
      </c>
      <c r="M3" s="1">
        <f>0+0+0</f>
        <v>0</v>
      </c>
      <c r="N3" s="1">
        <f>0+1+1</f>
        <v>2</v>
      </c>
      <c r="W3" s="1">
        <v>3</v>
      </c>
      <c r="X3" s="12"/>
      <c r="Y3" s="4"/>
      <c r="AA3" s="18"/>
      <c r="AB3" s="18"/>
      <c r="AD3" s="18"/>
      <c r="AE3" s="18"/>
      <c r="AI3" s="12" t="s">
        <v>115</v>
      </c>
    </row>
    <row r="4" spans="1:35">
      <c r="A4" s="4" t="s">
        <v>114</v>
      </c>
      <c r="B4" s="4" t="s">
        <v>85</v>
      </c>
      <c r="C4" s="5">
        <v>0</v>
      </c>
      <c r="D4" s="5">
        <v>2</v>
      </c>
      <c r="E4" s="1">
        <f t="shared" si="0"/>
        <v>-2</v>
      </c>
      <c r="F4" s="1">
        <f t="shared" si="1"/>
        <v>2</v>
      </c>
      <c r="G4" s="10"/>
      <c r="H4" s="17"/>
      <c r="I4" t="s">
        <v>83</v>
      </c>
      <c r="J4" s="2">
        <f t="shared" si="2"/>
        <v>2.0999999999999996</v>
      </c>
      <c r="K4" s="2">
        <f t="shared" si="3"/>
        <v>1</v>
      </c>
      <c r="L4" s="1">
        <f>0+3</f>
        <v>3</v>
      </c>
      <c r="M4" s="1">
        <f t="shared" ref="M4:N6" si="4">0+1</f>
        <v>1</v>
      </c>
      <c r="N4" s="1">
        <f t="shared" si="4"/>
        <v>1</v>
      </c>
      <c r="W4" s="1">
        <v>4</v>
      </c>
      <c r="X4" s="12" t="s">
        <v>117</v>
      </c>
      <c r="Y4" s="4" t="s">
        <v>41</v>
      </c>
      <c r="AA4" s="18" t="s">
        <v>108</v>
      </c>
      <c r="AB4" s="18" t="s">
        <v>119</v>
      </c>
      <c r="AD4" s="18"/>
      <c r="AE4" s="18"/>
      <c r="AI4" s="12"/>
    </row>
    <row r="5" spans="1:35">
      <c r="A5" s="4"/>
      <c r="B5" s="4"/>
      <c r="C5" s="5"/>
      <c r="D5" s="5"/>
      <c r="E5" s="1">
        <f t="shared" si="0"/>
        <v>0</v>
      </c>
      <c r="F5" s="1">
        <f t="shared" si="1"/>
        <v>0</v>
      </c>
      <c r="G5" s="10"/>
      <c r="H5" s="17"/>
      <c r="I5" t="s">
        <v>94</v>
      </c>
      <c r="J5" s="2">
        <f t="shared" si="2"/>
        <v>2.0999999999999996</v>
      </c>
      <c r="K5" s="2">
        <f t="shared" si="3"/>
        <v>1</v>
      </c>
      <c r="L5" s="1">
        <f>0+3</f>
        <v>3</v>
      </c>
      <c r="M5" s="1">
        <f t="shared" si="4"/>
        <v>1</v>
      </c>
      <c r="N5" s="1">
        <f t="shared" si="4"/>
        <v>1</v>
      </c>
      <c r="W5" s="1">
        <v>5</v>
      </c>
      <c r="X5" s="12"/>
      <c r="Y5" s="4"/>
      <c r="AA5" s="18"/>
      <c r="AB5" s="18"/>
      <c r="AD5" s="18"/>
      <c r="AE5" s="18"/>
      <c r="AI5" s="12" t="s">
        <v>116</v>
      </c>
    </row>
    <row r="6" spans="1:35">
      <c r="A6" s="4" t="s">
        <v>92</v>
      </c>
      <c r="B6" s="4" t="s">
        <v>91</v>
      </c>
      <c r="C6" s="5"/>
      <c r="D6" s="5"/>
      <c r="E6" s="1">
        <f t="shared" si="0"/>
        <v>0</v>
      </c>
      <c r="F6" s="1">
        <f t="shared" si="1"/>
        <v>0</v>
      </c>
      <c r="G6" s="10">
        <v>0.875</v>
      </c>
      <c r="H6" s="17"/>
      <c r="I6" s="3" t="s">
        <v>92</v>
      </c>
      <c r="J6" s="2">
        <f t="shared" si="2"/>
        <v>2.0999999999999996</v>
      </c>
      <c r="K6" s="2">
        <f t="shared" si="3"/>
        <v>1</v>
      </c>
      <c r="L6" s="1">
        <f>0+3</f>
        <v>3</v>
      </c>
      <c r="M6" s="1">
        <f t="shared" si="4"/>
        <v>1</v>
      </c>
      <c r="N6" s="1">
        <f t="shared" si="4"/>
        <v>1</v>
      </c>
      <c r="W6" s="1">
        <v>6</v>
      </c>
      <c r="X6" s="12" t="s">
        <v>100</v>
      </c>
      <c r="Y6" s="4" t="s">
        <v>38</v>
      </c>
      <c r="AA6" s="18" t="s">
        <v>118</v>
      </c>
      <c r="AB6" s="18" t="s">
        <v>120</v>
      </c>
      <c r="AD6" s="18"/>
      <c r="AE6" s="18"/>
      <c r="AI6" s="12"/>
    </row>
    <row r="7" spans="1:35">
      <c r="A7" s="4"/>
      <c r="B7" s="4"/>
      <c r="C7" s="5"/>
      <c r="D7" s="5"/>
      <c r="E7" s="1">
        <f t="shared" si="0"/>
        <v>0</v>
      </c>
      <c r="F7" s="1">
        <f t="shared" si="1"/>
        <v>0</v>
      </c>
      <c r="G7" s="10"/>
      <c r="H7" s="17"/>
      <c r="I7" t="s">
        <v>89</v>
      </c>
      <c r="J7" s="2">
        <f t="shared" si="2"/>
        <v>0.7</v>
      </c>
      <c r="K7" s="2">
        <f t="shared" si="3"/>
        <v>0</v>
      </c>
      <c r="L7" s="1">
        <f>0+1</f>
        <v>1</v>
      </c>
      <c r="M7" s="1">
        <f>0+0</f>
        <v>0</v>
      </c>
      <c r="N7" s="1">
        <f t="shared" ref="N7:N13" si="5">0+1</f>
        <v>1</v>
      </c>
      <c r="W7" s="1">
        <v>7</v>
      </c>
      <c r="X7" s="12"/>
      <c r="Y7" s="4"/>
      <c r="AA7" s="18"/>
      <c r="AB7" s="18"/>
      <c r="AD7" s="18"/>
      <c r="AE7" s="18"/>
      <c r="AI7" s="12"/>
    </row>
    <row r="8" spans="1:35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10"/>
      <c r="H8" s="17"/>
      <c r="I8" t="s">
        <v>96</v>
      </c>
      <c r="J8" s="2">
        <f t="shared" si="2"/>
        <v>0.7</v>
      </c>
      <c r="K8" s="2">
        <f t="shared" si="3"/>
        <v>0</v>
      </c>
      <c r="L8" s="1">
        <f>0+1</f>
        <v>1</v>
      </c>
      <c r="M8" s="1">
        <f>0+0</f>
        <v>0</v>
      </c>
      <c r="N8" s="1">
        <f t="shared" si="5"/>
        <v>1</v>
      </c>
      <c r="W8" s="1">
        <v>8</v>
      </c>
      <c r="X8" s="12"/>
      <c r="Y8" s="4"/>
      <c r="AA8" s="18"/>
      <c r="AB8" s="18"/>
      <c r="AD8" s="18"/>
      <c r="AE8" s="18"/>
      <c r="AI8" s="12"/>
    </row>
    <row r="9" spans="1:35">
      <c r="A9" t="s">
        <v>6</v>
      </c>
      <c r="C9"/>
      <c r="D9"/>
      <c r="E9"/>
      <c r="F9"/>
      <c r="G9" s="15"/>
      <c r="H9" s="7"/>
      <c r="I9" t="s">
        <v>84</v>
      </c>
      <c r="J9" s="2">
        <f t="shared" si="2"/>
        <v>0</v>
      </c>
      <c r="K9" s="2">
        <f t="shared" si="3"/>
        <v>-1</v>
      </c>
      <c r="L9" s="1">
        <f>0+0</f>
        <v>0</v>
      </c>
      <c r="M9" s="1">
        <f>0-1</f>
        <v>-1</v>
      </c>
      <c r="N9" s="1">
        <f t="shared" si="5"/>
        <v>1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/>
      <c r="AE9" s="3"/>
      <c r="AG9" s="3"/>
      <c r="AI9" s="16" t="s">
        <v>106</v>
      </c>
    </row>
    <row r="10" spans="1:35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I10" t="s">
        <v>95</v>
      </c>
      <c r="J10" s="2">
        <f t="shared" si="2"/>
        <v>0</v>
      </c>
      <c r="K10" s="2">
        <f t="shared" si="3"/>
        <v>-1</v>
      </c>
      <c r="L10" s="1">
        <f>0+0</f>
        <v>0</v>
      </c>
      <c r="M10" s="1">
        <f>0+-1</f>
        <v>-1</v>
      </c>
      <c r="N10" s="1">
        <f t="shared" si="5"/>
        <v>1</v>
      </c>
      <c r="W10" s="1">
        <v>10</v>
      </c>
      <c r="X10" s="13" t="s">
        <v>54</v>
      </c>
      <c r="Y10" t="s">
        <v>38</v>
      </c>
    </row>
    <row r="11" spans="1:35">
      <c r="A11" t="s">
        <v>7</v>
      </c>
      <c r="C11"/>
      <c r="D11"/>
      <c r="E11"/>
      <c r="F11"/>
      <c r="I11" t="s">
        <v>91</v>
      </c>
      <c r="J11" s="2">
        <f t="shared" si="2"/>
        <v>0</v>
      </c>
      <c r="K11" s="2">
        <f t="shared" si="3"/>
        <v>-1</v>
      </c>
      <c r="L11" s="1">
        <f>0+0</f>
        <v>0</v>
      </c>
      <c r="M11" s="1">
        <f>0+-1</f>
        <v>-1</v>
      </c>
      <c r="N11" s="1">
        <f t="shared" si="5"/>
        <v>1</v>
      </c>
      <c r="W11" s="1">
        <v>11</v>
      </c>
      <c r="X11" s="13" t="s">
        <v>55</v>
      </c>
      <c r="Y11" t="s">
        <v>39</v>
      </c>
    </row>
    <row r="12" spans="1:35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I12" t="s">
        <v>93</v>
      </c>
      <c r="J12" s="2">
        <f t="shared" si="2"/>
        <v>0</v>
      </c>
      <c r="K12" s="2">
        <f t="shared" si="3"/>
        <v>-2</v>
      </c>
      <c r="L12" s="1">
        <f>0+0</f>
        <v>0</v>
      </c>
      <c r="M12" s="1">
        <f>0+-2</f>
        <v>-2</v>
      </c>
      <c r="N12" s="1">
        <f t="shared" si="5"/>
        <v>1</v>
      </c>
      <c r="W12" s="1">
        <v>12</v>
      </c>
      <c r="X12" s="13" t="s">
        <v>25</v>
      </c>
      <c r="Y12" t="s">
        <v>40</v>
      </c>
    </row>
    <row r="13" spans="1:35">
      <c r="A13" t="s">
        <v>15</v>
      </c>
      <c r="C13"/>
      <c r="D13"/>
      <c r="E13"/>
      <c r="F13"/>
      <c r="I13" t="s">
        <v>114</v>
      </c>
      <c r="J13" s="2">
        <f t="shared" si="2"/>
        <v>0</v>
      </c>
      <c r="K13" s="2">
        <f t="shared" si="3"/>
        <v>-2</v>
      </c>
      <c r="L13" s="1">
        <f>0+0</f>
        <v>0</v>
      </c>
      <c r="M13" s="1">
        <f>0+-2</f>
        <v>-2</v>
      </c>
      <c r="N13" s="1">
        <f t="shared" si="5"/>
        <v>1</v>
      </c>
      <c r="W13" s="1">
        <v>13</v>
      </c>
      <c r="X13" s="13" t="s">
        <v>29</v>
      </c>
      <c r="Y13" t="s">
        <v>45</v>
      </c>
    </row>
    <row r="14" spans="1:35">
      <c r="A14" s="3" t="s">
        <v>30</v>
      </c>
      <c r="C14"/>
      <c r="D14"/>
      <c r="E14"/>
      <c r="F14"/>
      <c r="W14" s="1">
        <v>14</v>
      </c>
      <c r="X14" s="13" t="s">
        <v>56</v>
      </c>
      <c r="Y14" t="s">
        <v>42</v>
      </c>
    </row>
    <row r="15" spans="1:35">
      <c r="A15" t="s">
        <v>31</v>
      </c>
      <c r="C15"/>
      <c r="D15"/>
      <c r="E15"/>
      <c r="F15"/>
      <c r="H15" s="8" t="s">
        <v>107</v>
      </c>
      <c r="W15" s="1">
        <v>15</v>
      </c>
      <c r="X15" s="13" t="s">
        <v>57</v>
      </c>
      <c r="Y15" t="s">
        <v>43</v>
      </c>
    </row>
    <row r="16" spans="1:35">
      <c r="A16" t="s">
        <v>23</v>
      </c>
      <c r="C16"/>
      <c r="D16"/>
      <c r="E16"/>
      <c r="F16"/>
      <c r="W16" s="1">
        <v>16</v>
      </c>
      <c r="X16" s="13" t="s">
        <v>58</v>
      </c>
      <c r="Y16" t="s">
        <v>44</v>
      </c>
    </row>
    <row r="17" spans="1:25">
      <c r="A17" t="s">
        <v>32</v>
      </c>
      <c r="H17" s="8" t="s">
        <v>107</v>
      </c>
      <c r="W17" s="1">
        <v>17</v>
      </c>
      <c r="X17" s="13" t="s">
        <v>59</v>
      </c>
      <c r="Y17" t="s">
        <v>46</v>
      </c>
    </row>
    <row r="18" spans="1:25">
      <c r="A18" t="s">
        <v>33</v>
      </c>
      <c r="C18"/>
      <c r="D18"/>
      <c r="E18"/>
      <c r="F18"/>
      <c r="W18" s="1">
        <v>18</v>
      </c>
      <c r="X18" s="13" t="s">
        <v>60</v>
      </c>
      <c r="Y18" t="s">
        <v>47</v>
      </c>
    </row>
    <row r="19" spans="1:25">
      <c r="A19" t="s">
        <v>34</v>
      </c>
      <c r="H19" s="8" t="s">
        <v>107</v>
      </c>
      <c r="W19" s="1">
        <v>19</v>
      </c>
      <c r="X19" s="13" t="s">
        <v>26</v>
      </c>
      <c r="Y19" t="s">
        <v>48</v>
      </c>
    </row>
    <row r="20" spans="1:25">
      <c r="A20" t="s">
        <v>19</v>
      </c>
      <c r="W20" s="1">
        <v>20</v>
      </c>
      <c r="X20" s="13" t="s">
        <v>61</v>
      </c>
      <c r="Y20" t="s">
        <v>49</v>
      </c>
    </row>
    <row r="21" spans="1:25">
      <c r="B21" t="s">
        <v>20</v>
      </c>
      <c r="W21" s="1">
        <v>21</v>
      </c>
      <c r="X21" s="13" t="s">
        <v>62</v>
      </c>
      <c r="Y21" t="s">
        <v>50</v>
      </c>
    </row>
    <row r="22" spans="1:25">
      <c r="B22" t="s">
        <v>88</v>
      </c>
      <c r="W22" s="1">
        <v>22</v>
      </c>
      <c r="X22" s="13" t="s">
        <v>63</v>
      </c>
      <c r="Y22" t="s">
        <v>51</v>
      </c>
    </row>
    <row r="23" spans="1:25">
      <c r="A23" t="s">
        <v>16</v>
      </c>
      <c r="C23"/>
      <c r="D23"/>
      <c r="E23"/>
      <c r="F23"/>
      <c r="W23" s="1">
        <v>23</v>
      </c>
      <c r="X23" s="13" t="s">
        <v>28</v>
      </c>
      <c r="Y23" t="s">
        <v>52</v>
      </c>
    </row>
    <row r="24" spans="1:25">
      <c r="A24" t="s">
        <v>17</v>
      </c>
      <c r="B24" s="2" t="e">
        <f t="shared" ref="B24" si="6">(D24/F24)*IF(F24&gt;5,1,IF(F24=5,0.9,IF(F24=4,0.8,0.7)))</f>
        <v>#DIV/0!</v>
      </c>
      <c r="C24" s="2" t="e">
        <f t="shared" ref="C24" si="7">E24/F24</f>
        <v>#DIV/0!</v>
      </c>
      <c r="D24" s="1">
        <f>0</f>
        <v>0</v>
      </c>
      <c r="E24" s="1">
        <f>0</f>
        <v>0</v>
      </c>
      <c r="F24" s="1">
        <f>0</f>
        <v>0</v>
      </c>
      <c r="W24" s="1">
        <v>24</v>
      </c>
      <c r="X24" s="13" t="s">
        <v>64</v>
      </c>
      <c r="Y24" t="s">
        <v>53</v>
      </c>
    </row>
    <row r="25" spans="1:25">
      <c r="A25" t="s">
        <v>18</v>
      </c>
      <c r="B25" t="s">
        <v>22</v>
      </c>
      <c r="H25" s="8" t="s">
        <v>107</v>
      </c>
      <c r="W25" s="1">
        <v>25</v>
      </c>
      <c r="X25" s="13" t="s">
        <v>65</v>
      </c>
      <c r="Y25" t="s">
        <v>68</v>
      </c>
    </row>
    <row r="26" spans="1:25">
      <c r="A26" t="s">
        <v>14</v>
      </c>
      <c r="W26" s="1">
        <v>26</v>
      </c>
      <c r="X26" s="13" t="s">
        <v>66</v>
      </c>
      <c r="Y26" t="s">
        <v>69</v>
      </c>
    </row>
    <row r="27" spans="1:25">
      <c r="A27" t="s">
        <v>21</v>
      </c>
      <c r="W27" s="1">
        <v>27</v>
      </c>
      <c r="X27" s="13" t="s">
        <v>67</v>
      </c>
      <c r="Y27" t="s">
        <v>70</v>
      </c>
    </row>
    <row r="28" spans="1:25">
      <c r="W28" s="1">
        <v>28</v>
      </c>
    </row>
    <row r="29" spans="1:25">
      <c r="W29" s="1">
        <v>29</v>
      </c>
    </row>
    <row r="30" spans="1:25">
      <c r="W30" s="1">
        <v>30</v>
      </c>
    </row>
    <row r="31" spans="1:25">
      <c r="W31" s="1">
        <v>31</v>
      </c>
    </row>
    <row r="32" spans="1:25">
      <c r="W32" s="1">
        <v>32</v>
      </c>
    </row>
    <row r="33" spans="23:23">
      <c r="W33" s="1">
        <v>33</v>
      </c>
    </row>
    <row r="34" spans="23:23">
      <c r="W34" s="1">
        <v>34</v>
      </c>
    </row>
    <row r="35" spans="23:23">
      <c r="W35" s="1">
        <v>35</v>
      </c>
    </row>
    <row r="36" spans="23:23">
      <c r="W36" s="1">
        <v>36</v>
      </c>
    </row>
    <row r="37" spans="23:23">
      <c r="W37" s="1">
        <v>37</v>
      </c>
    </row>
    <row r="38" spans="23:23">
      <c r="W38" s="1">
        <v>38</v>
      </c>
    </row>
    <row r="39" spans="23:23">
      <c r="W39" s="1">
        <v>39</v>
      </c>
    </row>
    <row r="40" spans="23:23">
      <c r="W40" s="1">
        <v>40</v>
      </c>
    </row>
    <row r="41" spans="23:23">
      <c r="W41" s="1">
        <v>41</v>
      </c>
    </row>
    <row r="42" spans="23:23">
      <c r="W42" s="1">
        <v>42</v>
      </c>
    </row>
    <row r="43" spans="23:23">
      <c r="W43" s="1">
        <v>43</v>
      </c>
    </row>
    <row r="44" spans="23:23">
      <c r="W44" s="1">
        <v>44</v>
      </c>
    </row>
    <row r="45" spans="23:23">
      <c r="W45" s="1">
        <v>45</v>
      </c>
    </row>
    <row r="46" spans="23:23">
      <c r="W46" s="1">
        <v>46</v>
      </c>
    </row>
    <row r="47" spans="23:23">
      <c r="W47" s="1">
        <v>47</v>
      </c>
    </row>
    <row r="48" spans="23:23">
      <c r="W48" s="1">
        <v>48</v>
      </c>
    </row>
    <row r="49" spans="23:23">
      <c r="W49" s="1">
        <v>49</v>
      </c>
    </row>
    <row r="50" spans="23:23">
      <c r="W50" s="1">
        <v>50</v>
      </c>
    </row>
    <row r="51" spans="23:23">
      <c r="W51" s="1">
        <v>51</v>
      </c>
    </row>
    <row r="52" spans="23:23">
      <c r="W52" s="1">
        <v>52</v>
      </c>
    </row>
    <row r="53" spans="23:23">
      <c r="W53" s="1">
        <v>53</v>
      </c>
    </row>
    <row r="54" spans="23:23">
      <c r="W54" s="1">
        <v>54</v>
      </c>
    </row>
    <row r="55" spans="23:23">
      <c r="W55" s="1">
        <v>55</v>
      </c>
    </row>
    <row r="56" spans="23:23">
      <c r="W56" s="1">
        <v>56</v>
      </c>
    </row>
    <row r="57" spans="23:23">
      <c r="W57" s="1">
        <v>57</v>
      </c>
    </row>
    <row r="58" spans="23:23">
      <c r="W58" s="1">
        <v>58</v>
      </c>
    </row>
    <row r="59" spans="23:23">
      <c r="W59" s="1">
        <v>59</v>
      </c>
    </row>
    <row r="60" spans="23:23">
      <c r="W60" s="1">
        <v>60</v>
      </c>
    </row>
    <row r="61" spans="23:23">
      <c r="W61" s="1">
        <v>61</v>
      </c>
    </row>
    <row r="62" spans="23:23">
      <c r="W62" s="1">
        <v>62</v>
      </c>
    </row>
    <row r="63" spans="23:23">
      <c r="W63" s="1">
        <v>63</v>
      </c>
    </row>
    <row r="64" spans="23:23">
      <c r="W64" s="1">
        <v>64</v>
      </c>
    </row>
    <row r="65" spans="23:23">
      <c r="W65" s="1">
        <v>65</v>
      </c>
    </row>
    <row r="66" spans="23:23">
      <c r="W66" s="1">
        <v>66</v>
      </c>
    </row>
    <row r="67" spans="23:23">
      <c r="W67" s="1">
        <v>67</v>
      </c>
    </row>
    <row r="68" spans="23:23">
      <c r="W68" s="1">
        <v>68</v>
      </c>
    </row>
    <row r="69" spans="23:23">
      <c r="W69" s="1">
        <v>69</v>
      </c>
    </row>
    <row r="70" spans="23:23">
      <c r="W70" s="1">
        <v>70</v>
      </c>
    </row>
    <row r="71" spans="23:23">
      <c r="W71" s="1">
        <v>71</v>
      </c>
    </row>
    <row r="72" spans="23:23">
      <c r="W72" s="1">
        <v>72</v>
      </c>
    </row>
    <row r="73" spans="23:23">
      <c r="W73" s="1">
        <v>73</v>
      </c>
    </row>
    <row r="74" spans="23:23">
      <c r="W74" s="1">
        <v>74</v>
      </c>
    </row>
    <row r="75" spans="23:23">
      <c r="W75" s="1">
        <v>75</v>
      </c>
    </row>
    <row r="76" spans="23:23">
      <c r="W76" s="1">
        <v>76</v>
      </c>
    </row>
    <row r="77" spans="23:23">
      <c r="W77" s="1">
        <v>77</v>
      </c>
    </row>
    <row r="78" spans="23:23">
      <c r="W78" s="1">
        <v>78</v>
      </c>
    </row>
    <row r="79" spans="23:23">
      <c r="W79" s="1">
        <v>79</v>
      </c>
    </row>
    <row r="80" spans="23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sortState ref="I1:N99">
    <sortCondition descending="1" ref="J1:J99"/>
    <sortCondition descending="1" ref="K1:K99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99"/>
  <sheetViews>
    <sheetView zoomScale="73" zoomScaleNormal="73" workbookViewId="0">
      <selection activeCell="W5" sqref="W5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6.5703125" style="1" customWidth="1"/>
    <col min="29" max="29" width="2.140625" style="8" customWidth="1"/>
    <col min="30" max="31" width="6.42578125" style="1" customWidth="1"/>
    <col min="32" max="32" width="2.140625" style="8" customWidth="1"/>
    <col min="33" max="33" width="6.42578125" style="1" customWidth="1"/>
    <col min="34" max="34" width="2.140625" style="8" customWidth="1"/>
    <col min="35" max="35" width="9.7109375" customWidth="1"/>
  </cols>
  <sheetData>
    <row r="1" spans="1:35">
      <c r="A1" s="4" t="s">
        <v>132</v>
      </c>
      <c r="B1" s="4" t="s">
        <v>91</v>
      </c>
      <c r="C1" s="5">
        <v>1</v>
      </c>
      <c r="D1" s="5">
        <v>2</v>
      </c>
      <c r="E1" s="1">
        <f t="shared" ref="E1:E8" si="0">C1-D1</f>
        <v>-1</v>
      </c>
      <c r="F1" s="1">
        <f t="shared" ref="F1:F8" si="1">D1-C1</f>
        <v>1</v>
      </c>
      <c r="G1" s="10"/>
      <c r="H1" s="17"/>
      <c r="I1" t="s">
        <v>90</v>
      </c>
      <c r="J1" s="2">
        <f t="shared" ref="J1:J13" si="2">(L1/N1)*IF(N1&gt;5,1,IF(N1=5,0.9,IF(N1=4,0.8,0.7)))</f>
        <v>1.4</v>
      </c>
      <c r="K1" s="2">
        <f t="shared" ref="K1:K13" si="3">M1/N1</f>
        <v>1</v>
      </c>
      <c r="L1" s="1">
        <f>0+1+3</f>
        <v>4</v>
      </c>
      <c r="M1" s="1">
        <f>0+0+2</f>
        <v>2</v>
      </c>
      <c r="N1" s="1">
        <f>0+1+1</f>
        <v>2</v>
      </c>
      <c r="W1" s="1">
        <v>1</v>
      </c>
      <c r="X1" s="12" t="s">
        <v>100</v>
      </c>
      <c r="Y1" s="4" t="s">
        <v>38</v>
      </c>
      <c r="AA1" s="18" t="s">
        <v>118</v>
      </c>
      <c r="AB1" s="18" t="s">
        <v>120</v>
      </c>
      <c r="AD1" s="18"/>
      <c r="AE1" s="18"/>
      <c r="AI1" s="12"/>
    </row>
    <row r="2" spans="1:35">
      <c r="A2" s="4"/>
      <c r="B2" s="4"/>
      <c r="C2" s="5"/>
      <c r="D2" s="5"/>
      <c r="E2" s="1">
        <f t="shared" si="0"/>
        <v>0</v>
      </c>
      <c r="F2" s="1">
        <f t="shared" si="1"/>
        <v>0</v>
      </c>
      <c r="G2" s="10"/>
      <c r="H2" s="17"/>
      <c r="I2" t="s">
        <v>85</v>
      </c>
      <c r="J2" s="2">
        <f t="shared" si="2"/>
        <v>1.4</v>
      </c>
      <c r="K2" s="2">
        <f t="shared" si="3"/>
        <v>1</v>
      </c>
      <c r="L2" s="1">
        <f>0+1+3</f>
        <v>4</v>
      </c>
      <c r="M2" s="1">
        <f>0+0+2</f>
        <v>2</v>
      </c>
      <c r="N2" s="1">
        <f>0+1+1</f>
        <v>2</v>
      </c>
      <c r="W2" s="1">
        <v>2</v>
      </c>
      <c r="X2" s="12"/>
      <c r="Y2" s="4"/>
      <c r="AA2" s="18"/>
      <c r="AB2" s="18"/>
      <c r="AD2" s="18"/>
      <c r="AE2" s="18"/>
      <c r="AI2" s="12" t="s">
        <v>121</v>
      </c>
    </row>
    <row r="3" spans="1:35">
      <c r="A3" s="4" t="s">
        <v>95</v>
      </c>
      <c r="B3" s="4" t="s">
        <v>114</v>
      </c>
      <c r="C3" s="5"/>
      <c r="D3" s="5"/>
      <c r="E3" s="1">
        <f t="shared" si="0"/>
        <v>0</v>
      </c>
      <c r="F3" s="1">
        <f t="shared" si="1"/>
        <v>0</v>
      </c>
      <c r="G3" s="10">
        <v>0.5625</v>
      </c>
      <c r="H3" s="17"/>
      <c r="I3" s="3" t="s">
        <v>132</v>
      </c>
      <c r="J3" s="2">
        <f t="shared" si="2"/>
        <v>1.0499999999999998</v>
      </c>
      <c r="K3" s="2">
        <f t="shared" si="3"/>
        <v>0</v>
      </c>
      <c r="L3" s="1">
        <f>0+3+0</f>
        <v>3</v>
      </c>
      <c r="M3" s="1">
        <f>0+1+-1</f>
        <v>0</v>
      </c>
      <c r="N3" s="1">
        <f>0+1+1</f>
        <v>2</v>
      </c>
      <c r="W3" s="1">
        <v>3</v>
      </c>
      <c r="X3" s="12" t="s">
        <v>127</v>
      </c>
      <c r="Y3" s="4" t="s">
        <v>41</v>
      </c>
      <c r="AA3" s="18" t="s">
        <v>128</v>
      </c>
      <c r="AB3" s="18" t="s">
        <v>130</v>
      </c>
      <c r="AD3" s="18"/>
      <c r="AE3" s="18"/>
      <c r="AI3" s="12"/>
    </row>
    <row r="4" spans="1:35">
      <c r="A4" s="4" t="s">
        <v>123</v>
      </c>
      <c r="B4" s="4" t="s">
        <v>85</v>
      </c>
      <c r="C4" s="5"/>
      <c r="D4" s="5"/>
      <c r="E4" s="1">
        <f t="shared" si="0"/>
        <v>0</v>
      </c>
      <c r="F4" s="1">
        <f t="shared" si="1"/>
        <v>0</v>
      </c>
      <c r="G4" s="10">
        <v>0.77083333333333337</v>
      </c>
      <c r="H4" s="17"/>
      <c r="I4" t="s">
        <v>91</v>
      </c>
      <c r="J4" s="2">
        <f t="shared" si="2"/>
        <v>1.0499999999999998</v>
      </c>
      <c r="K4" s="2">
        <f t="shared" si="3"/>
        <v>0</v>
      </c>
      <c r="L4" s="1">
        <f>0+0+3</f>
        <v>3</v>
      </c>
      <c r="M4" s="1">
        <f>0+-1+1</f>
        <v>0</v>
      </c>
      <c r="N4" s="1">
        <f>0+1+1</f>
        <v>2</v>
      </c>
      <c r="W4" s="1">
        <v>4</v>
      </c>
      <c r="X4" s="12" t="s">
        <v>127</v>
      </c>
      <c r="Y4" s="4" t="s">
        <v>41</v>
      </c>
      <c r="AA4" s="18" t="s">
        <v>110</v>
      </c>
      <c r="AB4" s="18" t="s">
        <v>119</v>
      </c>
      <c r="AD4" s="18"/>
      <c r="AE4" s="18"/>
      <c r="AI4" s="12"/>
    </row>
    <row r="5" spans="1:35">
      <c r="A5" s="4"/>
      <c r="B5" s="4"/>
      <c r="C5" s="5"/>
      <c r="D5" s="5"/>
      <c r="E5" s="1">
        <f t="shared" si="0"/>
        <v>0</v>
      </c>
      <c r="F5" s="1">
        <f t="shared" si="1"/>
        <v>0</v>
      </c>
      <c r="G5" s="10"/>
      <c r="H5" s="17"/>
      <c r="I5" t="s">
        <v>86</v>
      </c>
      <c r="J5" s="2">
        <f t="shared" si="2"/>
        <v>0.7</v>
      </c>
      <c r="K5" s="2">
        <f t="shared" si="3"/>
        <v>0</v>
      </c>
      <c r="L5" s="1">
        <f>0+1+1</f>
        <v>2</v>
      </c>
      <c r="M5" s="1">
        <f>0+0+0</f>
        <v>0</v>
      </c>
      <c r="N5" s="1">
        <f>0+1+1</f>
        <v>2</v>
      </c>
      <c r="W5" s="1">
        <v>5</v>
      </c>
      <c r="X5" s="12"/>
      <c r="Y5" s="4"/>
      <c r="AA5" s="18"/>
      <c r="AB5" s="18"/>
      <c r="AD5" s="18"/>
      <c r="AE5" s="18"/>
      <c r="AI5" s="12" t="s">
        <v>122</v>
      </c>
    </row>
    <row r="6" spans="1:35">
      <c r="A6" s="4" t="s">
        <v>124</v>
      </c>
      <c r="B6" s="4" t="s">
        <v>125</v>
      </c>
      <c r="C6" s="5"/>
      <c r="D6" s="5"/>
      <c r="E6" s="1">
        <f t="shared" si="0"/>
        <v>0</v>
      </c>
      <c r="F6" s="1">
        <f t="shared" si="1"/>
        <v>0</v>
      </c>
      <c r="G6" s="10">
        <v>0.72916666666666663</v>
      </c>
      <c r="H6" s="17"/>
      <c r="I6" t="s">
        <v>83</v>
      </c>
      <c r="J6" s="2">
        <f t="shared" si="2"/>
        <v>2.0999999999999996</v>
      </c>
      <c r="K6" s="2">
        <f t="shared" si="3"/>
        <v>1</v>
      </c>
      <c r="L6" s="1">
        <f>0+3</f>
        <v>3</v>
      </c>
      <c r="M6" s="1">
        <f>0+1</f>
        <v>1</v>
      </c>
      <c r="N6" s="1">
        <f>0+1</f>
        <v>1</v>
      </c>
      <c r="W6" s="1">
        <v>6</v>
      </c>
      <c r="X6" s="12" t="s">
        <v>127</v>
      </c>
      <c r="Y6" s="4" t="s">
        <v>73</v>
      </c>
      <c r="AA6" s="18" t="s">
        <v>129</v>
      </c>
      <c r="AB6" s="18" t="s">
        <v>113</v>
      </c>
      <c r="AD6" s="18"/>
      <c r="AE6" s="18"/>
      <c r="AI6" s="12"/>
    </row>
    <row r="7" spans="1:35">
      <c r="A7" s="4" t="s">
        <v>126</v>
      </c>
      <c r="B7" s="4" t="s">
        <v>86</v>
      </c>
      <c r="C7" s="5"/>
      <c r="D7" s="5"/>
      <c r="E7" s="1">
        <f t="shared" si="0"/>
        <v>0</v>
      </c>
      <c r="F7" s="1">
        <f t="shared" si="1"/>
        <v>0</v>
      </c>
      <c r="G7" s="10">
        <v>0.91666666666666663</v>
      </c>
      <c r="H7" s="17"/>
      <c r="I7" t="s">
        <v>94</v>
      </c>
      <c r="J7" s="2">
        <f t="shared" si="2"/>
        <v>2.0999999999999996</v>
      </c>
      <c r="K7" s="2">
        <f t="shared" si="3"/>
        <v>1</v>
      </c>
      <c r="L7" s="1">
        <f>0+3</f>
        <v>3</v>
      </c>
      <c r="M7" s="1">
        <f>0+1</f>
        <v>1</v>
      </c>
      <c r="N7" s="1">
        <f>0+1</f>
        <v>1</v>
      </c>
      <c r="W7" s="1">
        <v>7</v>
      </c>
      <c r="X7" s="12" t="s">
        <v>127</v>
      </c>
      <c r="Y7" s="4" t="s">
        <v>98</v>
      </c>
      <c r="AA7" s="18" t="s">
        <v>128</v>
      </c>
      <c r="AB7" s="18" t="s">
        <v>131</v>
      </c>
      <c r="AD7" s="18"/>
      <c r="AE7" s="18"/>
      <c r="AI7" s="12"/>
    </row>
    <row r="8" spans="1:35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10"/>
      <c r="H8" s="17"/>
      <c r="I8" t="s">
        <v>89</v>
      </c>
      <c r="J8" s="2">
        <f t="shared" si="2"/>
        <v>0.7</v>
      </c>
      <c r="K8" s="2">
        <f t="shared" si="3"/>
        <v>0</v>
      </c>
      <c r="L8" s="1">
        <f>0+1</f>
        <v>1</v>
      </c>
      <c r="M8" s="1">
        <f>0+0</f>
        <v>0</v>
      </c>
      <c r="N8" s="1">
        <f t="shared" ref="N8:N13" si="4">0+1</f>
        <v>1</v>
      </c>
      <c r="W8" s="1">
        <v>8</v>
      </c>
      <c r="X8" s="12"/>
      <c r="Y8" s="4"/>
      <c r="AA8" s="18"/>
      <c r="AB8" s="18"/>
      <c r="AD8" s="18"/>
      <c r="AE8" s="18"/>
      <c r="AI8" s="12"/>
    </row>
    <row r="9" spans="1:35">
      <c r="A9" t="s">
        <v>6</v>
      </c>
      <c r="C9"/>
      <c r="D9"/>
      <c r="E9"/>
      <c r="F9"/>
      <c r="G9" s="15"/>
      <c r="H9" s="7"/>
      <c r="I9" t="s">
        <v>96</v>
      </c>
      <c r="J9" s="2">
        <f t="shared" si="2"/>
        <v>0.7</v>
      </c>
      <c r="K9" s="2">
        <f t="shared" si="3"/>
        <v>0</v>
      </c>
      <c r="L9" s="1">
        <f>0+1</f>
        <v>1</v>
      </c>
      <c r="M9" s="1">
        <f>0+0</f>
        <v>0</v>
      </c>
      <c r="N9" s="1">
        <f t="shared" si="4"/>
        <v>1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/>
      <c r="AE9" s="3"/>
      <c r="AG9" s="3"/>
      <c r="AI9" s="16" t="s">
        <v>116</v>
      </c>
    </row>
    <row r="10" spans="1:35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I10" t="s">
        <v>84</v>
      </c>
      <c r="J10" s="2">
        <f t="shared" si="2"/>
        <v>0</v>
      </c>
      <c r="K10" s="2">
        <f t="shared" si="3"/>
        <v>-1</v>
      </c>
      <c r="L10" s="1">
        <f>0+0</f>
        <v>0</v>
      </c>
      <c r="M10" s="1">
        <f>0-1</f>
        <v>-1</v>
      </c>
      <c r="N10" s="1">
        <f t="shared" si="4"/>
        <v>1</v>
      </c>
      <c r="W10" s="1">
        <v>10</v>
      </c>
      <c r="X10" s="13" t="s">
        <v>54</v>
      </c>
      <c r="Y10" t="s">
        <v>38</v>
      </c>
    </row>
    <row r="11" spans="1:35">
      <c r="A11" t="s">
        <v>7</v>
      </c>
      <c r="C11"/>
      <c r="D11"/>
      <c r="E11"/>
      <c r="F11"/>
      <c r="I11" t="s">
        <v>95</v>
      </c>
      <c r="J11" s="2">
        <f t="shared" si="2"/>
        <v>0</v>
      </c>
      <c r="K11" s="2">
        <f t="shared" si="3"/>
        <v>-1</v>
      </c>
      <c r="L11" s="1">
        <f>0+0</f>
        <v>0</v>
      </c>
      <c r="M11" s="1">
        <f>0+-1</f>
        <v>-1</v>
      </c>
      <c r="N11" s="1">
        <f t="shared" si="4"/>
        <v>1</v>
      </c>
      <c r="W11" s="1">
        <v>11</v>
      </c>
      <c r="X11" s="13" t="s">
        <v>55</v>
      </c>
      <c r="Y11" t="s">
        <v>39</v>
      </c>
    </row>
    <row r="12" spans="1:35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I12" t="s">
        <v>93</v>
      </c>
      <c r="J12" s="2">
        <f t="shared" si="2"/>
        <v>0</v>
      </c>
      <c r="K12" s="2">
        <f t="shared" si="3"/>
        <v>-2</v>
      </c>
      <c r="L12" s="1">
        <f>0+0</f>
        <v>0</v>
      </c>
      <c r="M12" s="1">
        <f>0+-2</f>
        <v>-2</v>
      </c>
      <c r="N12" s="1">
        <f t="shared" si="4"/>
        <v>1</v>
      </c>
      <c r="W12" s="1">
        <v>12</v>
      </c>
      <c r="X12" s="13" t="s">
        <v>25</v>
      </c>
      <c r="Y12" t="s">
        <v>40</v>
      </c>
    </row>
    <row r="13" spans="1:35">
      <c r="A13" t="s">
        <v>15</v>
      </c>
      <c r="C13"/>
      <c r="D13"/>
      <c r="E13"/>
      <c r="F13"/>
      <c r="I13" t="s">
        <v>114</v>
      </c>
      <c r="J13" s="2">
        <f t="shared" si="2"/>
        <v>0</v>
      </c>
      <c r="K13" s="2">
        <f t="shared" si="3"/>
        <v>-2</v>
      </c>
      <c r="L13" s="1">
        <f>0+0</f>
        <v>0</v>
      </c>
      <c r="M13" s="1">
        <f>0+-2</f>
        <v>-2</v>
      </c>
      <c r="N13" s="1">
        <f t="shared" si="4"/>
        <v>1</v>
      </c>
      <c r="W13" s="1">
        <v>13</v>
      </c>
      <c r="X13" s="13" t="s">
        <v>29</v>
      </c>
      <c r="Y13" t="s">
        <v>45</v>
      </c>
    </row>
    <row r="14" spans="1:35">
      <c r="A14" s="3" t="s">
        <v>30</v>
      </c>
      <c r="C14"/>
      <c r="D14"/>
      <c r="E14"/>
      <c r="F14"/>
      <c r="W14" s="1">
        <v>14</v>
      </c>
      <c r="X14" s="13" t="s">
        <v>56</v>
      </c>
      <c r="Y14" t="s">
        <v>42</v>
      </c>
    </row>
    <row r="15" spans="1:35">
      <c r="A15" t="s">
        <v>31</v>
      </c>
      <c r="C15"/>
      <c r="D15"/>
      <c r="E15"/>
      <c r="F15"/>
      <c r="H15" s="8" t="s">
        <v>107</v>
      </c>
      <c r="W15" s="1">
        <v>15</v>
      </c>
      <c r="X15" s="13" t="s">
        <v>57</v>
      </c>
      <c r="Y15" t="s">
        <v>43</v>
      </c>
    </row>
    <row r="16" spans="1:35">
      <c r="A16" t="s">
        <v>23</v>
      </c>
      <c r="C16"/>
      <c r="D16"/>
      <c r="E16"/>
      <c r="F16"/>
      <c r="W16" s="1">
        <v>16</v>
      </c>
      <c r="X16" s="13" t="s">
        <v>58</v>
      </c>
      <c r="Y16" t="s">
        <v>44</v>
      </c>
    </row>
    <row r="17" spans="1:25">
      <c r="A17" t="s">
        <v>32</v>
      </c>
      <c r="H17" s="8" t="s">
        <v>107</v>
      </c>
      <c r="W17" s="1">
        <v>17</v>
      </c>
      <c r="X17" s="13" t="s">
        <v>59</v>
      </c>
      <c r="Y17" t="s">
        <v>46</v>
      </c>
    </row>
    <row r="18" spans="1:25">
      <c r="A18" t="s">
        <v>33</v>
      </c>
      <c r="C18"/>
      <c r="D18"/>
      <c r="E18"/>
      <c r="F18"/>
      <c r="W18" s="1">
        <v>18</v>
      </c>
      <c r="X18" s="13" t="s">
        <v>60</v>
      </c>
      <c r="Y18" t="s">
        <v>47</v>
      </c>
    </row>
    <row r="19" spans="1:25">
      <c r="A19" t="s">
        <v>34</v>
      </c>
      <c r="H19" s="8" t="s">
        <v>107</v>
      </c>
      <c r="W19" s="1">
        <v>19</v>
      </c>
      <c r="X19" s="13" t="s">
        <v>26</v>
      </c>
      <c r="Y19" t="s">
        <v>48</v>
      </c>
    </row>
    <row r="20" spans="1:25">
      <c r="A20" t="s">
        <v>19</v>
      </c>
      <c r="W20" s="1">
        <v>20</v>
      </c>
      <c r="X20" s="13" t="s">
        <v>61</v>
      </c>
      <c r="Y20" t="s">
        <v>49</v>
      </c>
    </row>
    <row r="21" spans="1:25">
      <c r="B21" t="s">
        <v>20</v>
      </c>
      <c r="W21" s="1">
        <v>21</v>
      </c>
      <c r="X21" s="13" t="s">
        <v>62</v>
      </c>
      <c r="Y21" t="s">
        <v>50</v>
      </c>
    </row>
    <row r="22" spans="1:25">
      <c r="B22" t="s">
        <v>88</v>
      </c>
      <c r="W22" s="1">
        <v>22</v>
      </c>
      <c r="X22" s="13" t="s">
        <v>63</v>
      </c>
      <c r="Y22" t="s">
        <v>51</v>
      </c>
    </row>
    <row r="23" spans="1:25">
      <c r="A23" t="s">
        <v>16</v>
      </c>
      <c r="C23"/>
      <c r="D23"/>
      <c r="E23"/>
      <c r="F23"/>
      <c r="W23" s="1">
        <v>23</v>
      </c>
      <c r="X23" s="13" t="s">
        <v>28</v>
      </c>
      <c r="Y23" t="s">
        <v>52</v>
      </c>
    </row>
    <row r="24" spans="1:25">
      <c r="A24" t="s">
        <v>17</v>
      </c>
      <c r="B24" s="2" t="e">
        <f t="shared" ref="B24" si="5">(D24/F24)*IF(F24&gt;5,1,IF(F24=5,0.9,IF(F24=4,0.8,0.7)))</f>
        <v>#DIV/0!</v>
      </c>
      <c r="C24" s="2" t="e">
        <f t="shared" ref="C24" si="6">E24/F24</f>
        <v>#DIV/0!</v>
      </c>
      <c r="D24" s="1">
        <f>0</f>
        <v>0</v>
      </c>
      <c r="E24" s="1">
        <f>0</f>
        <v>0</v>
      </c>
      <c r="F24" s="1">
        <f>0</f>
        <v>0</v>
      </c>
      <c r="W24" s="1">
        <v>24</v>
      </c>
      <c r="X24" s="13" t="s">
        <v>64</v>
      </c>
      <c r="Y24" t="s">
        <v>53</v>
      </c>
    </row>
    <row r="25" spans="1:25">
      <c r="A25" t="s">
        <v>18</v>
      </c>
      <c r="B25" t="s">
        <v>22</v>
      </c>
      <c r="H25" s="8" t="s">
        <v>107</v>
      </c>
      <c r="W25" s="1">
        <v>25</v>
      </c>
      <c r="X25" s="13" t="s">
        <v>65</v>
      </c>
      <c r="Y25" t="s">
        <v>68</v>
      </c>
    </row>
    <row r="26" spans="1:25">
      <c r="A26" t="s">
        <v>14</v>
      </c>
      <c r="W26" s="1">
        <v>26</v>
      </c>
      <c r="X26" s="13" t="s">
        <v>66</v>
      </c>
      <c r="Y26" t="s">
        <v>69</v>
      </c>
    </row>
    <row r="27" spans="1:25">
      <c r="A27" t="s">
        <v>21</v>
      </c>
      <c r="W27" s="1">
        <v>27</v>
      </c>
      <c r="X27" s="13" t="s">
        <v>67</v>
      </c>
      <c r="Y27" t="s">
        <v>70</v>
      </c>
    </row>
    <row r="28" spans="1:25">
      <c r="W28" s="1">
        <v>28</v>
      </c>
    </row>
    <row r="29" spans="1:25">
      <c r="W29" s="1">
        <v>29</v>
      </c>
    </row>
    <row r="30" spans="1:25">
      <c r="W30" s="1">
        <v>30</v>
      </c>
    </row>
    <row r="31" spans="1:25">
      <c r="W31" s="1">
        <v>31</v>
      </c>
    </row>
    <row r="32" spans="1:25">
      <c r="W32" s="1">
        <v>32</v>
      </c>
    </row>
    <row r="33" spans="23:23">
      <c r="W33" s="1">
        <v>33</v>
      </c>
    </row>
    <row r="34" spans="23:23">
      <c r="W34" s="1">
        <v>34</v>
      </c>
    </row>
    <row r="35" spans="23:23">
      <c r="W35" s="1">
        <v>35</v>
      </c>
    </row>
    <row r="36" spans="23:23">
      <c r="W36" s="1">
        <v>36</v>
      </c>
    </row>
    <row r="37" spans="23:23">
      <c r="W37" s="1">
        <v>37</v>
      </c>
    </row>
    <row r="38" spans="23:23">
      <c r="W38" s="1">
        <v>38</v>
      </c>
    </row>
    <row r="39" spans="23:23">
      <c r="W39" s="1">
        <v>39</v>
      </c>
    </row>
    <row r="40" spans="23:23">
      <c r="W40" s="1">
        <v>40</v>
      </c>
    </row>
    <row r="41" spans="23:23">
      <c r="W41" s="1">
        <v>41</v>
      </c>
    </row>
    <row r="42" spans="23:23">
      <c r="W42" s="1">
        <v>42</v>
      </c>
    </row>
    <row r="43" spans="23:23">
      <c r="W43" s="1">
        <v>43</v>
      </c>
    </row>
    <row r="44" spans="23:23">
      <c r="W44" s="1">
        <v>44</v>
      </c>
    </row>
    <row r="45" spans="23:23">
      <c r="W45" s="1">
        <v>45</v>
      </c>
    </row>
    <row r="46" spans="23:23">
      <c r="W46" s="1">
        <v>46</v>
      </c>
    </row>
    <row r="47" spans="23:23">
      <c r="W47" s="1">
        <v>47</v>
      </c>
    </row>
    <row r="48" spans="23:23">
      <c r="W48" s="1">
        <v>48</v>
      </c>
    </row>
    <row r="49" spans="23:23">
      <c r="W49" s="1">
        <v>49</v>
      </c>
    </row>
    <row r="50" spans="23:23">
      <c r="W50" s="1">
        <v>50</v>
      </c>
    </row>
    <row r="51" spans="23:23">
      <c r="W51" s="1">
        <v>51</v>
      </c>
    </row>
    <row r="52" spans="23:23">
      <c r="W52" s="1">
        <v>52</v>
      </c>
    </row>
    <row r="53" spans="23:23">
      <c r="W53" s="1">
        <v>53</v>
      </c>
    </row>
    <row r="54" spans="23:23">
      <c r="W54" s="1">
        <v>54</v>
      </c>
    </row>
    <row r="55" spans="23:23">
      <c r="W55" s="1">
        <v>55</v>
      </c>
    </row>
    <row r="56" spans="23:23">
      <c r="W56" s="1">
        <v>56</v>
      </c>
    </row>
    <row r="57" spans="23:23">
      <c r="W57" s="1">
        <v>57</v>
      </c>
    </row>
    <row r="58" spans="23:23">
      <c r="W58" s="1">
        <v>58</v>
      </c>
    </row>
    <row r="59" spans="23:23">
      <c r="W59" s="1">
        <v>59</v>
      </c>
    </row>
    <row r="60" spans="23:23">
      <c r="W60" s="1">
        <v>60</v>
      </c>
    </row>
    <row r="61" spans="23:23">
      <c r="W61" s="1">
        <v>61</v>
      </c>
    </row>
    <row r="62" spans="23:23">
      <c r="W62" s="1">
        <v>62</v>
      </c>
    </row>
    <row r="63" spans="23:23">
      <c r="W63" s="1">
        <v>63</v>
      </c>
    </row>
    <row r="64" spans="23:23">
      <c r="W64" s="1">
        <v>64</v>
      </c>
    </row>
    <row r="65" spans="23:23">
      <c r="W65" s="1">
        <v>65</v>
      </c>
    </row>
    <row r="66" spans="23:23">
      <c r="W66" s="1">
        <v>66</v>
      </c>
    </row>
    <row r="67" spans="23:23">
      <c r="W67" s="1">
        <v>67</v>
      </c>
    </row>
    <row r="68" spans="23:23">
      <c r="W68" s="1">
        <v>68</v>
      </c>
    </row>
    <row r="69" spans="23:23">
      <c r="W69" s="1">
        <v>69</v>
      </c>
    </row>
    <row r="70" spans="23:23">
      <c r="W70" s="1">
        <v>70</v>
      </c>
    </row>
    <row r="71" spans="23:23">
      <c r="W71" s="1">
        <v>71</v>
      </c>
    </row>
    <row r="72" spans="23:23">
      <c r="W72" s="1">
        <v>72</v>
      </c>
    </row>
    <row r="73" spans="23:23">
      <c r="W73" s="1">
        <v>73</v>
      </c>
    </row>
    <row r="74" spans="23:23">
      <c r="W74" s="1">
        <v>74</v>
      </c>
    </row>
    <row r="75" spans="23:23">
      <c r="W75" s="1">
        <v>75</v>
      </c>
    </row>
    <row r="76" spans="23:23">
      <c r="W76" s="1">
        <v>76</v>
      </c>
    </row>
    <row r="77" spans="23:23">
      <c r="W77" s="1">
        <v>77</v>
      </c>
    </row>
    <row r="78" spans="23:23">
      <c r="W78" s="1">
        <v>78</v>
      </c>
    </row>
    <row r="79" spans="23:23">
      <c r="W79" s="1">
        <v>79</v>
      </c>
    </row>
    <row r="80" spans="23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sortState ref="I1:N99">
    <sortCondition descending="1" ref="J1:J99"/>
    <sortCondition descending="1" ref="K1:K99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99"/>
  <sheetViews>
    <sheetView zoomScale="73" zoomScaleNormal="73" workbookViewId="0">
      <selection activeCell="W14" sqref="W14"/>
    </sheetView>
  </sheetViews>
  <sheetFormatPr defaultRowHeight="15"/>
  <cols>
    <col min="1" max="2" width="14.28515625" customWidth="1"/>
    <col min="3" max="6" width="5.7109375" style="1" customWidth="1"/>
    <col min="7" max="7" width="7" customWidth="1"/>
    <col min="8" max="8" width="2" style="8" customWidth="1"/>
    <col min="9" max="9" width="14.28515625" customWidth="1"/>
    <col min="10" max="11" width="7.42578125" style="2" customWidth="1"/>
    <col min="12" max="14" width="6.7109375" style="1" customWidth="1"/>
    <col min="15" max="15" width="2" style="9" customWidth="1"/>
    <col min="16" max="16" width="14.140625" customWidth="1"/>
    <col min="17" max="18" width="7.42578125" style="2" customWidth="1"/>
    <col min="19" max="21" width="6.7109375" style="1" customWidth="1"/>
    <col min="22" max="22" width="6.5703125" customWidth="1"/>
    <col min="23" max="23" width="6.140625" customWidth="1"/>
    <col min="24" max="24" width="5" customWidth="1"/>
    <col min="25" max="25" width="10.42578125" customWidth="1"/>
    <col min="26" max="26" width="2.140625" style="8" customWidth="1"/>
    <col min="27" max="28" width="6.5703125" style="1" customWidth="1"/>
    <col min="29" max="29" width="2.140625" style="8" customWidth="1"/>
    <col min="30" max="31" width="6.42578125" style="1" customWidth="1"/>
    <col min="32" max="32" width="2.140625" style="8" customWidth="1"/>
    <col min="33" max="33" width="6.42578125" style="1" customWidth="1"/>
    <col min="34" max="34" width="2.140625" style="8" customWidth="1"/>
    <col min="35" max="35" width="9.7109375" customWidth="1"/>
  </cols>
  <sheetData>
    <row r="1" spans="1:35">
      <c r="A1" s="4" t="s">
        <v>95</v>
      </c>
      <c r="B1" s="4" t="s">
        <v>114</v>
      </c>
      <c r="C1" s="5">
        <v>5</v>
      </c>
      <c r="D1" s="5">
        <v>0</v>
      </c>
      <c r="E1" s="1">
        <f t="shared" ref="E1:E8" si="0">C1-D1</f>
        <v>5</v>
      </c>
      <c r="F1" s="1">
        <f t="shared" ref="F1:F8" si="1">D1-C1</f>
        <v>-5</v>
      </c>
      <c r="G1" s="10"/>
      <c r="H1" s="17"/>
      <c r="I1" t="s">
        <v>85</v>
      </c>
      <c r="J1" s="2">
        <f t="shared" ref="J1:J14" si="2">(L1/N1)*IF(N1&gt;5,1,IF(N1=5,0.9,IF(N1=4,0.8,0.7)))</f>
        <v>1.1666666666666667</v>
      </c>
      <c r="K1" s="2">
        <f t="shared" ref="K1:K14" si="3">M1/N1</f>
        <v>0.66666666666666663</v>
      </c>
      <c r="L1" s="1">
        <f>0+1+3+1</f>
        <v>5</v>
      </c>
      <c r="M1" s="1">
        <f>0+0+2+0</f>
        <v>2</v>
      </c>
      <c r="N1" s="1">
        <f>0+1+1+1</f>
        <v>3</v>
      </c>
      <c r="W1" s="1">
        <v>1</v>
      </c>
      <c r="X1" s="12" t="s">
        <v>127</v>
      </c>
      <c r="Y1" s="4" t="s">
        <v>41</v>
      </c>
      <c r="AA1" s="18" t="s">
        <v>128</v>
      </c>
      <c r="AB1" s="18" t="s">
        <v>130</v>
      </c>
      <c r="AD1" s="18"/>
      <c r="AE1" s="18"/>
      <c r="AI1" s="12"/>
    </row>
    <row r="2" spans="1:35">
      <c r="A2" s="4" t="s">
        <v>123</v>
      </c>
      <c r="B2" s="4" t="s">
        <v>85</v>
      </c>
      <c r="C2" s="5">
        <v>1</v>
      </c>
      <c r="D2" s="5">
        <v>1</v>
      </c>
      <c r="E2" s="1">
        <f t="shared" si="0"/>
        <v>0</v>
      </c>
      <c r="F2" s="1">
        <f t="shared" si="1"/>
        <v>0</v>
      </c>
      <c r="G2" s="10"/>
      <c r="H2" s="17"/>
      <c r="I2" t="s">
        <v>90</v>
      </c>
      <c r="J2" s="2">
        <f t="shared" si="2"/>
        <v>1.4</v>
      </c>
      <c r="K2" s="2">
        <f t="shared" si="3"/>
        <v>1</v>
      </c>
      <c r="L2" s="1">
        <f>0+1+3</f>
        <v>4</v>
      </c>
      <c r="M2" s="1">
        <f>0+0+2</f>
        <v>2</v>
      </c>
      <c r="N2" s="1">
        <f t="shared" ref="N2:N7" si="4">0+1+1</f>
        <v>2</v>
      </c>
      <c r="W2" s="1">
        <v>2</v>
      </c>
      <c r="X2" s="12" t="s">
        <v>127</v>
      </c>
      <c r="Y2" s="4" t="s">
        <v>41</v>
      </c>
      <c r="AA2" s="18" t="s">
        <v>110</v>
      </c>
      <c r="AB2" s="18" t="s">
        <v>119</v>
      </c>
      <c r="AD2" s="18"/>
      <c r="AE2" s="18"/>
      <c r="AI2" s="12"/>
    </row>
    <row r="3" spans="1:35">
      <c r="A3" s="4"/>
      <c r="B3" s="4"/>
      <c r="C3" s="5"/>
      <c r="D3" s="5"/>
      <c r="E3" s="1">
        <f t="shared" si="0"/>
        <v>0</v>
      </c>
      <c r="F3" s="1">
        <f t="shared" si="1"/>
        <v>0</v>
      </c>
      <c r="G3" s="10"/>
      <c r="H3" s="17"/>
      <c r="I3" t="s">
        <v>95</v>
      </c>
      <c r="J3" s="2">
        <f t="shared" si="2"/>
        <v>1.0499999999999998</v>
      </c>
      <c r="K3" s="2">
        <f t="shared" si="3"/>
        <v>2</v>
      </c>
      <c r="L3" s="1">
        <f>0+0+3</f>
        <v>3</v>
      </c>
      <c r="M3" s="1">
        <f>0+-1+5</f>
        <v>4</v>
      </c>
      <c r="N3" s="1">
        <f t="shared" si="4"/>
        <v>2</v>
      </c>
      <c r="W3" s="1">
        <v>3</v>
      </c>
      <c r="X3" s="12"/>
      <c r="Y3" s="4"/>
      <c r="AA3" s="18"/>
      <c r="AB3" s="18"/>
      <c r="AD3" s="18"/>
      <c r="AE3" s="18"/>
      <c r="AI3" s="12" t="s">
        <v>122</v>
      </c>
    </row>
    <row r="4" spans="1:35">
      <c r="A4" s="4" t="s">
        <v>124</v>
      </c>
      <c r="B4" s="4" t="s">
        <v>125</v>
      </c>
      <c r="C4" s="5"/>
      <c r="D4" s="5"/>
      <c r="E4" s="1">
        <f t="shared" si="0"/>
        <v>0</v>
      </c>
      <c r="F4" s="1">
        <f t="shared" si="1"/>
        <v>0</v>
      </c>
      <c r="G4" s="10">
        <v>0.72916666666666663</v>
      </c>
      <c r="H4" s="17"/>
      <c r="I4" s="3" t="s">
        <v>132</v>
      </c>
      <c r="J4" s="2">
        <f t="shared" si="2"/>
        <v>1.0499999999999998</v>
      </c>
      <c r="K4" s="2">
        <f t="shared" si="3"/>
        <v>0</v>
      </c>
      <c r="L4" s="1">
        <f>0+3+0</f>
        <v>3</v>
      </c>
      <c r="M4" s="1">
        <f>0+1+-1</f>
        <v>0</v>
      </c>
      <c r="N4" s="1">
        <f t="shared" si="4"/>
        <v>2</v>
      </c>
      <c r="W4" s="1">
        <v>4</v>
      </c>
      <c r="X4" s="12" t="s">
        <v>127</v>
      </c>
      <c r="Y4" s="4" t="s">
        <v>73</v>
      </c>
      <c r="AA4" s="18" t="s">
        <v>129</v>
      </c>
      <c r="AB4" s="18" t="s">
        <v>113</v>
      </c>
      <c r="AD4" s="18"/>
      <c r="AE4" s="18"/>
      <c r="AI4" s="12"/>
    </row>
    <row r="5" spans="1:35">
      <c r="A5" s="4" t="s">
        <v>126</v>
      </c>
      <c r="B5" s="4" t="s">
        <v>86</v>
      </c>
      <c r="C5" s="5"/>
      <c r="D5" s="5"/>
      <c r="E5" s="1">
        <f t="shared" si="0"/>
        <v>0</v>
      </c>
      <c r="F5" s="1">
        <f t="shared" si="1"/>
        <v>0</v>
      </c>
      <c r="G5" s="10">
        <v>0.91666666666666663</v>
      </c>
      <c r="H5" s="17"/>
      <c r="I5" t="s">
        <v>91</v>
      </c>
      <c r="J5" s="2">
        <f t="shared" si="2"/>
        <v>1.0499999999999998</v>
      </c>
      <c r="K5" s="2">
        <f t="shared" si="3"/>
        <v>0</v>
      </c>
      <c r="L5" s="1">
        <f>0+0+3</f>
        <v>3</v>
      </c>
      <c r="M5" s="1">
        <f>0+-1+1</f>
        <v>0</v>
      </c>
      <c r="N5" s="1">
        <f t="shared" si="4"/>
        <v>2</v>
      </c>
      <c r="W5" s="1">
        <v>5</v>
      </c>
      <c r="X5" s="12" t="s">
        <v>127</v>
      </c>
      <c r="Y5" s="4" t="s">
        <v>98</v>
      </c>
      <c r="AA5" s="18" t="s">
        <v>128</v>
      </c>
      <c r="AB5" s="18" t="s">
        <v>131</v>
      </c>
      <c r="AD5" s="18"/>
      <c r="AE5" s="18"/>
      <c r="AI5" s="12"/>
    </row>
    <row r="6" spans="1:35">
      <c r="A6" s="4"/>
      <c r="B6" s="4"/>
      <c r="C6" s="5"/>
      <c r="D6" s="5"/>
      <c r="E6" s="1">
        <f t="shared" si="0"/>
        <v>0</v>
      </c>
      <c r="F6" s="1">
        <f t="shared" si="1"/>
        <v>0</v>
      </c>
      <c r="G6" s="10"/>
      <c r="H6" s="17"/>
      <c r="I6" t="s">
        <v>86</v>
      </c>
      <c r="J6" s="2">
        <f t="shared" si="2"/>
        <v>0.7</v>
      </c>
      <c r="K6" s="2">
        <f t="shared" si="3"/>
        <v>0</v>
      </c>
      <c r="L6" s="1">
        <f>0+1+1</f>
        <v>2</v>
      </c>
      <c r="M6" s="1">
        <f>0+0+0</f>
        <v>0</v>
      </c>
      <c r="N6" s="1">
        <f t="shared" si="4"/>
        <v>2</v>
      </c>
      <c r="W6" s="1">
        <v>6</v>
      </c>
      <c r="X6" s="12"/>
      <c r="Y6" s="4"/>
      <c r="AA6" s="18"/>
      <c r="AB6" s="18"/>
      <c r="AD6" s="18"/>
      <c r="AE6" s="18"/>
      <c r="AI6" s="12"/>
    </row>
    <row r="7" spans="1:35">
      <c r="A7" s="4"/>
      <c r="B7" s="4"/>
      <c r="C7" s="5"/>
      <c r="D7" s="5"/>
      <c r="E7" s="1">
        <f t="shared" si="0"/>
        <v>0</v>
      </c>
      <c r="F7" s="1">
        <f t="shared" si="1"/>
        <v>0</v>
      </c>
      <c r="G7" s="10"/>
      <c r="H7" s="17"/>
      <c r="I7" t="s">
        <v>114</v>
      </c>
      <c r="J7" s="2">
        <f t="shared" si="2"/>
        <v>0</v>
      </c>
      <c r="K7" s="2">
        <f t="shared" si="3"/>
        <v>-3.5</v>
      </c>
      <c r="L7" s="1">
        <f>0+0+0</f>
        <v>0</v>
      </c>
      <c r="M7" s="1">
        <f>0+-2+-5</f>
        <v>-7</v>
      </c>
      <c r="N7" s="1">
        <f t="shared" si="4"/>
        <v>2</v>
      </c>
      <c r="W7" s="1">
        <v>7</v>
      </c>
      <c r="X7" s="12"/>
      <c r="Y7" s="4"/>
      <c r="AA7" s="18"/>
      <c r="AB7" s="18"/>
      <c r="AD7" s="18"/>
      <c r="AE7" s="18"/>
      <c r="AI7" s="12"/>
    </row>
    <row r="8" spans="1:35">
      <c r="A8" s="4"/>
      <c r="B8" s="4"/>
      <c r="C8" s="5"/>
      <c r="D8" s="5"/>
      <c r="E8" s="1">
        <f t="shared" si="0"/>
        <v>0</v>
      </c>
      <c r="F8" s="1">
        <f t="shared" si="1"/>
        <v>0</v>
      </c>
      <c r="G8" s="10"/>
      <c r="H8" s="17"/>
      <c r="I8" t="s">
        <v>83</v>
      </c>
      <c r="J8" s="2">
        <f t="shared" si="2"/>
        <v>2.0999999999999996</v>
      </c>
      <c r="K8" s="2">
        <f t="shared" si="3"/>
        <v>1</v>
      </c>
      <c r="L8" s="1">
        <f>0+3</f>
        <v>3</v>
      </c>
      <c r="M8" s="1">
        <f>0+1</f>
        <v>1</v>
      </c>
      <c r="N8" s="1">
        <f>0+1</f>
        <v>1</v>
      </c>
      <c r="W8" s="1">
        <v>8</v>
      </c>
      <c r="X8" s="12"/>
      <c r="Y8" s="4"/>
      <c r="AA8" s="18"/>
      <c r="AB8" s="18"/>
      <c r="AD8" s="18"/>
      <c r="AE8" s="18"/>
      <c r="AI8" s="12"/>
    </row>
    <row r="9" spans="1:35">
      <c r="A9" t="s">
        <v>6</v>
      </c>
      <c r="C9"/>
      <c r="D9"/>
      <c r="E9"/>
      <c r="F9"/>
      <c r="G9" s="15"/>
      <c r="H9" s="7"/>
      <c r="I9" t="s">
        <v>94</v>
      </c>
      <c r="J9" s="2">
        <f t="shared" si="2"/>
        <v>2.0999999999999996</v>
      </c>
      <c r="K9" s="2">
        <f t="shared" si="3"/>
        <v>1</v>
      </c>
      <c r="L9" s="1">
        <f>0+3</f>
        <v>3</v>
      </c>
      <c r="M9" s="1">
        <f>0+1</f>
        <v>1</v>
      </c>
      <c r="N9" s="1">
        <f>0+1</f>
        <v>1</v>
      </c>
      <c r="W9" s="1">
        <v>9</v>
      </c>
      <c r="X9" t="s">
        <v>24</v>
      </c>
      <c r="Y9" t="s">
        <v>37</v>
      </c>
      <c r="AA9" s="3" t="s">
        <v>74</v>
      </c>
      <c r="AB9" s="3" t="s">
        <v>76</v>
      </c>
      <c r="AD9" s="3"/>
      <c r="AE9" s="3"/>
      <c r="AG9" s="3"/>
      <c r="AI9" s="16" t="s">
        <v>121</v>
      </c>
    </row>
    <row r="10" spans="1:35">
      <c r="A10" t="s">
        <v>12</v>
      </c>
      <c r="B10" t="s">
        <v>13</v>
      </c>
      <c r="C10" t="s">
        <v>8</v>
      </c>
      <c r="D10" t="s">
        <v>9</v>
      </c>
      <c r="E10" t="s">
        <v>10</v>
      </c>
      <c r="F10" t="s">
        <v>11</v>
      </c>
      <c r="G10" t="s">
        <v>101</v>
      </c>
      <c r="I10" t="s">
        <v>89</v>
      </c>
      <c r="J10" s="2">
        <f t="shared" si="2"/>
        <v>0.7</v>
      </c>
      <c r="K10" s="2">
        <f t="shared" si="3"/>
        <v>0</v>
      </c>
      <c r="L10" s="1">
        <f>0+1</f>
        <v>1</v>
      </c>
      <c r="M10" s="1">
        <f>0+0</f>
        <v>0</v>
      </c>
      <c r="N10" s="1">
        <f>0+1</f>
        <v>1</v>
      </c>
      <c r="W10" s="1">
        <v>10</v>
      </c>
      <c r="X10" s="13" t="s">
        <v>54</v>
      </c>
      <c r="Y10" t="s">
        <v>38</v>
      </c>
    </row>
    <row r="11" spans="1:35">
      <c r="A11" t="s">
        <v>7</v>
      </c>
      <c r="C11"/>
      <c r="D11"/>
      <c r="E11"/>
      <c r="F11"/>
      <c r="I11" t="s">
        <v>96</v>
      </c>
      <c r="J11" s="2">
        <f t="shared" si="2"/>
        <v>0.7</v>
      </c>
      <c r="K11" s="2">
        <f t="shared" si="3"/>
        <v>0</v>
      </c>
      <c r="L11" s="1">
        <f>0+1</f>
        <v>1</v>
      </c>
      <c r="M11" s="1">
        <f>0+0</f>
        <v>0</v>
      </c>
      <c r="N11" s="1">
        <f>0+1</f>
        <v>1</v>
      </c>
      <c r="W11" s="1">
        <v>11</v>
      </c>
      <c r="X11" s="13" t="s">
        <v>55</v>
      </c>
      <c r="Y11" t="s">
        <v>39</v>
      </c>
    </row>
    <row r="12" spans="1:35">
      <c r="A12" t="s">
        <v>0</v>
      </c>
      <c r="B12" s="2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36</v>
      </c>
      <c r="I12" t="s">
        <v>123</v>
      </c>
      <c r="J12" s="2">
        <f t="shared" si="2"/>
        <v>0.7</v>
      </c>
      <c r="K12" s="2">
        <f t="shared" si="3"/>
        <v>0</v>
      </c>
      <c r="L12" s="1">
        <f>0+1</f>
        <v>1</v>
      </c>
      <c r="M12" s="1">
        <f>0+0</f>
        <v>0</v>
      </c>
      <c r="N12" s="1">
        <f>0+1</f>
        <v>1</v>
      </c>
      <c r="W12" s="1">
        <v>12</v>
      </c>
      <c r="X12" s="13" t="s">
        <v>25</v>
      </c>
      <c r="Y12" t="s">
        <v>40</v>
      </c>
    </row>
    <row r="13" spans="1:35">
      <c r="A13" t="s">
        <v>15</v>
      </c>
      <c r="C13"/>
      <c r="D13"/>
      <c r="E13"/>
      <c r="F13"/>
      <c r="I13" t="s">
        <v>84</v>
      </c>
      <c r="J13" s="2">
        <f t="shared" si="2"/>
        <v>0</v>
      </c>
      <c r="K13" s="2">
        <f t="shared" si="3"/>
        <v>-1</v>
      </c>
      <c r="L13" s="1">
        <f>0+0</f>
        <v>0</v>
      </c>
      <c r="M13" s="1">
        <f>0-1</f>
        <v>-1</v>
      </c>
      <c r="N13" s="1">
        <f>0+1</f>
        <v>1</v>
      </c>
      <c r="W13" s="1">
        <v>13</v>
      </c>
      <c r="X13" s="13" t="s">
        <v>29</v>
      </c>
      <c r="Y13" t="s">
        <v>45</v>
      </c>
    </row>
    <row r="14" spans="1:35">
      <c r="A14" s="3" t="s">
        <v>30</v>
      </c>
      <c r="C14"/>
      <c r="D14"/>
      <c r="E14"/>
      <c r="F14"/>
      <c r="I14" t="s">
        <v>93</v>
      </c>
      <c r="J14" s="2">
        <f t="shared" si="2"/>
        <v>0</v>
      </c>
      <c r="K14" s="2">
        <f t="shared" si="3"/>
        <v>-2</v>
      </c>
      <c r="L14" s="1">
        <f>0+0</f>
        <v>0</v>
      </c>
      <c r="M14" s="1">
        <f>0+-2</f>
        <v>-2</v>
      </c>
      <c r="N14" s="1">
        <f>0+1</f>
        <v>1</v>
      </c>
      <c r="W14" s="1">
        <v>14</v>
      </c>
      <c r="X14" s="13" t="s">
        <v>56</v>
      </c>
      <c r="Y14" t="s">
        <v>42</v>
      </c>
    </row>
    <row r="15" spans="1:35">
      <c r="A15" t="s">
        <v>133</v>
      </c>
      <c r="C15"/>
      <c r="D15"/>
      <c r="E15"/>
      <c r="F15"/>
      <c r="W15" s="1">
        <v>15</v>
      </c>
      <c r="X15" s="13" t="s">
        <v>57</v>
      </c>
      <c r="Y15" t="s">
        <v>43</v>
      </c>
    </row>
    <row r="16" spans="1:35">
      <c r="A16" t="s">
        <v>23</v>
      </c>
      <c r="C16"/>
      <c r="D16"/>
      <c r="E16"/>
      <c r="F16"/>
      <c r="W16" s="1">
        <v>16</v>
      </c>
      <c r="X16" s="13" t="s">
        <v>58</v>
      </c>
      <c r="Y16" t="s">
        <v>44</v>
      </c>
    </row>
    <row r="17" spans="1:25">
      <c r="A17" t="s">
        <v>134</v>
      </c>
      <c r="W17" s="1">
        <v>17</v>
      </c>
      <c r="X17" s="13" t="s">
        <v>59</v>
      </c>
      <c r="Y17" t="s">
        <v>46</v>
      </c>
    </row>
    <row r="18" spans="1:25">
      <c r="A18" t="s">
        <v>33</v>
      </c>
      <c r="C18"/>
      <c r="D18"/>
      <c r="E18"/>
      <c r="F18"/>
      <c r="W18" s="1">
        <v>18</v>
      </c>
      <c r="X18" s="13" t="s">
        <v>60</v>
      </c>
      <c r="Y18" t="s">
        <v>47</v>
      </c>
    </row>
    <row r="19" spans="1:25">
      <c r="A19" t="s">
        <v>135</v>
      </c>
      <c r="W19" s="1">
        <v>19</v>
      </c>
      <c r="X19" s="13" t="s">
        <v>26</v>
      </c>
      <c r="Y19" t="s">
        <v>48</v>
      </c>
    </row>
    <row r="20" spans="1:25">
      <c r="A20" t="s">
        <v>19</v>
      </c>
      <c r="W20" s="1">
        <v>20</v>
      </c>
      <c r="X20" s="13" t="s">
        <v>61</v>
      </c>
      <c r="Y20" t="s">
        <v>49</v>
      </c>
    </row>
    <row r="21" spans="1:25">
      <c r="B21" t="s">
        <v>20</v>
      </c>
      <c r="W21" s="1">
        <v>21</v>
      </c>
      <c r="X21" s="13" t="s">
        <v>62</v>
      </c>
      <c r="Y21" t="s">
        <v>50</v>
      </c>
    </row>
    <row r="22" spans="1:25">
      <c r="B22" t="s">
        <v>88</v>
      </c>
      <c r="W22" s="1">
        <v>22</v>
      </c>
      <c r="X22" s="13" t="s">
        <v>63</v>
      </c>
      <c r="Y22" t="s">
        <v>51</v>
      </c>
    </row>
    <row r="23" spans="1:25">
      <c r="A23" t="s">
        <v>16</v>
      </c>
      <c r="C23"/>
      <c r="D23"/>
      <c r="E23"/>
      <c r="F23"/>
      <c r="W23" s="1">
        <v>23</v>
      </c>
      <c r="X23" s="13" t="s">
        <v>28</v>
      </c>
      <c r="Y23" t="s">
        <v>52</v>
      </c>
    </row>
    <row r="24" spans="1:25">
      <c r="A24" t="s">
        <v>17</v>
      </c>
      <c r="B24" s="2" t="e">
        <f t="shared" ref="B24" si="5">(D24/F24)*IF(F24&gt;5,1,IF(F24=5,0.9,IF(F24=4,0.8,0.7)))</f>
        <v>#DIV/0!</v>
      </c>
      <c r="C24" s="2" t="e">
        <f t="shared" ref="C24" si="6">E24/F24</f>
        <v>#DIV/0!</v>
      </c>
      <c r="D24" s="1">
        <f>0</f>
        <v>0</v>
      </c>
      <c r="E24" s="1">
        <f>0</f>
        <v>0</v>
      </c>
      <c r="F24" s="1">
        <f>0</f>
        <v>0</v>
      </c>
      <c r="W24" s="1">
        <v>24</v>
      </c>
      <c r="X24" s="13" t="s">
        <v>64</v>
      </c>
      <c r="Y24" t="s">
        <v>53</v>
      </c>
    </row>
    <row r="25" spans="1:25">
      <c r="A25" t="s">
        <v>18</v>
      </c>
      <c r="B25" t="s">
        <v>136</v>
      </c>
      <c r="W25" s="1">
        <v>25</v>
      </c>
      <c r="X25" s="13" t="s">
        <v>65</v>
      </c>
      <c r="Y25" t="s">
        <v>68</v>
      </c>
    </row>
    <row r="26" spans="1:25">
      <c r="A26" t="s">
        <v>14</v>
      </c>
      <c r="W26" s="1">
        <v>26</v>
      </c>
      <c r="X26" s="13" t="s">
        <v>66</v>
      </c>
      <c r="Y26" t="s">
        <v>69</v>
      </c>
    </row>
    <row r="27" spans="1:25">
      <c r="A27" t="s">
        <v>21</v>
      </c>
      <c r="W27" s="1">
        <v>27</v>
      </c>
      <c r="X27" s="13" t="s">
        <v>67</v>
      </c>
      <c r="Y27" t="s">
        <v>70</v>
      </c>
    </row>
    <row r="28" spans="1:25">
      <c r="W28" s="1">
        <v>28</v>
      </c>
    </row>
    <row r="29" spans="1:25">
      <c r="W29" s="1">
        <v>29</v>
      </c>
    </row>
    <row r="30" spans="1:25">
      <c r="W30" s="1">
        <v>30</v>
      </c>
    </row>
    <row r="31" spans="1:25">
      <c r="W31" s="1">
        <v>31</v>
      </c>
    </row>
    <row r="32" spans="1:25">
      <c r="W32" s="1">
        <v>32</v>
      </c>
    </row>
    <row r="33" spans="23:23">
      <c r="W33" s="1">
        <v>33</v>
      </c>
    </row>
    <row r="34" spans="23:23">
      <c r="W34" s="1">
        <v>34</v>
      </c>
    </row>
    <row r="35" spans="23:23">
      <c r="W35" s="1">
        <v>35</v>
      </c>
    </row>
    <row r="36" spans="23:23">
      <c r="W36" s="1">
        <v>36</v>
      </c>
    </row>
    <row r="37" spans="23:23">
      <c r="W37" s="1">
        <v>37</v>
      </c>
    </row>
    <row r="38" spans="23:23">
      <c r="W38" s="1">
        <v>38</v>
      </c>
    </row>
    <row r="39" spans="23:23">
      <c r="W39" s="1">
        <v>39</v>
      </c>
    </row>
    <row r="40" spans="23:23">
      <c r="W40" s="1">
        <v>40</v>
      </c>
    </row>
    <row r="41" spans="23:23">
      <c r="W41" s="1">
        <v>41</v>
      </c>
    </row>
    <row r="42" spans="23:23">
      <c r="W42" s="1">
        <v>42</v>
      </c>
    </row>
    <row r="43" spans="23:23">
      <c r="W43" s="1">
        <v>43</v>
      </c>
    </row>
    <row r="44" spans="23:23">
      <c r="W44" s="1">
        <v>44</v>
      </c>
    </row>
    <row r="45" spans="23:23">
      <c r="W45" s="1">
        <v>45</v>
      </c>
    </row>
    <row r="46" spans="23:23">
      <c r="W46" s="1">
        <v>46</v>
      </c>
    </row>
    <row r="47" spans="23:23">
      <c r="W47" s="1">
        <v>47</v>
      </c>
    </row>
    <row r="48" spans="23:23">
      <c r="W48" s="1">
        <v>48</v>
      </c>
    </row>
    <row r="49" spans="23:23">
      <c r="W49" s="1">
        <v>49</v>
      </c>
    </row>
    <row r="50" spans="23:23">
      <c r="W50" s="1">
        <v>50</v>
      </c>
    </row>
    <row r="51" spans="23:23">
      <c r="W51" s="1">
        <v>51</v>
      </c>
    </row>
    <row r="52" spans="23:23">
      <c r="W52" s="1">
        <v>52</v>
      </c>
    </row>
    <row r="53" spans="23:23">
      <c r="W53" s="1">
        <v>53</v>
      </c>
    </row>
    <row r="54" spans="23:23">
      <c r="W54" s="1">
        <v>54</v>
      </c>
    </row>
    <row r="55" spans="23:23">
      <c r="W55" s="1">
        <v>55</v>
      </c>
    </row>
    <row r="56" spans="23:23">
      <c r="W56" s="1">
        <v>56</v>
      </c>
    </row>
    <row r="57" spans="23:23">
      <c r="W57" s="1">
        <v>57</v>
      </c>
    </row>
    <row r="58" spans="23:23">
      <c r="W58" s="1">
        <v>58</v>
      </c>
    </row>
    <row r="59" spans="23:23">
      <c r="W59" s="1">
        <v>59</v>
      </c>
    </row>
    <row r="60" spans="23:23">
      <c r="W60" s="1">
        <v>60</v>
      </c>
    </row>
    <row r="61" spans="23:23">
      <c r="W61" s="1">
        <v>61</v>
      </c>
    </row>
    <row r="62" spans="23:23">
      <c r="W62" s="1">
        <v>62</v>
      </c>
    </row>
    <row r="63" spans="23:23">
      <c r="W63" s="1">
        <v>63</v>
      </c>
    </row>
    <row r="64" spans="23:23">
      <c r="W64" s="1">
        <v>64</v>
      </c>
    </row>
    <row r="65" spans="23:23">
      <c r="W65" s="1">
        <v>65</v>
      </c>
    </row>
    <row r="66" spans="23:23">
      <c r="W66" s="1">
        <v>66</v>
      </c>
    </row>
    <row r="67" spans="23:23">
      <c r="W67" s="1">
        <v>67</v>
      </c>
    </row>
    <row r="68" spans="23:23">
      <c r="W68" s="1">
        <v>68</v>
      </c>
    </row>
    <row r="69" spans="23:23">
      <c r="W69" s="1">
        <v>69</v>
      </c>
    </row>
    <row r="70" spans="23:23">
      <c r="W70" s="1">
        <v>70</v>
      </c>
    </row>
    <row r="71" spans="23:23">
      <c r="W71" s="1">
        <v>71</v>
      </c>
    </row>
    <row r="72" spans="23:23">
      <c r="W72" s="1">
        <v>72</v>
      </c>
    </row>
    <row r="73" spans="23:23">
      <c r="W73" s="1">
        <v>73</v>
      </c>
    </row>
    <row r="74" spans="23:23">
      <c r="W74" s="1">
        <v>74</v>
      </c>
    </row>
    <row r="75" spans="23:23">
      <c r="W75" s="1">
        <v>75</v>
      </c>
    </row>
    <row r="76" spans="23:23">
      <c r="W76" s="1">
        <v>76</v>
      </c>
    </row>
    <row r="77" spans="23:23">
      <c r="W77" s="1">
        <v>77</v>
      </c>
    </row>
    <row r="78" spans="23:23">
      <c r="W78" s="1">
        <v>78</v>
      </c>
    </row>
    <row r="79" spans="23:23">
      <c r="W79" s="1">
        <v>79</v>
      </c>
    </row>
    <row r="80" spans="23:23">
      <c r="W80" s="1">
        <v>80</v>
      </c>
    </row>
    <row r="81" spans="23:23">
      <c r="W81" s="1">
        <v>81</v>
      </c>
    </row>
    <row r="82" spans="23:23">
      <c r="W82" s="1">
        <v>82</v>
      </c>
    </row>
    <row r="83" spans="23:23">
      <c r="W83" s="1">
        <v>83</v>
      </c>
    </row>
    <row r="84" spans="23:23">
      <c r="W84" s="1">
        <v>84</v>
      </c>
    </row>
    <row r="85" spans="23:23">
      <c r="W85" s="1">
        <v>85</v>
      </c>
    </row>
    <row r="86" spans="23:23">
      <c r="W86" s="1">
        <v>86</v>
      </c>
    </row>
    <row r="87" spans="23:23">
      <c r="W87" s="1">
        <v>87</v>
      </c>
    </row>
    <row r="88" spans="23:23">
      <c r="W88" s="1">
        <v>88</v>
      </c>
    </row>
    <row r="89" spans="23:23">
      <c r="W89" s="1">
        <v>89</v>
      </c>
    </row>
    <row r="90" spans="23:23">
      <c r="W90" s="1">
        <v>90</v>
      </c>
    </row>
    <row r="91" spans="23:23">
      <c r="W91" s="1">
        <v>91</v>
      </c>
    </row>
    <row r="92" spans="23:23">
      <c r="W92" s="1">
        <v>92</v>
      </c>
    </row>
    <row r="93" spans="23:23">
      <c r="W93" s="1">
        <v>93</v>
      </c>
    </row>
    <row r="94" spans="23:23">
      <c r="W94" s="1">
        <v>94</v>
      </c>
    </row>
    <row r="95" spans="23:23">
      <c r="W95" s="1">
        <v>95</v>
      </c>
    </row>
    <row r="96" spans="23:23">
      <c r="W96" s="1">
        <v>96</v>
      </c>
    </row>
    <row r="97" spans="23:23">
      <c r="W97" s="1">
        <v>97</v>
      </c>
    </row>
    <row r="98" spans="23:23">
      <c r="W98" s="1">
        <v>98</v>
      </c>
    </row>
    <row r="99" spans="23:23">
      <c r="W99" s="1">
        <v>99</v>
      </c>
    </row>
  </sheetData>
  <sortState ref="I1:N99">
    <sortCondition descending="1" ref="J1:J99"/>
    <sortCondition descending="1" ref="K1:K9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29</vt:i4>
      </vt:variant>
    </vt:vector>
  </HeadingPairs>
  <TitlesOfParts>
    <vt:vector size="29" baseType="lpstr">
      <vt:lpstr>01.08.21</vt:lpstr>
      <vt:lpstr>11.08.21</vt:lpstr>
      <vt:lpstr>13.08.21</vt:lpstr>
      <vt:lpstr>15.08.21</vt:lpstr>
      <vt:lpstr>16.08.21</vt:lpstr>
      <vt:lpstr>17.08.21</vt:lpstr>
      <vt:lpstr>22.08.21</vt:lpstr>
      <vt:lpstr>25.08.21</vt:lpstr>
      <vt:lpstr>28.08.21</vt:lpstr>
      <vt:lpstr>29.08.21</vt:lpstr>
      <vt:lpstr>11-12.09.21</vt:lpstr>
      <vt:lpstr>14.09.21</vt:lpstr>
      <vt:lpstr>15.09.21</vt:lpstr>
      <vt:lpstr>19-22.09.21</vt:lpstr>
      <vt:lpstr>25-26.09.21</vt:lpstr>
      <vt:lpstr>28.09.21</vt:lpstr>
      <vt:lpstr>29.09.21</vt:lpstr>
      <vt:lpstr>02-03.10.21</vt:lpstr>
      <vt:lpstr>02-03.10.21 (2)</vt:lpstr>
      <vt:lpstr>16-17.10.21</vt:lpstr>
      <vt:lpstr>19.10.21</vt:lpstr>
      <vt:lpstr>20-21.10.21</vt:lpstr>
      <vt:lpstr>24.10.21</vt:lpstr>
      <vt:lpstr>27-31.10.21</vt:lpstr>
      <vt:lpstr>02.11.21</vt:lpstr>
      <vt:lpstr>03-04.11.21</vt:lpstr>
      <vt:lpstr>06-07.11.21</vt:lpstr>
      <vt:lpstr>20-21.11.21</vt:lpstr>
      <vt:lpstr>23-24.11.21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2021-07-04T19:48:53Z</dcterms:created>
  <dcterms:modified xsi:type="dcterms:W3CDTF">2021-11-22T19:17:36Z</dcterms:modified>
</cp:coreProperties>
</file>