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00" windowHeight="7485" activeTab="2"/>
  </bookViews>
  <sheets>
    <sheet name="Summary" sheetId="1" r:id="rId1"/>
    <sheet name="Completed Contracts" sheetId="8" r:id="rId2"/>
    <sheet name="Active" sheetId="9" r:id="rId3"/>
  </sheets>
  <calcPr calcId="162913"/>
</workbook>
</file>

<file path=xl/calcChain.xml><?xml version="1.0" encoding="utf-8"?>
<calcChain xmlns="http://schemas.openxmlformats.org/spreadsheetml/2006/main">
  <c r="J52" i="1" l="1"/>
  <c r="P52" i="1"/>
  <c r="Q52" i="1"/>
  <c r="S52" i="1"/>
  <c r="T52" i="1"/>
  <c r="U52" i="1"/>
  <c r="V52" i="1"/>
  <c r="W52" i="1"/>
  <c r="Y52" i="1" s="1"/>
  <c r="AE52" i="1"/>
  <c r="AJ52" i="1"/>
  <c r="AL52" i="1"/>
  <c r="AN52" i="1"/>
  <c r="AQ52" i="1"/>
  <c r="AR52" i="1"/>
  <c r="AS52" i="1"/>
  <c r="AT52" i="1"/>
  <c r="AU52" i="1"/>
  <c r="AV52" i="1"/>
  <c r="AN28" i="9"/>
  <c r="AL28" i="9"/>
  <c r="AJ28" i="9"/>
  <c r="AE28" i="9"/>
  <c r="W28" i="9"/>
  <c r="AC28" i="9" s="1"/>
  <c r="V28" i="9"/>
  <c r="U28" i="9"/>
  <c r="AF28" i="9" s="1"/>
  <c r="T28" i="9"/>
  <c r="S28" i="9"/>
  <c r="Q28" i="9"/>
  <c r="P28" i="9"/>
  <c r="J28" i="9"/>
  <c r="AN27" i="9"/>
  <c r="AL27" i="9"/>
  <c r="AJ27" i="9"/>
  <c r="AE27" i="9"/>
  <c r="AC27" i="9"/>
  <c r="AA27" i="9"/>
  <c r="W27" i="9"/>
  <c r="Y27" i="9" s="1"/>
  <c r="V27" i="9"/>
  <c r="U27" i="9"/>
  <c r="AF27" i="9" s="1"/>
  <c r="T27" i="9"/>
  <c r="S27" i="9"/>
  <c r="Q27" i="9"/>
  <c r="P27" i="9"/>
  <c r="J27" i="9"/>
  <c r="AN26" i="9"/>
  <c r="AL26" i="9"/>
  <c r="AJ26" i="9"/>
  <c r="AE26" i="9"/>
  <c r="AA26" i="9"/>
  <c r="Y26" i="9"/>
  <c r="W26" i="9"/>
  <c r="AC26" i="9" s="1"/>
  <c r="V26" i="9"/>
  <c r="U26" i="9"/>
  <c r="AF26" i="9" s="1"/>
  <c r="T26" i="9"/>
  <c r="S26" i="9"/>
  <c r="Q26" i="9"/>
  <c r="P26" i="9"/>
  <c r="J26" i="9"/>
  <c r="AN25" i="9"/>
  <c r="AL25" i="9"/>
  <c r="AJ25" i="9"/>
  <c r="AF25" i="9"/>
  <c r="AP25" i="9" s="1"/>
  <c r="AE25" i="9"/>
  <c r="Y25" i="9"/>
  <c r="W25" i="9"/>
  <c r="AC25" i="9" s="1"/>
  <c r="V25" i="9"/>
  <c r="U25" i="9"/>
  <c r="T25" i="9"/>
  <c r="S25" i="9"/>
  <c r="Q25" i="9"/>
  <c r="P25" i="9"/>
  <c r="J25" i="9"/>
  <c r="AN24" i="9"/>
  <c r="AL24" i="9"/>
  <c r="AJ24" i="9"/>
  <c r="AE24" i="9"/>
  <c r="W24" i="9"/>
  <c r="AC24" i="9" s="1"/>
  <c r="V24" i="9"/>
  <c r="U24" i="9"/>
  <c r="AF24" i="9" s="1"/>
  <c r="T24" i="9"/>
  <c r="S24" i="9"/>
  <c r="Q24" i="9"/>
  <c r="P24" i="9"/>
  <c r="J24" i="9"/>
  <c r="AN23" i="9"/>
  <c r="AL23" i="9"/>
  <c r="AJ23" i="9"/>
  <c r="AE23" i="9"/>
  <c r="AC23" i="9"/>
  <c r="AA23" i="9"/>
  <c r="Y23" i="9"/>
  <c r="W23" i="9"/>
  <c r="V23" i="9"/>
  <c r="U23" i="9"/>
  <c r="AF23" i="9" s="1"/>
  <c r="T23" i="9"/>
  <c r="S23" i="9"/>
  <c r="Q23" i="9"/>
  <c r="P23" i="9"/>
  <c r="J23" i="9"/>
  <c r="AN22" i="9"/>
  <c r="AL22" i="9"/>
  <c r="AJ22" i="9"/>
  <c r="AE22" i="9"/>
  <c r="AA22" i="9"/>
  <c r="W22" i="9"/>
  <c r="Y22" i="9" s="1"/>
  <c r="V22" i="9"/>
  <c r="U22" i="9"/>
  <c r="AF22" i="9" s="1"/>
  <c r="T22" i="9"/>
  <c r="S22" i="9"/>
  <c r="Q22" i="9"/>
  <c r="P22" i="9"/>
  <c r="J22" i="9"/>
  <c r="AN21" i="9"/>
  <c r="AL21" i="9"/>
  <c r="AJ21" i="9"/>
  <c r="AF21" i="9"/>
  <c r="AP21" i="9" s="1"/>
  <c r="AE21" i="9"/>
  <c r="Y21" i="9"/>
  <c r="W21" i="9"/>
  <c r="AC21" i="9" s="1"/>
  <c r="U21" i="9"/>
  <c r="T21" i="9"/>
  <c r="V21" i="9" s="1"/>
  <c r="S21" i="9"/>
  <c r="Q21" i="9"/>
  <c r="P21" i="9"/>
  <c r="J21" i="9"/>
  <c r="AN20" i="9"/>
  <c r="AL20" i="9"/>
  <c r="AJ20" i="9"/>
  <c r="AE20" i="9"/>
  <c r="W20" i="9"/>
  <c r="AC20" i="9" s="1"/>
  <c r="V20" i="9"/>
  <c r="U20" i="9"/>
  <c r="AF20" i="9" s="1"/>
  <c r="T20" i="9"/>
  <c r="S20" i="9"/>
  <c r="Q20" i="9"/>
  <c r="P20" i="9"/>
  <c r="J20" i="9"/>
  <c r="AN19" i="9"/>
  <c r="AL19" i="9"/>
  <c r="AJ19" i="9"/>
  <c r="AE19" i="9"/>
  <c r="V19" i="9"/>
  <c r="U19" i="9"/>
  <c r="AF19" i="9" s="1"/>
  <c r="T19" i="9"/>
  <c r="S19" i="9"/>
  <c r="Q19" i="9"/>
  <c r="P19" i="9"/>
  <c r="J19" i="9"/>
  <c r="AN18" i="9"/>
  <c r="AL18" i="9"/>
  <c r="AJ18" i="9"/>
  <c r="AE18" i="9"/>
  <c r="U18" i="9"/>
  <c r="AF18" i="9" s="1"/>
  <c r="T18" i="9"/>
  <c r="V18" i="9" s="1"/>
  <c r="S18" i="9"/>
  <c r="Q18" i="9"/>
  <c r="P18" i="9"/>
  <c r="J18" i="9"/>
  <c r="AN17" i="9"/>
  <c r="AL17" i="9"/>
  <c r="AJ17" i="9"/>
  <c r="AF17" i="9"/>
  <c r="AP17" i="9" s="1"/>
  <c r="AE17" i="9"/>
  <c r="AC17" i="9"/>
  <c r="Y17" i="9"/>
  <c r="W17" i="9"/>
  <c r="AA17" i="9" s="1"/>
  <c r="U17" i="9"/>
  <c r="T17" i="9"/>
  <c r="V17" i="9" s="1"/>
  <c r="S17" i="9"/>
  <c r="Q17" i="9"/>
  <c r="P17" i="9"/>
  <c r="J17" i="9"/>
  <c r="AN16" i="9"/>
  <c r="AL16" i="9"/>
  <c r="AJ16" i="9"/>
  <c r="AE16" i="9"/>
  <c r="W16" i="9"/>
  <c r="AC16" i="9" s="1"/>
  <c r="V16" i="9"/>
  <c r="U16" i="9"/>
  <c r="AF16" i="9" s="1"/>
  <c r="T16" i="9"/>
  <c r="S16" i="9"/>
  <c r="Q16" i="9"/>
  <c r="P16" i="9"/>
  <c r="J16" i="9"/>
  <c r="AP15" i="9"/>
  <c r="AN15" i="9"/>
  <c r="AL15" i="9"/>
  <c r="AJ15" i="9"/>
  <c r="AF15" i="9"/>
  <c r="AO15" i="9" s="1"/>
  <c r="AE15" i="9"/>
  <c r="V15" i="9"/>
  <c r="U15" i="9"/>
  <c r="W15" i="9" s="1"/>
  <c r="T15" i="9"/>
  <c r="S15" i="9"/>
  <c r="Q15" i="9"/>
  <c r="P15" i="9"/>
  <c r="J15" i="9"/>
  <c r="AN14" i="9"/>
  <c r="AL14" i="9"/>
  <c r="AJ14" i="9"/>
  <c r="AE14" i="9"/>
  <c r="V14" i="9"/>
  <c r="U14" i="9"/>
  <c r="AF14" i="9" s="1"/>
  <c r="T14" i="9"/>
  <c r="S14" i="9"/>
  <c r="Q14" i="9"/>
  <c r="P14" i="9"/>
  <c r="J14" i="9"/>
  <c r="AN13" i="9"/>
  <c r="AL13" i="9"/>
  <c r="AJ13" i="9"/>
  <c r="AF13" i="9"/>
  <c r="AP13" i="9" s="1"/>
  <c r="AE13" i="9"/>
  <c r="U13" i="9"/>
  <c r="W13" i="9" s="1"/>
  <c r="T13" i="9"/>
  <c r="V13" i="9" s="1"/>
  <c r="S13" i="9"/>
  <c r="Q13" i="9"/>
  <c r="P13" i="9"/>
  <c r="J13" i="9"/>
  <c r="AN12" i="9"/>
  <c r="AL12" i="9"/>
  <c r="AJ12" i="9"/>
  <c r="AE12" i="9"/>
  <c r="W12" i="9"/>
  <c r="AC12" i="9" s="1"/>
  <c r="V12" i="9"/>
  <c r="U12" i="9"/>
  <c r="AF12" i="9" s="1"/>
  <c r="T12" i="9"/>
  <c r="S12" i="9"/>
  <c r="Q12" i="9"/>
  <c r="P12" i="9"/>
  <c r="J12" i="9"/>
  <c r="AP11" i="9"/>
  <c r="AN11" i="9"/>
  <c r="AL11" i="9"/>
  <c r="AJ11" i="9"/>
  <c r="AF11" i="9"/>
  <c r="AO11" i="9" s="1"/>
  <c r="AE11" i="9"/>
  <c r="V11" i="9"/>
  <c r="U11" i="9"/>
  <c r="W11" i="9" s="1"/>
  <c r="T11" i="9"/>
  <c r="S11" i="9"/>
  <c r="Q11" i="9"/>
  <c r="P11" i="9"/>
  <c r="J11" i="9"/>
  <c r="AN10" i="9"/>
  <c r="AL10" i="9"/>
  <c r="AJ10" i="9"/>
  <c r="AE10" i="9"/>
  <c r="V10" i="9"/>
  <c r="U10" i="9"/>
  <c r="AF10" i="9" s="1"/>
  <c r="T10" i="9"/>
  <c r="S10" i="9"/>
  <c r="Q10" i="9"/>
  <c r="P10" i="9"/>
  <c r="J10" i="9"/>
  <c r="AN9" i="9"/>
  <c r="AL9" i="9"/>
  <c r="AJ9" i="9"/>
  <c r="AF9" i="9"/>
  <c r="AP9" i="9" s="1"/>
  <c r="AE9" i="9"/>
  <c r="U9" i="9"/>
  <c r="W9" i="9" s="1"/>
  <c r="T9" i="9"/>
  <c r="V9" i="9" s="1"/>
  <c r="S9" i="9"/>
  <c r="Q9" i="9"/>
  <c r="P9" i="9"/>
  <c r="J9" i="9"/>
  <c r="AN8" i="9"/>
  <c r="AL8" i="9"/>
  <c r="AJ8" i="9"/>
  <c r="AE8" i="9"/>
  <c r="W8" i="9"/>
  <c r="AC8" i="9" s="1"/>
  <c r="U8" i="9"/>
  <c r="AF8" i="9" s="1"/>
  <c r="T8" i="9"/>
  <c r="V8" i="9" s="1"/>
  <c r="S8" i="9"/>
  <c r="Q8" i="9"/>
  <c r="P8" i="9"/>
  <c r="J8" i="9"/>
  <c r="AP7" i="9"/>
  <c r="AN7" i="9"/>
  <c r="AL7" i="9"/>
  <c r="AJ7" i="9"/>
  <c r="AF7" i="9"/>
  <c r="AO7" i="9" s="1"/>
  <c r="AE7" i="9"/>
  <c r="V7" i="9"/>
  <c r="U7" i="9"/>
  <c r="W7" i="9" s="1"/>
  <c r="T7" i="9"/>
  <c r="S7" i="9"/>
  <c r="Q7" i="9"/>
  <c r="P7" i="9"/>
  <c r="J7" i="9"/>
  <c r="B4" i="9"/>
  <c r="A3" i="9"/>
  <c r="A2" i="9"/>
  <c r="A1" i="9"/>
  <c r="AN24" i="8"/>
  <c r="AL24" i="8"/>
  <c r="AJ24" i="8"/>
  <c r="AE24" i="8"/>
  <c r="U24" i="8"/>
  <c r="T24" i="8"/>
  <c r="V24" i="8" s="1"/>
  <c r="S24" i="8"/>
  <c r="Q24" i="8"/>
  <c r="P24" i="8"/>
  <c r="J24" i="8"/>
  <c r="AN23" i="8"/>
  <c r="AL23" i="8"/>
  <c r="AJ23" i="8"/>
  <c r="AF23" i="8"/>
  <c r="AE23" i="8"/>
  <c r="AC23" i="8"/>
  <c r="Y23" i="8"/>
  <c r="W23" i="8"/>
  <c r="AA23" i="8" s="1"/>
  <c r="U23" i="8"/>
  <c r="T23" i="8"/>
  <c r="V23" i="8" s="1"/>
  <c r="S23" i="8"/>
  <c r="Q23" i="8"/>
  <c r="P23" i="8"/>
  <c r="J23" i="8"/>
  <c r="AN22" i="8"/>
  <c r="AL22" i="8"/>
  <c r="AJ22" i="8"/>
  <c r="AE22" i="8"/>
  <c r="W22" i="8"/>
  <c r="V22" i="8"/>
  <c r="U22" i="8"/>
  <c r="T22" i="8"/>
  <c r="S22" i="8"/>
  <c r="Q22" i="8"/>
  <c r="P22" i="8"/>
  <c r="J22" i="8"/>
  <c r="AP21" i="8"/>
  <c r="AN21" i="8"/>
  <c r="AL21" i="8"/>
  <c r="AJ21" i="8"/>
  <c r="AF21" i="8"/>
  <c r="AO21" i="8" s="1"/>
  <c r="AE21" i="8"/>
  <c r="V21" i="8"/>
  <c r="U21" i="8"/>
  <c r="W21" i="8" s="1"/>
  <c r="T21" i="8"/>
  <c r="S21" i="8"/>
  <c r="Q21" i="8"/>
  <c r="P21" i="8"/>
  <c r="J21" i="8"/>
  <c r="AN20" i="8"/>
  <c r="AL20" i="8"/>
  <c r="AJ20" i="8"/>
  <c r="AE20" i="8"/>
  <c r="U20" i="8"/>
  <c r="T20" i="8"/>
  <c r="V20" i="8" s="1"/>
  <c r="S20" i="8"/>
  <c r="Q20" i="8"/>
  <c r="P20" i="8"/>
  <c r="J20" i="8"/>
  <c r="AN19" i="8"/>
  <c r="AL19" i="8"/>
  <c r="AJ19" i="8"/>
  <c r="AF19" i="8"/>
  <c r="AE19" i="8"/>
  <c r="AC19" i="8"/>
  <c r="Y19" i="8"/>
  <c r="W19" i="8"/>
  <c r="AA19" i="8" s="1"/>
  <c r="U19" i="8"/>
  <c r="T19" i="8"/>
  <c r="V19" i="8" s="1"/>
  <c r="S19" i="8"/>
  <c r="Q19" i="8"/>
  <c r="P19" i="8"/>
  <c r="J19" i="8"/>
  <c r="AN18" i="8"/>
  <c r="AL18" i="8"/>
  <c r="AJ18" i="8"/>
  <c r="AE18" i="8"/>
  <c r="W18" i="8"/>
  <c r="V18" i="8"/>
  <c r="U18" i="8"/>
  <c r="AF18" i="8" s="1"/>
  <c r="AP18" i="8" s="1"/>
  <c r="T18" i="8"/>
  <c r="S18" i="8"/>
  <c r="Q18" i="8"/>
  <c r="P18" i="8"/>
  <c r="J18" i="8"/>
  <c r="AN17" i="8"/>
  <c r="AL17" i="8"/>
  <c r="AJ17" i="8"/>
  <c r="AF17" i="8"/>
  <c r="AE17" i="8"/>
  <c r="AC17" i="8"/>
  <c r="Y17" i="8"/>
  <c r="V17" i="8"/>
  <c r="U17" i="8"/>
  <c r="W17" i="8" s="1"/>
  <c r="AA17" i="8" s="1"/>
  <c r="T17" i="8"/>
  <c r="S17" i="8"/>
  <c r="Q17" i="8"/>
  <c r="P17" i="8"/>
  <c r="J17" i="8"/>
  <c r="AN16" i="8"/>
  <c r="AL16" i="8"/>
  <c r="AJ16" i="8"/>
  <c r="AE16" i="8"/>
  <c r="U16" i="8"/>
  <c r="T16" i="8"/>
  <c r="V16" i="8" s="1"/>
  <c r="S16" i="8"/>
  <c r="Q16" i="8"/>
  <c r="P16" i="8"/>
  <c r="J16" i="8"/>
  <c r="AN15" i="8"/>
  <c r="AL15" i="8"/>
  <c r="AJ15" i="8"/>
  <c r="AF15" i="8"/>
  <c r="AE15" i="8"/>
  <c r="AC15" i="8"/>
  <c r="Y15" i="8"/>
  <c r="W15" i="8"/>
  <c r="AA15" i="8" s="1"/>
  <c r="U15" i="8"/>
  <c r="T15" i="8"/>
  <c r="V15" i="8" s="1"/>
  <c r="S15" i="8"/>
  <c r="Q15" i="8"/>
  <c r="P15" i="8"/>
  <c r="J15" i="8"/>
  <c r="AN14" i="8"/>
  <c r="AL14" i="8"/>
  <c r="AJ14" i="8"/>
  <c r="AE14" i="8"/>
  <c r="W14" i="8"/>
  <c r="V14" i="8"/>
  <c r="U14" i="8"/>
  <c r="AF14" i="8" s="1"/>
  <c r="AP14" i="8" s="1"/>
  <c r="T14" i="8"/>
  <c r="S14" i="8"/>
  <c r="Q14" i="8"/>
  <c r="P14" i="8"/>
  <c r="J14" i="8"/>
  <c r="AN13" i="8"/>
  <c r="AL13" i="8"/>
  <c r="AJ13" i="8"/>
  <c r="AE13" i="8"/>
  <c r="V13" i="8"/>
  <c r="U13" i="8"/>
  <c r="W13" i="8" s="1"/>
  <c r="AA13" i="8" s="1"/>
  <c r="T13" i="8"/>
  <c r="S13" i="8"/>
  <c r="Q13" i="8"/>
  <c r="P13" i="8"/>
  <c r="J13" i="8"/>
  <c r="AN12" i="8"/>
  <c r="AL12" i="8"/>
  <c r="AJ12" i="8"/>
  <c r="AE12" i="8"/>
  <c r="U12" i="8"/>
  <c r="AF12" i="8" s="1"/>
  <c r="T12" i="8"/>
  <c r="V12" i="8" s="1"/>
  <c r="S12" i="8"/>
  <c r="Q12" i="8"/>
  <c r="P12" i="8"/>
  <c r="J12" i="8"/>
  <c r="AN11" i="8"/>
  <c r="AL11" i="8"/>
  <c r="AJ11" i="8"/>
  <c r="AE11" i="8"/>
  <c r="AF11" i="8" s="1"/>
  <c r="AC11" i="8"/>
  <c r="W11" i="8"/>
  <c r="AA11" i="8" s="1"/>
  <c r="V11" i="8"/>
  <c r="U11" i="8"/>
  <c r="T11" i="8"/>
  <c r="S11" i="8"/>
  <c r="Q11" i="8"/>
  <c r="P11" i="8"/>
  <c r="J11" i="8"/>
  <c r="AN10" i="8"/>
  <c r="AL10" i="8"/>
  <c r="AJ10" i="8"/>
  <c r="AE10" i="8"/>
  <c r="W10" i="8"/>
  <c r="Y10" i="8" s="1"/>
  <c r="V10" i="8"/>
  <c r="U10" i="8"/>
  <c r="T10" i="8"/>
  <c r="S10" i="8"/>
  <c r="Q10" i="8"/>
  <c r="P10" i="8"/>
  <c r="J10" i="8"/>
  <c r="AN9" i="8"/>
  <c r="AL9" i="8"/>
  <c r="AJ9" i="8"/>
  <c r="AE9" i="8"/>
  <c r="AA9" i="8"/>
  <c r="U9" i="8"/>
  <c r="W9" i="8" s="1"/>
  <c r="Y9" i="8" s="1"/>
  <c r="T9" i="8"/>
  <c r="V9" i="8" s="1"/>
  <c r="S9" i="8"/>
  <c r="Q9" i="8"/>
  <c r="P9" i="8"/>
  <c r="J9" i="8"/>
  <c r="AN8" i="8"/>
  <c r="AL8" i="8"/>
  <c r="AJ8" i="8"/>
  <c r="AE8" i="8"/>
  <c r="U8" i="8"/>
  <c r="AF8" i="8" s="1"/>
  <c r="T8" i="8"/>
  <c r="V8" i="8" s="1"/>
  <c r="S8" i="8"/>
  <c r="Q8" i="8"/>
  <c r="P8" i="8"/>
  <c r="J8" i="8"/>
  <c r="AN7" i="8"/>
  <c r="AL7" i="8"/>
  <c r="AJ7" i="8"/>
  <c r="AE7" i="8"/>
  <c r="AF7" i="8" s="1"/>
  <c r="AC7" i="8"/>
  <c r="Y7" i="8"/>
  <c r="W7" i="8"/>
  <c r="AA7" i="8" s="1"/>
  <c r="U7" i="8"/>
  <c r="T7" i="8"/>
  <c r="V7" i="8" s="1"/>
  <c r="S7" i="8"/>
  <c r="Q7" i="8"/>
  <c r="P7" i="8"/>
  <c r="J7" i="8"/>
  <c r="B4" i="8"/>
  <c r="A3" i="8"/>
  <c r="A2" i="8"/>
  <c r="A1" i="8"/>
  <c r="AN48" i="1"/>
  <c r="AL48" i="1"/>
  <c r="AJ48" i="1"/>
  <c r="AE48" i="1"/>
  <c r="W48" i="1"/>
  <c r="AA48" i="1" s="1"/>
  <c r="V48" i="1"/>
  <c r="U48" i="1"/>
  <c r="T48" i="1"/>
  <c r="S48" i="1"/>
  <c r="Q48" i="1"/>
  <c r="P48" i="1"/>
  <c r="J48" i="1"/>
  <c r="AN47" i="1"/>
  <c r="AL47" i="1"/>
  <c r="AJ47" i="1"/>
  <c r="AE47" i="1"/>
  <c r="U47" i="1"/>
  <c r="T47" i="1"/>
  <c r="V47" i="1" s="1"/>
  <c r="S47" i="1"/>
  <c r="Q47" i="1"/>
  <c r="P47" i="1"/>
  <c r="J47" i="1"/>
  <c r="AN46" i="1"/>
  <c r="AL46" i="1"/>
  <c r="AJ46" i="1"/>
  <c r="AE46" i="1"/>
  <c r="V46" i="1"/>
  <c r="U46" i="1"/>
  <c r="W46" i="1" s="1"/>
  <c r="AA46" i="1" s="1"/>
  <c r="T46" i="1"/>
  <c r="S46" i="1"/>
  <c r="Q46" i="1"/>
  <c r="P46" i="1"/>
  <c r="J46" i="1"/>
  <c r="AN45" i="1"/>
  <c r="AL45" i="1"/>
  <c r="AJ45" i="1"/>
  <c r="AE45" i="1"/>
  <c r="U45" i="1"/>
  <c r="AF45" i="1" s="1"/>
  <c r="T45" i="1"/>
  <c r="V45" i="1" s="1"/>
  <c r="S45" i="1"/>
  <c r="Q45" i="1"/>
  <c r="P45" i="1"/>
  <c r="J45" i="1"/>
  <c r="AN44" i="1"/>
  <c r="AL44" i="1"/>
  <c r="AJ44" i="1"/>
  <c r="AE44" i="1"/>
  <c r="U44" i="1"/>
  <c r="W44" i="1" s="1"/>
  <c r="T44" i="1"/>
  <c r="V44" i="1" s="1"/>
  <c r="S44" i="1"/>
  <c r="Q44" i="1"/>
  <c r="P44" i="1"/>
  <c r="J44" i="1"/>
  <c r="AN43" i="1"/>
  <c r="AL43" i="1"/>
  <c r="AJ43" i="1"/>
  <c r="AE43" i="1"/>
  <c r="U43" i="1"/>
  <c r="T43" i="1"/>
  <c r="V43" i="1" s="1"/>
  <c r="S43" i="1"/>
  <c r="Q43" i="1"/>
  <c r="P43" i="1"/>
  <c r="J43" i="1"/>
  <c r="AN42" i="1"/>
  <c r="AL42" i="1"/>
  <c r="AJ42" i="1"/>
  <c r="AE42" i="1"/>
  <c r="U42" i="1"/>
  <c r="T42" i="1"/>
  <c r="V42" i="1" s="1"/>
  <c r="S42" i="1"/>
  <c r="Q42" i="1"/>
  <c r="P42" i="1"/>
  <c r="J42" i="1"/>
  <c r="AN41" i="1"/>
  <c r="AL41" i="1"/>
  <c r="AJ41" i="1"/>
  <c r="AE41" i="1"/>
  <c r="U41" i="1"/>
  <c r="T41" i="1"/>
  <c r="V41" i="1" s="1"/>
  <c r="S41" i="1"/>
  <c r="Q41" i="1"/>
  <c r="P41" i="1"/>
  <c r="J41" i="1"/>
  <c r="AN40" i="1"/>
  <c r="AL40" i="1"/>
  <c r="AJ40" i="1"/>
  <c r="AE40" i="1"/>
  <c r="U40" i="1"/>
  <c r="W40" i="1" s="1"/>
  <c r="T40" i="1"/>
  <c r="V40" i="1" s="1"/>
  <c r="S40" i="1"/>
  <c r="Q40" i="1"/>
  <c r="P40" i="1"/>
  <c r="J40" i="1"/>
  <c r="AN39" i="1"/>
  <c r="AL39" i="1"/>
  <c r="AJ39" i="1"/>
  <c r="AE39" i="1"/>
  <c r="U39" i="1"/>
  <c r="T39" i="1"/>
  <c r="V39" i="1" s="1"/>
  <c r="S39" i="1"/>
  <c r="Q39" i="1"/>
  <c r="P39" i="1"/>
  <c r="J39" i="1"/>
  <c r="AN38" i="1"/>
  <c r="AL38" i="1"/>
  <c r="AJ38" i="1"/>
  <c r="AE38" i="1"/>
  <c r="U38" i="1"/>
  <c r="T38" i="1"/>
  <c r="V38" i="1" s="1"/>
  <c r="S38" i="1"/>
  <c r="Q38" i="1"/>
  <c r="P38" i="1"/>
  <c r="J38" i="1"/>
  <c r="AN37" i="1"/>
  <c r="AL37" i="1"/>
  <c r="AJ37" i="1"/>
  <c r="AE37" i="1"/>
  <c r="U37" i="1"/>
  <c r="T37" i="1"/>
  <c r="V37" i="1" s="1"/>
  <c r="S37" i="1"/>
  <c r="Q37" i="1"/>
  <c r="P37" i="1"/>
  <c r="J37" i="1"/>
  <c r="AN36" i="1"/>
  <c r="AL36" i="1"/>
  <c r="AJ36" i="1"/>
  <c r="AE36" i="1"/>
  <c r="AF36" i="1" s="1"/>
  <c r="AO36" i="1" s="1"/>
  <c r="U36" i="1"/>
  <c r="W36" i="1" s="1"/>
  <c r="T36" i="1"/>
  <c r="V36" i="1" s="1"/>
  <c r="S36" i="1"/>
  <c r="Q36" i="1"/>
  <c r="P36" i="1"/>
  <c r="J36" i="1"/>
  <c r="AN35" i="1"/>
  <c r="AL35" i="1"/>
  <c r="AJ35" i="1"/>
  <c r="AE35" i="1"/>
  <c r="U35" i="1"/>
  <c r="T35" i="1"/>
  <c r="V35" i="1" s="1"/>
  <c r="S35" i="1"/>
  <c r="Q35" i="1"/>
  <c r="P35" i="1"/>
  <c r="J35" i="1"/>
  <c r="AN34" i="1"/>
  <c r="AL34" i="1"/>
  <c r="AJ34" i="1"/>
  <c r="AE34" i="1"/>
  <c r="U34" i="1"/>
  <c r="T34" i="1"/>
  <c r="V34" i="1" s="1"/>
  <c r="S34" i="1"/>
  <c r="Q34" i="1"/>
  <c r="P34" i="1"/>
  <c r="J34" i="1"/>
  <c r="AN33" i="1"/>
  <c r="AL33" i="1"/>
  <c r="AJ33" i="1"/>
  <c r="AE33" i="1"/>
  <c r="U33" i="1"/>
  <c r="AF33" i="1" s="1"/>
  <c r="T33" i="1"/>
  <c r="V33" i="1" s="1"/>
  <c r="S33" i="1"/>
  <c r="Q33" i="1"/>
  <c r="P33" i="1"/>
  <c r="J33" i="1"/>
  <c r="AN32" i="1"/>
  <c r="AL32" i="1"/>
  <c r="AJ32" i="1"/>
  <c r="AE32" i="1"/>
  <c r="U32" i="1"/>
  <c r="W32" i="1" s="1"/>
  <c r="T32" i="1"/>
  <c r="V32" i="1" s="1"/>
  <c r="S32" i="1"/>
  <c r="Q32" i="1"/>
  <c r="P32" i="1"/>
  <c r="J32" i="1"/>
  <c r="AN31" i="1"/>
  <c r="AL31" i="1"/>
  <c r="AJ31" i="1"/>
  <c r="AE31" i="1"/>
  <c r="U31" i="1"/>
  <c r="W31" i="1" s="1"/>
  <c r="Y31" i="1" s="1"/>
  <c r="T31" i="1"/>
  <c r="V31" i="1" s="1"/>
  <c r="S31" i="1"/>
  <c r="Q31" i="1"/>
  <c r="P31" i="1"/>
  <c r="J31" i="1"/>
  <c r="AN30" i="1"/>
  <c r="AL30" i="1"/>
  <c r="AJ30" i="1"/>
  <c r="AE30" i="1"/>
  <c r="U30" i="1"/>
  <c r="W30" i="1" s="1"/>
  <c r="AA30" i="1" s="1"/>
  <c r="T30" i="1"/>
  <c r="V30" i="1" s="1"/>
  <c r="S30" i="1"/>
  <c r="Q30" i="1"/>
  <c r="P30" i="1"/>
  <c r="J30" i="1"/>
  <c r="AN29" i="1"/>
  <c r="AL29" i="1"/>
  <c r="AJ29" i="1"/>
  <c r="AE29" i="1"/>
  <c r="U29" i="1"/>
  <c r="T29" i="1"/>
  <c r="V29" i="1" s="1"/>
  <c r="S29" i="1"/>
  <c r="Q29" i="1"/>
  <c r="P29" i="1"/>
  <c r="J29" i="1"/>
  <c r="AN28" i="1"/>
  <c r="AL28" i="1"/>
  <c r="AJ28" i="1"/>
  <c r="AE28" i="1"/>
  <c r="U28" i="1"/>
  <c r="W28" i="1" s="1"/>
  <c r="T28" i="1"/>
  <c r="V28" i="1" s="1"/>
  <c r="S28" i="1"/>
  <c r="Q28" i="1"/>
  <c r="P28" i="1"/>
  <c r="J28" i="1"/>
  <c r="AN27" i="1"/>
  <c r="AL27" i="1"/>
  <c r="AJ27" i="1"/>
  <c r="AE27" i="1"/>
  <c r="U27" i="1"/>
  <c r="T27" i="1"/>
  <c r="V27" i="1" s="1"/>
  <c r="S27" i="1"/>
  <c r="Q27" i="1"/>
  <c r="P27" i="1"/>
  <c r="J27" i="1"/>
  <c r="AN26" i="1"/>
  <c r="AL26" i="1"/>
  <c r="AJ26" i="1"/>
  <c r="AE26" i="1"/>
  <c r="AF26" i="1" s="1"/>
  <c r="AO26" i="1" s="1"/>
  <c r="U26" i="1"/>
  <c r="W26" i="1" s="1"/>
  <c r="AA26" i="1" s="1"/>
  <c r="T26" i="1"/>
  <c r="V26" i="1" s="1"/>
  <c r="S26" i="1"/>
  <c r="Q26" i="1"/>
  <c r="P26" i="1"/>
  <c r="J26" i="1"/>
  <c r="AN25" i="1"/>
  <c r="AL25" i="1"/>
  <c r="AJ25" i="1"/>
  <c r="AE25" i="1"/>
  <c r="U25" i="1"/>
  <c r="T25" i="1"/>
  <c r="V25" i="1" s="1"/>
  <c r="S25" i="1"/>
  <c r="Q25" i="1"/>
  <c r="P25" i="1"/>
  <c r="J25" i="1"/>
  <c r="AN24" i="1"/>
  <c r="AL24" i="1"/>
  <c r="AJ24" i="1"/>
  <c r="AE24" i="1"/>
  <c r="U24" i="1"/>
  <c r="W24" i="1" s="1"/>
  <c r="T24" i="1"/>
  <c r="V24" i="1" s="1"/>
  <c r="S24" i="1"/>
  <c r="Q24" i="1"/>
  <c r="P24" i="1"/>
  <c r="J24" i="1"/>
  <c r="AN23" i="1"/>
  <c r="AL23" i="1"/>
  <c r="AJ23" i="1"/>
  <c r="AE23" i="1"/>
  <c r="U23" i="1"/>
  <c r="AF23" i="1" s="1"/>
  <c r="T23" i="1"/>
  <c r="V23" i="1" s="1"/>
  <c r="S23" i="1"/>
  <c r="Q23" i="1"/>
  <c r="P23" i="1"/>
  <c r="J23" i="1"/>
  <c r="AN22" i="1"/>
  <c r="AL22" i="1"/>
  <c r="AJ22" i="1"/>
  <c r="AE22" i="1"/>
  <c r="U22" i="1"/>
  <c r="T22" i="1"/>
  <c r="V22" i="1" s="1"/>
  <c r="S22" i="1"/>
  <c r="Q22" i="1"/>
  <c r="P22" i="1"/>
  <c r="J22" i="1"/>
  <c r="AN21" i="1"/>
  <c r="AL21" i="1"/>
  <c r="AJ21" i="1"/>
  <c r="AE21" i="1"/>
  <c r="U21" i="1"/>
  <c r="T21" i="1"/>
  <c r="V21" i="1" s="1"/>
  <c r="S21" i="1"/>
  <c r="Q21" i="1"/>
  <c r="P21" i="1"/>
  <c r="J21" i="1"/>
  <c r="AN20" i="1"/>
  <c r="AL20" i="1"/>
  <c r="AJ20" i="1"/>
  <c r="AE20" i="1"/>
  <c r="U20" i="1"/>
  <c r="W20" i="1" s="1"/>
  <c r="AA20" i="1" s="1"/>
  <c r="T20" i="1"/>
  <c r="V20" i="1" s="1"/>
  <c r="S20" i="1"/>
  <c r="Q20" i="1"/>
  <c r="P20" i="1"/>
  <c r="J20" i="1"/>
  <c r="AN19" i="1"/>
  <c r="AL19" i="1"/>
  <c r="AJ19" i="1"/>
  <c r="AE19" i="1"/>
  <c r="U19" i="1"/>
  <c r="W19" i="1" s="1"/>
  <c r="AA19" i="1" s="1"/>
  <c r="T19" i="1"/>
  <c r="V19" i="1" s="1"/>
  <c r="S19" i="1"/>
  <c r="Q19" i="1"/>
  <c r="P19" i="1"/>
  <c r="J19" i="1"/>
  <c r="AN18" i="1"/>
  <c r="AL18" i="1"/>
  <c r="AJ18" i="1"/>
  <c r="AE18" i="1"/>
  <c r="U18" i="1"/>
  <c r="T18" i="1"/>
  <c r="V18" i="1" s="1"/>
  <c r="S18" i="1"/>
  <c r="Q18" i="1"/>
  <c r="P18" i="1"/>
  <c r="J18" i="1"/>
  <c r="AN17" i="1"/>
  <c r="AL17" i="1"/>
  <c r="AJ17" i="1"/>
  <c r="AE17" i="1"/>
  <c r="W17" i="1"/>
  <c r="U17" i="1"/>
  <c r="T17" i="1"/>
  <c r="V17" i="1" s="1"/>
  <c r="S17" i="1"/>
  <c r="Q17" i="1"/>
  <c r="P17" i="1"/>
  <c r="J17" i="1"/>
  <c r="AN16" i="1"/>
  <c r="AL16" i="1"/>
  <c r="AJ16" i="1"/>
  <c r="AE16" i="1"/>
  <c r="U16" i="1"/>
  <c r="W16" i="1" s="1"/>
  <c r="AA16" i="1" s="1"/>
  <c r="T16" i="1"/>
  <c r="V16" i="1" s="1"/>
  <c r="S16" i="1"/>
  <c r="Q16" i="1"/>
  <c r="P16" i="1"/>
  <c r="J16" i="1"/>
  <c r="AN15" i="1"/>
  <c r="AL15" i="1"/>
  <c r="AJ15" i="1"/>
  <c r="AE15" i="1"/>
  <c r="U15" i="1"/>
  <c r="W15" i="1" s="1"/>
  <c r="AA15" i="1" s="1"/>
  <c r="T15" i="1"/>
  <c r="V15" i="1" s="1"/>
  <c r="S15" i="1"/>
  <c r="Q15" i="1"/>
  <c r="P15" i="1"/>
  <c r="J15" i="1"/>
  <c r="AN14" i="1"/>
  <c r="AL14" i="1"/>
  <c r="AJ14" i="1"/>
  <c r="AE14" i="1"/>
  <c r="U14" i="1"/>
  <c r="T14" i="1"/>
  <c r="V14" i="1" s="1"/>
  <c r="S14" i="1"/>
  <c r="Q14" i="1"/>
  <c r="P14" i="1"/>
  <c r="J14" i="1"/>
  <c r="AN13" i="1"/>
  <c r="AL13" i="1"/>
  <c r="AJ13" i="1"/>
  <c r="AE13" i="1"/>
  <c r="U13" i="1"/>
  <c r="W13" i="1" s="1"/>
  <c r="Y13" i="1" s="1"/>
  <c r="T13" i="1"/>
  <c r="V13" i="1" s="1"/>
  <c r="S13" i="1"/>
  <c r="Q13" i="1"/>
  <c r="P13" i="1"/>
  <c r="J13" i="1"/>
  <c r="AN12" i="1"/>
  <c r="AL12" i="1"/>
  <c r="AJ12" i="1"/>
  <c r="AE12" i="1"/>
  <c r="U12" i="1"/>
  <c r="AF12" i="1" s="1"/>
  <c r="T12" i="1"/>
  <c r="V12" i="1" s="1"/>
  <c r="S12" i="1"/>
  <c r="Q12" i="1"/>
  <c r="P12" i="1"/>
  <c r="J12" i="1"/>
  <c r="AN11" i="1"/>
  <c r="AL11" i="1"/>
  <c r="AJ11" i="1"/>
  <c r="AE11" i="1"/>
  <c r="U11" i="1"/>
  <c r="W11" i="1" s="1"/>
  <c r="T11" i="1"/>
  <c r="V11" i="1" s="1"/>
  <c r="S11" i="1"/>
  <c r="Q11" i="1"/>
  <c r="P11" i="1"/>
  <c r="J11" i="1"/>
  <c r="AN10" i="1"/>
  <c r="AL10" i="1"/>
  <c r="AJ10" i="1"/>
  <c r="AE10" i="1"/>
  <c r="U10" i="1"/>
  <c r="W10" i="1" s="1"/>
  <c r="T10" i="1"/>
  <c r="V10" i="1" s="1"/>
  <c r="S10" i="1"/>
  <c r="Q10" i="1"/>
  <c r="P10" i="1"/>
  <c r="J10" i="1"/>
  <c r="AN9" i="1"/>
  <c r="AL9" i="1"/>
  <c r="AJ9" i="1"/>
  <c r="AE9" i="1"/>
  <c r="AF9" i="1" s="1"/>
  <c r="U9" i="1"/>
  <c r="W9" i="1" s="1"/>
  <c r="AA9" i="1" s="1"/>
  <c r="T9" i="1"/>
  <c r="V9" i="1" s="1"/>
  <c r="S9" i="1"/>
  <c r="Q9" i="1"/>
  <c r="P9" i="1"/>
  <c r="J9" i="1"/>
  <c r="AN8" i="1"/>
  <c r="AL8" i="1"/>
  <c r="AJ8" i="1"/>
  <c r="AE8" i="1"/>
  <c r="U8" i="1"/>
  <c r="T8" i="1"/>
  <c r="V8" i="1" s="1"/>
  <c r="S8" i="1"/>
  <c r="Q8" i="1"/>
  <c r="P8" i="1"/>
  <c r="J8" i="1"/>
  <c r="AN7" i="1"/>
  <c r="AL7" i="1"/>
  <c r="AJ7" i="1"/>
  <c r="AE7" i="1"/>
  <c r="U7" i="1"/>
  <c r="W7" i="1" s="1"/>
  <c r="T7" i="1"/>
  <c r="V7" i="1" s="1"/>
  <c r="S7" i="1"/>
  <c r="Q7" i="1"/>
  <c r="P7" i="1"/>
  <c r="J7" i="1"/>
  <c r="B4" i="1"/>
  <c r="A3" i="1"/>
  <c r="A2" i="1"/>
  <c r="A1" i="1"/>
  <c r="Y48" i="1" l="1"/>
  <c r="AF16" i="1"/>
  <c r="AF48" i="1"/>
  <c r="AP48" i="1" s="1"/>
  <c r="AC48" i="1"/>
  <c r="AF52" i="1"/>
  <c r="AF42" i="1"/>
  <c r="AO42" i="1" s="1"/>
  <c r="AF46" i="1"/>
  <c r="AP46" i="1" s="1"/>
  <c r="AH52" i="1"/>
  <c r="AO52" i="1"/>
  <c r="AP52" i="1"/>
  <c r="W12" i="1"/>
  <c r="Y12" i="1" s="1"/>
  <c r="AC52" i="1"/>
  <c r="AF18" i="1"/>
  <c r="AF22" i="1"/>
  <c r="AP22" i="1" s="1"/>
  <c r="AA52" i="1"/>
  <c r="AF8" i="1"/>
  <c r="AO48" i="1"/>
  <c r="AF14" i="1"/>
  <c r="AF30" i="1"/>
  <c r="AO30" i="1" s="1"/>
  <c r="AF35" i="1"/>
  <c r="AF39" i="1"/>
  <c r="W42" i="1"/>
  <c r="AA42" i="1" s="1"/>
  <c r="AF34" i="1"/>
  <c r="AP34" i="1" s="1"/>
  <c r="AF20" i="1"/>
  <c r="AF29" i="1"/>
  <c r="AF32" i="1"/>
  <c r="AO32" i="1" s="1"/>
  <c r="AF38" i="1"/>
  <c r="AO38" i="1" s="1"/>
  <c r="AP30" i="1"/>
  <c r="AO22" i="1"/>
  <c r="AO34" i="1"/>
  <c r="AP38" i="1"/>
  <c r="W14" i="1"/>
  <c r="W18" i="1"/>
  <c r="Y26" i="1"/>
  <c r="W35" i="1"/>
  <c r="Y35" i="1" s="1"/>
  <c r="AP42" i="1"/>
  <c r="AC12" i="1"/>
  <c r="AF17" i="1"/>
  <c r="W23" i="1"/>
  <c r="Y23" i="1" s="1"/>
  <c r="AF24" i="1"/>
  <c r="AO24" i="1" s="1"/>
  <c r="AC26" i="1"/>
  <c r="AF27" i="1"/>
  <c r="AO27" i="1" s="1"/>
  <c r="Y30" i="1"/>
  <c r="W34" i="1"/>
  <c r="AF37" i="1"/>
  <c r="W39" i="1"/>
  <c r="Y39" i="1" s="1"/>
  <c r="AF40" i="1"/>
  <c r="AO40" i="1" s="1"/>
  <c r="AC42" i="1"/>
  <c r="AF43" i="1"/>
  <c r="Y46" i="1"/>
  <c r="AF47" i="1"/>
  <c r="AP26" i="1"/>
  <c r="W8" i="1"/>
  <c r="AF10" i="1"/>
  <c r="AP10" i="1" s="1"/>
  <c r="W22" i="1"/>
  <c r="AF25" i="1"/>
  <c r="W27" i="1"/>
  <c r="Y27" i="1" s="1"/>
  <c r="AF28" i="1"/>
  <c r="AO28" i="1" s="1"/>
  <c r="AC30" i="1"/>
  <c r="AF31" i="1"/>
  <c r="W38" i="1"/>
  <c r="AF41" i="1"/>
  <c r="AO41" i="1" s="1"/>
  <c r="W43" i="1"/>
  <c r="Y43" i="1" s="1"/>
  <c r="AF44" i="1"/>
  <c r="AO44" i="1" s="1"/>
  <c r="AC46" i="1"/>
  <c r="W47" i="1"/>
  <c r="Y47" i="1" s="1"/>
  <c r="AC7" i="1"/>
  <c r="AA7" i="1"/>
  <c r="Y7" i="1"/>
  <c r="AO9" i="1"/>
  <c r="AH9" i="1"/>
  <c r="AP9" i="1"/>
  <c r="AC11" i="1"/>
  <c r="AA11" i="1"/>
  <c r="Y11" i="1"/>
  <c r="AP8" i="1"/>
  <c r="AO8" i="1"/>
  <c r="AH8" i="1"/>
  <c r="AC10" i="1"/>
  <c r="AA10" i="1"/>
  <c r="Y10" i="1"/>
  <c r="AP12" i="1"/>
  <c r="AO12" i="1"/>
  <c r="AH12" i="1"/>
  <c r="AF7" i="1"/>
  <c r="AA8" i="1"/>
  <c r="AC9" i="1"/>
  <c r="AF11" i="1"/>
  <c r="AA12" i="1"/>
  <c r="Y15" i="1"/>
  <c r="AC15" i="1"/>
  <c r="AC16" i="1"/>
  <c r="Y19" i="1"/>
  <c r="AC19" i="1"/>
  <c r="AC20" i="1"/>
  <c r="AA24" i="1"/>
  <c r="Y24" i="1"/>
  <c r="AC24" i="1"/>
  <c r="AP29" i="1"/>
  <c r="AO29" i="1"/>
  <c r="AH29" i="1"/>
  <c r="AP35" i="1"/>
  <c r="AO35" i="1"/>
  <c r="AH35" i="1"/>
  <c r="AA40" i="1"/>
  <c r="Y40" i="1"/>
  <c r="AC40" i="1"/>
  <c r="AP45" i="1"/>
  <c r="AO45" i="1"/>
  <c r="AH45" i="1"/>
  <c r="AO11" i="8"/>
  <c r="AH11" i="8"/>
  <c r="AP11" i="8"/>
  <c r="AO14" i="1"/>
  <c r="AH14" i="1"/>
  <c r="AP14" i="1"/>
  <c r="AO18" i="1"/>
  <c r="AH18" i="1"/>
  <c r="AP18" i="1"/>
  <c r="AP23" i="1"/>
  <c r="AO23" i="1"/>
  <c r="AH23" i="1"/>
  <c r="AA28" i="1"/>
  <c r="Y28" i="1"/>
  <c r="AC28" i="1"/>
  <c r="AP33" i="1"/>
  <c r="AO33" i="1"/>
  <c r="AH33" i="1"/>
  <c r="AP39" i="1"/>
  <c r="AO39" i="1"/>
  <c r="AH39" i="1"/>
  <c r="AA44" i="1"/>
  <c r="Y44" i="1"/>
  <c r="AC44" i="1"/>
  <c r="AP12" i="8"/>
  <c r="AO12" i="8"/>
  <c r="AH12" i="8"/>
  <c r="Y9" i="1"/>
  <c r="AA13" i="1"/>
  <c r="AO16" i="1"/>
  <c r="AH16" i="1"/>
  <c r="AP16" i="1"/>
  <c r="AC17" i="1"/>
  <c r="Y17" i="1"/>
  <c r="AO20" i="1"/>
  <c r="AH20" i="1"/>
  <c r="AP20" i="1"/>
  <c r="AP27" i="1"/>
  <c r="AA32" i="1"/>
  <c r="Y32" i="1"/>
  <c r="AC32" i="1"/>
  <c r="AP37" i="1"/>
  <c r="AO37" i="1"/>
  <c r="AH37" i="1"/>
  <c r="AP43" i="1"/>
  <c r="AO43" i="1"/>
  <c r="AH43" i="1"/>
  <c r="AP47" i="1"/>
  <c r="AO47" i="1"/>
  <c r="AH47" i="1"/>
  <c r="AO7" i="8"/>
  <c r="AH7" i="8"/>
  <c r="AP7" i="8"/>
  <c r="AF13" i="1"/>
  <c r="AC13" i="1"/>
  <c r="AF15" i="1"/>
  <c r="Y16" i="1"/>
  <c r="AA17" i="1"/>
  <c r="AF19" i="1"/>
  <c r="Y20" i="1"/>
  <c r="AF21" i="1"/>
  <c r="W21" i="1"/>
  <c r="AP25" i="1"/>
  <c r="AO25" i="1"/>
  <c r="AH25" i="1"/>
  <c r="AP31" i="1"/>
  <c r="AO31" i="1"/>
  <c r="AH31" i="1"/>
  <c r="AA36" i="1"/>
  <c r="Y36" i="1"/>
  <c r="AC36" i="1"/>
  <c r="AP41" i="1"/>
  <c r="AP8" i="8"/>
  <c r="AO8" i="8"/>
  <c r="AH8" i="8"/>
  <c r="AA23" i="1"/>
  <c r="AP24" i="1"/>
  <c r="W25" i="1"/>
  <c r="AA27" i="1"/>
  <c r="W29" i="1"/>
  <c r="AA31" i="1"/>
  <c r="AP32" i="1"/>
  <c r="W33" i="1"/>
  <c r="AP36" i="1"/>
  <c r="W37" i="1"/>
  <c r="AP40" i="1"/>
  <c r="W41" i="1"/>
  <c r="AA43" i="1"/>
  <c r="AP44" i="1"/>
  <c r="W45" i="1"/>
  <c r="AA47" i="1"/>
  <c r="AC13" i="8"/>
  <c r="AC14" i="8"/>
  <c r="Y14" i="8"/>
  <c r="AO17" i="8"/>
  <c r="AH17" i="8"/>
  <c r="AP17" i="8"/>
  <c r="AC18" i="8"/>
  <c r="Y18" i="8"/>
  <c r="AA21" i="8"/>
  <c r="Y21" i="8"/>
  <c r="AC22" i="8"/>
  <c r="AA22" i="8"/>
  <c r="Y22" i="8"/>
  <c r="AF24" i="8"/>
  <c r="W24" i="8"/>
  <c r="AP10" i="9"/>
  <c r="AO10" i="9"/>
  <c r="AH10" i="9"/>
  <c r="AP12" i="9"/>
  <c r="AO12" i="9"/>
  <c r="AH12" i="9"/>
  <c r="AC13" i="9"/>
  <c r="AA13" i="9"/>
  <c r="Y13" i="9"/>
  <c r="AO23" i="9"/>
  <c r="AH23" i="9"/>
  <c r="AP23" i="9"/>
  <c r="AH22" i="1"/>
  <c r="AC23" i="1"/>
  <c r="AH26" i="1"/>
  <c r="AC27" i="1"/>
  <c r="AH30" i="1"/>
  <c r="AC31" i="1"/>
  <c r="AH34" i="1"/>
  <c r="AH38" i="1"/>
  <c r="AH42" i="1"/>
  <c r="AC43" i="1"/>
  <c r="AH46" i="1"/>
  <c r="AO46" i="1"/>
  <c r="AC9" i="8"/>
  <c r="W12" i="8"/>
  <c r="AA14" i="8"/>
  <c r="AF16" i="8"/>
  <c r="AA18" i="8"/>
  <c r="AA7" i="9"/>
  <c r="Y7" i="9"/>
  <c r="AC7" i="9"/>
  <c r="AC9" i="9"/>
  <c r="AA9" i="9"/>
  <c r="Y9" i="9"/>
  <c r="AP18" i="9"/>
  <c r="AO18" i="9"/>
  <c r="AH18" i="9"/>
  <c r="AP26" i="9"/>
  <c r="AO26" i="9"/>
  <c r="AH26" i="9"/>
  <c r="AP28" i="9"/>
  <c r="AO28" i="9"/>
  <c r="AH28" i="9"/>
  <c r="W8" i="8"/>
  <c r="AA10" i="8"/>
  <c r="Y13" i="8"/>
  <c r="AF13" i="8"/>
  <c r="W16" i="8"/>
  <c r="AP19" i="8"/>
  <c r="AO19" i="8"/>
  <c r="AH19" i="8"/>
  <c r="AC21" i="8"/>
  <c r="AF22" i="8"/>
  <c r="AP8" i="9"/>
  <c r="AO8" i="9"/>
  <c r="AH8" i="9"/>
  <c r="AA15" i="9"/>
  <c r="Y15" i="9"/>
  <c r="AC15" i="9"/>
  <c r="AP20" i="9"/>
  <c r="AO20" i="9"/>
  <c r="AH20" i="9"/>
  <c r="AH24" i="1"/>
  <c r="AH32" i="1"/>
  <c r="AH36" i="1"/>
  <c r="AH40" i="1"/>
  <c r="AH44" i="1"/>
  <c r="AF9" i="8"/>
  <c r="AF10" i="8"/>
  <c r="AC10" i="8"/>
  <c r="Y11" i="8"/>
  <c r="AH14" i="8"/>
  <c r="AO14" i="8"/>
  <c r="AO15" i="8"/>
  <c r="AH15" i="8"/>
  <c r="AP15" i="8"/>
  <c r="AH18" i="8"/>
  <c r="AO18" i="8"/>
  <c r="AF20" i="8"/>
  <c r="W20" i="8"/>
  <c r="AP23" i="8"/>
  <c r="AO23" i="8"/>
  <c r="AH23" i="8"/>
  <c r="AA11" i="9"/>
  <c r="Y11" i="9"/>
  <c r="AC11" i="9"/>
  <c r="AP14" i="9"/>
  <c r="AO14" i="9"/>
  <c r="AH14" i="9"/>
  <c r="AP16" i="9"/>
  <c r="AO16" i="9"/>
  <c r="AH16" i="9"/>
  <c r="AO19" i="9"/>
  <c r="AH19" i="9"/>
  <c r="AP19" i="9"/>
  <c r="AP22" i="9"/>
  <c r="AO22" i="9"/>
  <c r="AH22" i="9"/>
  <c r="AP24" i="9"/>
  <c r="AO24" i="9"/>
  <c r="AH24" i="9"/>
  <c r="AO27" i="9"/>
  <c r="AH27" i="9"/>
  <c r="AP27" i="9"/>
  <c r="Y8" i="9"/>
  <c r="AH9" i="9"/>
  <c r="AO9" i="9"/>
  <c r="Y12" i="9"/>
  <c r="AH13" i="9"/>
  <c r="AO13" i="9"/>
  <c r="Y16" i="9"/>
  <c r="AH17" i="9"/>
  <c r="AO17" i="9"/>
  <c r="W19" i="9"/>
  <c r="Y20" i="9"/>
  <c r="AA21" i="9"/>
  <c r="AH21" i="9"/>
  <c r="AO21" i="9"/>
  <c r="AC22" i="9"/>
  <c r="Y24" i="9"/>
  <c r="AA25" i="9"/>
  <c r="AH25" i="9"/>
  <c r="AO25" i="9"/>
  <c r="Y28" i="9"/>
  <c r="AA8" i="9"/>
  <c r="W10" i="9"/>
  <c r="AA12" i="9"/>
  <c r="W14" i="9"/>
  <c r="AA16" i="9"/>
  <c r="W18" i="9"/>
  <c r="AA20" i="9"/>
  <c r="AA24" i="9"/>
  <c r="AA28" i="9"/>
  <c r="AH21" i="8"/>
  <c r="AH7" i="9"/>
  <c r="AH11" i="9"/>
  <c r="AH15" i="9"/>
  <c r="AH48" i="1" l="1"/>
  <c r="Y42" i="1"/>
  <c r="AP17" i="1"/>
  <c r="AO17" i="1"/>
  <c r="AH17" i="1"/>
  <c r="AH28" i="1"/>
  <c r="AC35" i="1"/>
  <c r="AA35" i="1"/>
  <c r="AA38" i="1"/>
  <c r="Y38" i="1"/>
  <c r="AC38" i="1"/>
  <c r="Y8" i="1"/>
  <c r="AC8" i="1"/>
  <c r="AC47" i="1"/>
  <c r="AH27" i="1"/>
  <c r="AO10" i="1"/>
  <c r="AA34" i="1"/>
  <c r="Y34" i="1"/>
  <c r="AC34" i="1"/>
  <c r="AA18" i="1"/>
  <c r="AC18" i="1"/>
  <c r="Y18" i="1"/>
  <c r="AA39" i="1"/>
  <c r="AP28" i="1"/>
  <c r="AH41" i="1"/>
  <c r="AC39" i="1"/>
  <c r="AH10" i="1"/>
  <c r="AA22" i="1"/>
  <c r="Y22" i="1"/>
  <c r="AC22" i="1"/>
  <c r="AA14" i="1"/>
  <c r="AC14" i="1"/>
  <c r="Y14" i="1"/>
  <c r="Y18" i="9"/>
  <c r="AC18" i="9"/>
  <c r="AA18" i="9"/>
  <c r="AA19" i="9"/>
  <c r="Y19" i="9"/>
  <c r="AC19" i="9"/>
  <c r="Y14" i="9"/>
  <c r="AC14" i="9"/>
  <c r="AA14" i="9"/>
  <c r="Y20" i="8"/>
  <c r="AC20" i="8"/>
  <c r="AA20" i="8"/>
  <c r="AP9" i="8"/>
  <c r="AO9" i="8"/>
  <c r="AH9" i="8"/>
  <c r="AP22" i="8"/>
  <c r="AO22" i="8"/>
  <c r="AH22" i="8"/>
  <c r="AC12" i="8"/>
  <c r="AA12" i="8"/>
  <c r="Y12" i="8"/>
  <c r="AC41" i="1"/>
  <c r="AA41" i="1"/>
  <c r="Y41" i="1"/>
  <c r="AC25" i="1"/>
  <c r="AA25" i="1"/>
  <c r="Y25" i="1"/>
  <c r="AP15" i="1"/>
  <c r="AO15" i="1"/>
  <c r="AH15" i="1"/>
  <c r="AP10" i="8"/>
  <c r="AO10" i="8"/>
  <c r="AH10" i="8"/>
  <c r="AP20" i="8"/>
  <c r="AO20" i="8"/>
  <c r="AH20" i="8"/>
  <c r="Y16" i="8"/>
  <c r="AC16" i="8"/>
  <c r="AA16" i="8"/>
  <c r="AC8" i="8"/>
  <c r="Y8" i="8"/>
  <c r="AA8" i="8"/>
  <c r="Y24" i="8"/>
  <c r="AC24" i="8"/>
  <c r="AA24" i="8"/>
  <c r="AC45" i="1"/>
  <c r="AA45" i="1"/>
  <c r="Y45" i="1"/>
  <c r="AC29" i="1"/>
  <c r="AA29" i="1"/>
  <c r="Y29" i="1"/>
  <c r="AP19" i="1"/>
  <c r="AO19" i="1"/>
  <c r="AH19" i="1"/>
  <c r="AP7" i="1"/>
  <c r="AO7" i="1"/>
  <c r="AH7" i="1"/>
  <c r="Y10" i="9"/>
  <c r="AC10" i="9"/>
  <c r="AA10" i="9"/>
  <c r="AO13" i="8"/>
  <c r="AH13" i="8"/>
  <c r="AP13" i="8"/>
  <c r="AP16" i="8"/>
  <c r="AO16" i="8"/>
  <c r="AH16" i="8"/>
  <c r="AP24" i="8"/>
  <c r="AO24" i="8"/>
  <c r="AH24" i="8"/>
  <c r="AC33" i="1"/>
  <c r="AA33" i="1"/>
  <c r="Y33" i="1"/>
  <c r="AC21" i="1"/>
  <c r="Y21" i="1"/>
  <c r="AA21" i="1"/>
  <c r="AP13" i="1"/>
  <c r="AO13" i="1"/>
  <c r="AH13" i="1"/>
  <c r="AP11" i="1"/>
  <c r="AO11" i="1"/>
  <c r="AH11" i="1"/>
  <c r="AC37" i="1"/>
  <c r="AA37" i="1"/>
  <c r="Y37" i="1"/>
  <c r="AP21" i="1"/>
  <c r="AO21" i="1"/>
  <c r="AH21" i="1"/>
</calcChain>
</file>

<file path=xl/sharedStrings.xml><?xml version="1.0" encoding="utf-8"?>
<sst xmlns="http://schemas.openxmlformats.org/spreadsheetml/2006/main" count="749" uniqueCount="182">
  <si>
    <t>Job #</t>
  </si>
  <si>
    <t>Contract</t>
  </si>
  <si>
    <t>Project Manager</t>
  </si>
  <si>
    <t>Department</t>
  </si>
  <si>
    <t>Closed Status</t>
  </si>
  <si>
    <t>Base Contract</t>
  </si>
  <si>
    <t>Approved Change Orders</t>
  </si>
  <si>
    <t>(Work Done ) Outstanding Change Orders</t>
  </si>
  <si>
    <t>Outstanding Allowance</t>
  </si>
  <si>
    <t>Adjusted Contract Price</t>
  </si>
  <si>
    <t>Estimated Total Direct Costs</t>
  </si>
  <si>
    <t>Total Direct Budget</t>
  </si>
  <si>
    <t>Over/Under Budget</t>
  </si>
  <si>
    <t>Budgeted Gross Profit (Loss)</t>
  </si>
  <si>
    <t>Estimated Gross Profit (Loss)</t>
  </si>
  <si>
    <t>Estimated GP %</t>
  </si>
  <si>
    <t>Current GP %</t>
  </si>
  <si>
    <t>Direct Cost To Date</t>
  </si>
  <si>
    <t>% Complete</t>
  </si>
  <si>
    <t>Total Gross Profit Recognized To Date</t>
  </si>
  <si>
    <t>Gross Profit Recognized Prior Years</t>
  </si>
  <si>
    <t>Gross Profit (Loss) Recognized This Year</t>
  </si>
  <si>
    <t>Total Amount Billed To Date</t>
  </si>
  <si>
    <t>Remaining Billing Amount</t>
  </si>
  <si>
    <t>Retainage % Held</t>
  </si>
  <si>
    <t>Cash Received</t>
  </si>
  <si>
    <t>Net Cash Flow</t>
  </si>
  <si>
    <t>Costs and Estimated Earnings In Excess Of Billings</t>
  </si>
  <si>
    <t>Billings In Excess Of Costs And Estimated Earnings</t>
  </si>
  <si>
    <t>Current Retainage Amount</t>
  </si>
  <si>
    <t>Grand Totals:</t>
  </si>
  <si>
    <t>Count of Jobs:</t>
  </si>
  <si>
    <t>QU Original Budget</t>
  </si>
  <si>
    <t>CO Change Order Budget</t>
  </si>
  <si>
    <t>Original GP</t>
  </si>
  <si>
    <t>Change Order GP</t>
  </si>
  <si>
    <t>Prior Month1 GP</t>
  </si>
  <si>
    <t>Variance Month1 GP</t>
  </si>
  <si>
    <t>Prior Month2 GP</t>
  </si>
  <si>
    <t>Variance Month2 GP</t>
  </si>
  <si>
    <t>Prior Month3 GP</t>
  </si>
  <si>
    <t>Variance Month3 GP</t>
  </si>
  <si>
    <t>Customer</t>
  </si>
  <si>
    <t>Prior Year Incurred Cost</t>
  </si>
  <si>
    <t>Prior Year Billing</t>
  </si>
  <si>
    <t>AR</t>
  </si>
  <si>
    <t>AR Retainage</t>
  </si>
  <si>
    <t>AP</t>
  </si>
  <si>
    <t>AP Retainage</t>
  </si>
  <si>
    <t>Estimator</t>
  </si>
  <si>
    <t>Last Projection Date</t>
  </si>
  <si>
    <t>21-1001-</t>
  </si>
  <si>
    <t>CT DOT 108-0186 McNamee Construction Corp.</t>
  </si>
  <si>
    <t>McNamee Construction Corp.</t>
  </si>
  <si>
    <t/>
  </si>
  <si>
    <t>CONNECTICUT</t>
  </si>
  <si>
    <t>Y</t>
  </si>
  <si>
    <t>21-1002-</t>
  </si>
  <si>
    <t>CT DOT 51-272-R1 McNamee Construction Corp</t>
  </si>
  <si>
    <t>21-1003-</t>
  </si>
  <si>
    <t>CT DOT 163-196 McNamee Construction Corp</t>
  </si>
  <si>
    <t>21-1004-</t>
  </si>
  <si>
    <t>CT COT 78-092 McNamee Construction Corp</t>
  </si>
  <si>
    <t>21-1005-</t>
  </si>
  <si>
    <t>CT DOT 63-719 Rotha Contracting Co., Inc.</t>
  </si>
  <si>
    <t>Rotha Contracting Co., Inc.</t>
  </si>
  <si>
    <t>21-1006-</t>
  </si>
  <si>
    <t>CT DOT 42-0325 New England Infrastructure, Inc.</t>
  </si>
  <si>
    <t>New England Infrastructure, Inc.</t>
  </si>
  <si>
    <t>21-1007-</t>
  </si>
  <si>
    <t>CT DOT 146-199 Town of Vernon</t>
  </si>
  <si>
    <t>Town of Vernon</t>
  </si>
  <si>
    <t>21-1008-</t>
  </si>
  <si>
    <t>CT DOT 83-267 Mohawk Northeast, Inc.</t>
  </si>
  <si>
    <t>Mohawk Northeast, Inc.</t>
  </si>
  <si>
    <t>21-1009-</t>
  </si>
  <si>
    <t>HT.224.130 HOLLAND TUNNEL / TULLY CONST.</t>
  </si>
  <si>
    <t>Tully Construction Co., Inc.</t>
  </si>
  <si>
    <t>NEW YORK</t>
  </si>
  <si>
    <t>N</t>
  </si>
  <si>
    <t>21-1009- A</t>
  </si>
  <si>
    <t>Holland Tunnel Extra Work / Slade Industries</t>
  </si>
  <si>
    <t>Slade Industries, Inc.</t>
  </si>
  <si>
    <t>21-1010-</t>
  </si>
  <si>
    <t>NY Valhalla Boiler Tank</t>
  </si>
  <si>
    <t>Vahalla Tank</t>
  </si>
  <si>
    <t>21-1011-</t>
  </si>
  <si>
    <t>NYS DOT #D264563 - HEMPSTEAD - H&amp;L CONT.</t>
  </si>
  <si>
    <t>H &amp; L Contracting, LLC</t>
  </si>
  <si>
    <t>21-1013-</t>
  </si>
  <si>
    <t>CT DOT 0096-0200 Waters Construction Co.</t>
  </si>
  <si>
    <t>Waters Construction Co.</t>
  </si>
  <si>
    <t>21-1014-</t>
  </si>
  <si>
    <t>NR-42 Gas Holder NYC 2017-4 Welkin Construction</t>
  </si>
  <si>
    <t>Welkin Mechanical, LLC</t>
  </si>
  <si>
    <t>21-1015-</t>
  </si>
  <si>
    <t>CT DOT 63-0654 Mohawn Northeast, Inc.</t>
  </si>
  <si>
    <t>21-1016-</t>
  </si>
  <si>
    <t>Missouri Substation Painting Fort Kickapoo Substation</t>
  </si>
  <si>
    <t>MISSOURI</t>
  </si>
  <si>
    <t>21-1017-</t>
  </si>
  <si>
    <t>CT DOT 0154-0125 - ARBORIO CORP</t>
  </si>
  <si>
    <t>ARBORIO COROPORATION</t>
  </si>
  <si>
    <t>21-1018-</t>
  </si>
  <si>
    <t>HUNT'S POINT - DEAN ENERGY SOLUTIONS</t>
  </si>
  <si>
    <t>DEAN ENERGY SOLUTIONS</t>
  </si>
  <si>
    <t>21-1019-</t>
  </si>
  <si>
    <t>SIGNATURE BRIDGE NJDOT - CMC</t>
  </si>
  <si>
    <t>COMMODORE MAINTENANCE CORP</t>
  </si>
  <si>
    <t>NEW JERSEY</t>
  </si>
  <si>
    <t>21-1020-</t>
  </si>
  <si>
    <t>NY 17-530 REHAB VARIOUS BRIDGES WESTCHESTER - LAURA</t>
  </si>
  <si>
    <t>LAURA LI INDUSTRIES</t>
  </si>
  <si>
    <t>21-1021-</t>
  </si>
  <si>
    <t>MA DOT #117036 - Interstate 90 Bridges - MIG CORP.</t>
  </si>
  <si>
    <t>MIG CORPORATION, INC.</t>
  </si>
  <si>
    <t>MASSACHUSETTS</t>
  </si>
  <si>
    <t>22-1001-</t>
  </si>
  <si>
    <t>CRANES AT HOLTSVILLE GT - NATIONAL GRID</t>
  </si>
  <si>
    <t>National Grid</t>
  </si>
  <si>
    <t>22-1002-</t>
  </si>
  <si>
    <t>H-STREET BRIDGE REHABILITATION - MCNAMEE - PV</t>
  </si>
  <si>
    <t>22-1003-</t>
  </si>
  <si>
    <t>MOUNT OLIVE, NJ - LEAD PAINT REMOVAL ON WATER TANK - EBI</t>
  </si>
  <si>
    <t>EBI Consulting</t>
  </si>
  <si>
    <t>22-1004-</t>
  </si>
  <si>
    <t>CT DOT 0040-0141 / HADDAM / AMER. BRDGE.</t>
  </si>
  <si>
    <t>American Bridge Co.</t>
  </si>
  <si>
    <t>22-1005-</t>
  </si>
  <si>
    <t>RI DOT / #2022CB046 / AETNA BRIDGE CO.</t>
  </si>
  <si>
    <t>Aetna Bridge Company</t>
  </si>
  <si>
    <t>RHODE ISLAND</t>
  </si>
  <si>
    <t>22-1006-</t>
  </si>
  <si>
    <t>CT DOT 165-509 / WINDSOR LOCKS / ROTHA</t>
  </si>
  <si>
    <t>22-1007-</t>
  </si>
  <si>
    <t>RFK BRIDGE / COMMODORE MAINT.</t>
  </si>
  <si>
    <t>22-1008-</t>
  </si>
  <si>
    <t>CT DOT 170-3557 / MCNAMEE</t>
  </si>
  <si>
    <t>22-1009-</t>
  </si>
  <si>
    <t>CT DOT 170-3551 / ROTHA</t>
  </si>
  <si>
    <t>22-1010-</t>
  </si>
  <si>
    <t>CT DOT 0171-0484 / BEAM END REPAIRS / MCNAMEE</t>
  </si>
  <si>
    <t>22-1095-</t>
  </si>
  <si>
    <t>BRIDGE PAINTING OF SEVEN BRIDGES - CMC - PETER</t>
  </si>
  <si>
    <t>23-1000-</t>
  </si>
  <si>
    <t>NYC DOT HB1070QN / BREWER &amp; CROSS BAY / COMMODORE</t>
  </si>
  <si>
    <t>COMMODORE CONSTRUCTION CORP</t>
  </si>
  <si>
    <t>23-1001-</t>
  </si>
  <si>
    <t>NYPA COOLING TOWER / MACAN DEVE</t>
  </si>
  <si>
    <t>MACAN DEVE ENGINEERS, DPC</t>
  </si>
  <si>
    <t>23-1002-</t>
  </si>
  <si>
    <t>MA DOT #122517 - TEWKSBURY - NEL CORP.</t>
  </si>
  <si>
    <t>NEL Corp.</t>
  </si>
  <si>
    <t>24-1001-</t>
  </si>
  <si>
    <t>RK-19A / CMC / RFK BRIDGE PLATFORM</t>
  </si>
  <si>
    <t>24-1002-</t>
  </si>
  <si>
    <t>NYC DDC / HWK1669A / JRCRUZ</t>
  </si>
  <si>
    <t>JRCRUZ Corp.</t>
  </si>
  <si>
    <t>24-1003-</t>
  </si>
  <si>
    <t>RI DOT 2024CB018 / AETNA BRIDGE / LAFAYETTE BRIDGE REPAIRS</t>
  </si>
  <si>
    <t>24-1004-</t>
  </si>
  <si>
    <t>Emergency Repairs / Willimantic</t>
  </si>
  <si>
    <t>24-1005-</t>
  </si>
  <si>
    <t>CT DOT 0015-0339 / BRIDGE #02475 / BRIDGEPORT / MOHAWK</t>
  </si>
  <si>
    <t>25-1000-</t>
  </si>
  <si>
    <t>CT DOT 0053-0196 / ROUTE 2, GLASTONBURY / MCNAMEE</t>
  </si>
  <si>
    <t>25-1001-</t>
  </si>
  <si>
    <t>CT DOT CHURCH ST / MCNAMEE</t>
  </si>
  <si>
    <t>CT-    -</t>
  </si>
  <si>
    <t>CT Template</t>
  </si>
  <si>
    <t>MA-    -</t>
  </si>
  <si>
    <t>MA Template</t>
  </si>
  <si>
    <t>MO-    -</t>
  </si>
  <si>
    <t>MO Template</t>
  </si>
  <si>
    <t>NJ-    -</t>
  </si>
  <si>
    <t>NJ Template</t>
  </si>
  <si>
    <t>NY-    -</t>
  </si>
  <si>
    <t>NY Template</t>
  </si>
  <si>
    <t>RI-    -</t>
  </si>
  <si>
    <t>RI Template</t>
  </si>
  <si>
    <t>Department Totals:</t>
  </si>
  <si>
    <t>SUM from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</si>
</sst>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0"/>
      <color theme="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>
      <alignment vertical="top"/>
    </xf>
    <xf numFmtId="9" fontId="4" fillId="0" borderId="0">
      <alignment vertical="top"/>
    </xf>
    <xf numFmtId="9" fontId="4" fillId="0" borderId="0" applyFont="0" applyFill="0" applyBorder="0" applyAlignment="0" applyProtection="0"/>
  </cellStyleXfs>
  <cellXfs count="20"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quotePrefix="1" applyAlignment="1">
      <alignment vertical="top"/>
    </xf>
    <xf numFmtId="4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right" vertical="top"/>
    </xf>
    <xf numFmtId="14" fontId="0" fillId="0" borderId="0" xfId="0" applyNumberFormat="1" applyAlignment="1">
      <alignment vertical="top"/>
    </xf>
    <xf numFmtId="0" fontId="3" fillId="2" borderId="0" xfId="0" applyFont="1" applyFill="1" applyBorder="1" applyAlignment="1">
      <alignment horizontal="right" vertical="top"/>
    </xf>
    <xf numFmtId="39" fontId="0" fillId="0" borderId="0" xfId="0" applyNumberFormat="1" applyAlignment="1">
      <alignment vertical="top"/>
    </xf>
    <xf numFmtId="39" fontId="0" fillId="0" borderId="0" xfId="2" applyNumberFormat="1" applyFont="1" applyAlignment="1">
      <alignment vertical="top"/>
    </xf>
    <xf numFmtId="39" fontId="0" fillId="0" borderId="0" xfId="2" applyNumberFormat="1" applyFont="1" applyAlignment="1">
      <alignment vertical="top"/>
    </xf>
    <xf numFmtId="40" fontId="0" fillId="0" borderId="0" xfId="0" applyNumberFormat="1" applyAlignment="1">
      <alignment vertical="top"/>
    </xf>
    <xf numFmtId="40" fontId="0" fillId="0" borderId="0" xfId="2" applyNumberFormat="1" applyFont="1" applyAlignment="1">
      <alignment vertical="top"/>
    </xf>
    <xf numFmtId="40" fontId="4" fillId="0" borderId="0" xfId="1" applyNumberFormat="1" applyAlignment="1">
      <alignment vertical="top"/>
    </xf>
    <xf numFmtId="0" fontId="2" fillId="0" borderId="1" xfId="0" applyFont="1" applyBorder="1">
      <alignment vertical="top"/>
    </xf>
    <xf numFmtId="4" fontId="5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</cellXfs>
  <cellStyles count="3">
    <cellStyle name="Currency [0]" xfId="1" builtinId="7"/>
    <cellStyle name="Normal" xfId="0" builtinId="0"/>
    <cellStyle name="Percent" xfId="2" builtinId="5"/>
  </cellStyles>
  <dxfs count="9">
    <dxf>
      <border outline="0">
        <top style="thin">
          <color rgb="FF8EA9DB"/>
        </top>
      </border>
    </dxf>
    <dxf>
      <font>
        <color rgb="FFFF0000"/>
      </font>
    </dxf>
    <dxf>
      <font>
        <color rgb="FFFF0000"/>
      </font>
    </dxf>
    <dxf>
      <border outline="0">
        <top style="thin">
          <color rgb="FF8EA9DB"/>
        </top>
      </border>
    </dxf>
    <dxf>
      <font>
        <color rgb="FFFF0000"/>
      </font>
    </dxf>
    <dxf>
      <font>
        <color rgb="FFFF0000"/>
      </font>
    </dxf>
    <dxf>
      <border outline="0">
        <top style="thin">
          <color rgb="FF8EA9DB"/>
        </top>
      </border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32" displayName="Table132" ref="A6:AW52" totalsRowShown="0" tableBorderDxfId="6">
  <autoFilter ref="A6:AW52"/>
  <tableColumns count="49">
    <tableColumn id="1" name="Job #"/>
    <tableColumn id="2" name="Contract"/>
    <tableColumn id="42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Table132[[#This Row],[Adjusted Contract Price]]-Table132[[#This Row],[Base Contract]]-Table132[[#This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Table132[[#This Row],[Base Contract]]-Table132[[#This Row],[QU Original Budget]]</calculatedColumnFormula>
    </tableColumn>
    <tableColumn id="31" name="Change Order GP">
      <calculatedColumnFormula>Table132[[#This Row],[Approved Change Orders]]-Table132[[#This Row],[CO Change Order Budget]]</calculatedColumnFormula>
    </tableColumn>
    <tableColumn id="12" name="Total Direct Budget"/>
    <tableColumn id="13" name="Over/Under Budget">
      <calculatedColumnFormula>Table132[[#This Row],[Total Direct Budget]]-Table132[[#This Row],[Estimated Total Direct Costs]]</calculatedColumnFormula>
    </tableColumn>
    <tableColumn id="14" name="Budgeted Gross Profit (Loss)">
      <calculatedColumnFormula>+Table132[[#This Row],[Adjusted Contract Price]]-Table132[[#This Row],[Total Direct Budget]]</calculatedColumnFormula>
    </tableColumn>
    <tableColumn id="15" name="Estimated Gross Profit (Loss)">
      <calculatedColumnFormula>+Table132[[#This Row],[Adjusted Contract Price]]-Table132[[#This Row],[Estimated Total Direct Costs]]</calculatedColumnFormula>
    </tableColumn>
    <tableColumn id="16" name="Estimated GP %">
      <calculatedColumnFormula>IF(Table132[[#This Row],[Adjusted Contract Price]]=0,0,+Table132[[#This Row],[Budgeted Gross Profit (Loss)]]/Table132[[#This Row],[Adjusted Contract Price]])</calculatedColumnFormula>
    </tableColumn>
    <tableColumn id="17" name="Current GP %">
      <calculatedColumnFormula>IF(Table132[[#This Row],[Adjusted Contract Price]]=0,0,+Table132[[#This Row],[Estimated Gross Profit (Loss)]]/Table132[[#This Row],[Adjusted Contract Price]])</calculatedColumnFormula>
    </tableColumn>
    <tableColumn id="39" name="Prior Month1 GP"/>
    <tableColumn id="40" name="Variance Month1 GP">
      <calculatedColumnFormula>Table132[[#This Row],[Current GP %]]-Table132[[#This Row],[Prior Month1 GP]]</calculatedColumnFormula>
    </tableColumn>
    <tableColumn id="37" name="Prior Month2 GP"/>
    <tableColumn id="38" name="Variance Month2 GP">
      <calculatedColumnFormula>Table132[[#This Row],[Current GP %]]-Table132[[#This Row],[Prior Month2 GP]]</calculatedColumnFormula>
    </tableColumn>
    <tableColumn id="36" name="Prior Month3 GP"/>
    <tableColumn id="35" name="Variance Month3 GP">
      <calculatedColumnFormula>Table132[[#This Row],[Current GP %]]-Table132[[#This Row],[Prior Month3 GP]]</calculatedColumnFormula>
    </tableColumn>
    <tableColumn id="18" name="Direct Cost To Date"/>
    <tableColumn id="19" name="% Complete">
      <calculatedColumnFormula>IF(Table132[[#This Row],[Estimated Total Direct Costs]]=0,0,+Table132[[#This Row],[Direct Cost To Date]]/Table132[[#This Row],[Estimated Total Direct Costs]])</calculatedColumnFormula>
    </tableColumn>
    <tableColumn id="20" name="Total Gross Profit Recognized To Date">
      <calculatedColumnFormula>+Table132[[#This Row],[Estimated Gross Profit (Loss)]]*Table132[[#This Row],[% Complete]]</calculatedColumnFormula>
    </tableColumn>
    <tableColumn id="21" name="Gross Profit Recognized Prior Years"/>
    <tableColumn id="22" name="Gross Profit (Loss) Recognized This Year">
      <calculatedColumnFormula>+Table132[[#This Row],[Total Gross Profit Recognized To Date]]-Table132[[#This Row],[Gross Profit Recognized Prior Years]]</calculatedColumnFormula>
    </tableColumn>
    <tableColumn id="23" name="Total Amount Billed To Date"/>
    <tableColumn id="24" name="Remaining Billing Amount">
      <calculatedColumnFormula>Table132[[#This Row],[Adjusted Contract Price]]-Table132[[#This Row],[Total Amount Billed To Date]]</calculatedColumnFormula>
    </tableColumn>
    <tableColumn id="25" name="Current Retainage Amount"/>
    <tableColumn id="26" name="Retainage % Held">
      <calculatedColumnFormula>IF(Table132[[#This Row],[Total Amount Billed To Date]]=0,0,+Table132[[#This Row],[Current Retainage Amount]]/Table132[[#This Row],[Total Amount Billed To Date]])</calculatedColumnFormula>
    </tableColumn>
    <tableColumn id="27" name="Cash Received"/>
    <tableColumn id="28" name="Net Cash Flow">
      <calculatedColumnFormula>Table132[[#This Row],[Cash Received]]-Table132[[#This Row],[Direct Cost To Date]]</calculatedColumnFormula>
    </tableColumn>
    <tableColumn id="29" name="Costs and Estimated Earnings In Excess Of Billings">
      <calculatedColumnFormula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calculatedColumnFormula>
    </tableColumn>
    <tableColumn id="30" name="Billings In Excess Of Costs And Estimated Earnings">
      <calculatedColumnFormula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calculatedColumnFormula>
    </tableColumn>
    <tableColumn id="45" name="Prior Year Incurred Cost">
      <calculatedColumnFormula>Table132[[#This Row],[Cash Received]]-Table132[[#This Row],[Direct Cost To Date]]</calculatedColumnFormula>
    </tableColumn>
    <tableColumn id="46" name="Prior Year Billing">
      <calculatedColumnFormula>Table132[[#This Row],[Cash Received]]-Table132[[#This Row],[Direct Cost To Date]]</calculatedColumnFormula>
    </tableColumn>
    <tableColumn id="47" name="AR">
      <calculatedColumnFormula>Table132[[#This Row],[Cash Received]]-Table132[[#This Row],[Direct Cost To Date]]</calculatedColumnFormula>
    </tableColumn>
    <tableColumn id="41" name="AR Retainage">
      <calculatedColumnFormula>Table132[[#This Row],[Cash Received]]-Table132[[#This Row],[Direct Cost To Date]]</calculatedColumnFormula>
    </tableColumn>
    <tableColumn id="43" name="AP">
      <calculatedColumnFormula>Table132[[#This Row],[Cash Received]]-Table132[[#This Row],[Direct Cost To Date]]</calculatedColumnFormula>
    </tableColumn>
    <tableColumn id="44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132810" displayName="Table132810" ref="A6:AW27" totalsRowShown="0" tableBorderDxfId="3">
  <autoFilter ref="A6:AW27"/>
  <tableColumns count="49">
    <tableColumn id="1" name="Job #"/>
    <tableColumn id="2" name="Contract"/>
    <tableColumn id="41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Table132810[[#This Row],[Adjusted Contract Price]]-Table132810[[#This Row],[Base Contract]]-Table132810[[#This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Table132810[[#This Row],[Base Contract]]-Table132810[[#This Row],[QU Original Budget]]</calculatedColumnFormula>
    </tableColumn>
    <tableColumn id="31" name="Change Order GP">
      <calculatedColumnFormula>Table132810[[#This Row],[Approved Change Orders]]-Table132810[[#This Row],[CO Change Order Budget]]</calculatedColumnFormula>
    </tableColumn>
    <tableColumn id="12" name="Total Direct Budget"/>
    <tableColumn id="13" name="Over/Under Budget">
      <calculatedColumnFormula>Table132810[[#This Row],[Total Direct Budget]]-Table132810[[#This Row],[Estimated Total Direct Costs]]</calculatedColumnFormula>
    </tableColumn>
    <tableColumn id="14" name="Budgeted Gross Profit (Loss)">
      <calculatedColumnFormula>+Table132810[[#This Row],[Adjusted Contract Price]]-Table132810[[#This Row],[Total Direct Budget]]</calculatedColumnFormula>
    </tableColumn>
    <tableColumn id="15" name="Estimated Gross Profit (Loss)">
      <calculatedColumnFormula>+Table132810[[#This Row],[Adjusted Contract Price]]-Table132810[[#This Row],[Estimated Total Direct Costs]]</calculatedColumnFormula>
    </tableColumn>
    <tableColumn id="16" name="Estimated GP %">
      <calculatedColumnFormula>IF(Table132810[[#This Row],[Adjusted Contract Price]]=0,0,+Table132810[[#This Row],[Budgeted Gross Profit (Loss)]]/Table132810[[#This Row],[Adjusted Contract Price]])</calculatedColumnFormula>
    </tableColumn>
    <tableColumn id="17" name="Current GP %">
      <calculatedColumnFormula>IF(Table132810[[#This Row],[Adjusted Contract Price]]=0,0,+Table132810[[#This Row],[Estimated Gross Profit (Loss)]]/Table132810[[#This Row],[Adjusted Contract Price]])</calculatedColumnFormula>
    </tableColumn>
    <tableColumn id="39" name="Prior Month1 GP"/>
    <tableColumn id="40" name="Variance Month1 GP">
      <calculatedColumnFormula>Table132810[[#This Row],[Current GP %]]-Table132810[[#This Row],[Prior Month1 GP]]</calculatedColumnFormula>
    </tableColumn>
    <tableColumn id="37" name="Prior Month2 GP"/>
    <tableColumn id="38" name="Variance Month2 GP">
      <calculatedColumnFormula>Table132810[[#This Row],[Current GP %]]-Table132810[[#This Row],[Prior Month2 GP]]</calculatedColumnFormula>
    </tableColumn>
    <tableColumn id="36" name="Prior Month3 GP"/>
    <tableColumn id="35" name="Variance Month3 GP">
      <calculatedColumnFormula>Table132810[[#This Row],[Current GP %]]-Table132810[[#This Row],[Prior Month3 GP]]</calculatedColumnFormula>
    </tableColumn>
    <tableColumn id="18" name="Direct Cost To Date"/>
    <tableColumn id="19" name="% Complete">
      <calculatedColumnFormula>IF(Table132810[[#This Row],[Estimated Total Direct Costs]]=0,0,+Table132810[[#This Row],[Direct Cost To Date]]/Table132810[[#This Row],[Estimated Total Direct Costs]])</calculatedColumnFormula>
    </tableColumn>
    <tableColumn id="20" name="Total Gross Profit Recognized To Date">
      <calculatedColumnFormula>+Table132810[[#This Row],[Estimated Gross Profit (Loss)]]*Table132810[[#This Row],[% Complete]]</calculatedColumnFormula>
    </tableColumn>
    <tableColumn id="21" name="Gross Profit Recognized Prior Years"/>
    <tableColumn id="22" name="Gross Profit (Loss) Recognized This Year">
      <calculatedColumnFormula>+Table132810[[#This Row],[Total Gross Profit Recognized To Date]]-Table132810[[#This Row],[Gross Profit Recognized Prior Years]]</calculatedColumnFormula>
    </tableColumn>
    <tableColumn id="23" name="Total Amount Billed To Date"/>
    <tableColumn id="24" name="Remaining Billing Amount">
      <calculatedColumnFormula>Table132810[[#This Row],[Adjusted Contract Price]]-Table132810[[#This Row],[Total Amount Billed To Date]]</calculatedColumnFormula>
    </tableColumn>
    <tableColumn id="25" name="Current Retainage Amount"/>
    <tableColumn id="26" name="Retainage % Held">
      <calculatedColumnFormula>IF(Table132810[[#This Row],[Total Amount Billed To Date]]=0,0,+Table132810[[#This Row],[Current Retainage Amount]]/Table132810[[#This Row],[Total Amount Billed To Date]])</calculatedColumnFormula>
    </tableColumn>
    <tableColumn id="27" name="Cash Received"/>
    <tableColumn id="28" name="Net Cash Flow">
      <calculatedColumnFormula>Table132810[[#This Row],[Cash Received]]-Table132810[[#This Row],[Direct Cost To Date]]</calculatedColumnFormula>
    </tableColumn>
    <tableColumn id="29" name="Costs and Estimated Earnings In Excess Of Billings">
      <calculatedColumnFormula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calculatedColumnFormula>
    </tableColumn>
    <tableColumn id="30" name="Billings In Excess Of Costs And Estimated Earnings">
      <calculatedColumnFormula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calculatedColumnFormula>
    </tableColumn>
    <tableColumn id="42" name="Prior Year Incurred Cost">
      <calculatedColumnFormula>Table132[[#This Row],[Cash Received]]-Table132[[#This Row],[Direct Cost To Date]]</calculatedColumnFormula>
    </tableColumn>
    <tableColumn id="43" name="Prior Year Billing">
      <calculatedColumnFormula>Table132[[#This Row],[Cash Received]]-Table132[[#This Row],[Direct Cost To Date]]</calculatedColumnFormula>
    </tableColumn>
    <tableColumn id="44" name="AR">
      <calculatedColumnFormula>Table132[[#This Row],[Cash Received]]-Table132[[#This Row],[Direct Cost To Date]]</calculatedColumnFormula>
    </tableColumn>
    <tableColumn id="45" name="AR Retainage">
      <calculatedColumnFormula>Table132[[#This Row],[Cash Received]]-Table132[[#This Row],[Direct Cost To Date]]</calculatedColumnFormula>
    </tableColumn>
    <tableColumn id="46" name="AP">
      <calculatedColumnFormula>Table132[[#This Row],[Cash Received]]-Table132[[#This Row],[Direct Cost To Date]]</calculatedColumnFormula>
    </tableColumn>
    <tableColumn id="47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28103" displayName="Table1328103" ref="A6:AW31" totalsRowShown="0" tableBorderDxfId="0">
  <autoFilter ref="A6:AW31"/>
  <tableColumns count="49">
    <tableColumn id="1" name="Job #"/>
    <tableColumn id="2" name="Contract"/>
    <tableColumn id="41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Table1328103[[#This Row],[Adjusted Contract Price]]-Table1328103[[#This Row],[Base Contract]]-Table1328103[[#This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Table1328103[[#This Row],[Base Contract]]-Table1328103[[#This Row],[QU Original Budget]]</calculatedColumnFormula>
    </tableColumn>
    <tableColumn id="31" name="Change Order GP">
      <calculatedColumnFormula>Table1328103[[#This Row],[Approved Change Orders]]-Table1328103[[#This Row],[CO Change Order Budget]]</calculatedColumnFormula>
    </tableColumn>
    <tableColumn id="12" name="Total Direct Budget"/>
    <tableColumn id="13" name="Over/Under Budget">
      <calculatedColumnFormula>Table1328103[[#This Row],[Total Direct Budget]]-Table1328103[[#This Row],[Estimated Total Direct Costs]]</calculatedColumnFormula>
    </tableColumn>
    <tableColumn id="14" name="Budgeted Gross Profit (Loss)">
      <calculatedColumnFormula>+Table1328103[[#This Row],[Adjusted Contract Price]]-Table1328103[[#This Row],[Total Direct Budget]]</calculatedColumnFormula>
    </tableColumn>
    <tableColumn id="15" name="Estimated Gross Profit (Loss)">
      <calculatedColumnFormula>+Table1328103[[#This Row],[Adjusted Contract Price]]-Table1328103[[#This Row],[Estimated Total Direct Costs]]</calculatedColumnFormula>
    </tableColumn>
    <tableColumn id="16" name="Estimated GP %">
      <calculatedColumnFormula>IF(Table1328103[[#This Row],[Adjusted Contract Price]]=0,0,+Table1328103[[#This Row],[Budgeted Gross Profit (Loss)]]/Table1328103[[#This Row],[Adjusted Contract Price]])</calculatedColumnFormula>
    </tableColumn>
    <tableColumn id="17" name="Current GP %">
      <calculatedColumnFormula>IF(Table1328103[[#This Row],[Adjusted Contract Price]]=0,0,+Table1328103[[#This Row],[Estimated Gross Profit (Loss)]]/Table1328103[[#This Row],[Adjusted Contract Price]])</calculatedColumnFormula>
    </tableColumn>
    <tableColumn id="39" name="Prior Month1 GP"/>
    <tableColumn id="40" name="Variance Month1 GP">
      <calculatedColumnFormula>Table1328103[[#This Row],[Current GP %]]-Table1328103[[#This Row],[Prior Month1 GP]]</calculatedColumnFormula>
    </tableColumn>
    <tableColumn id="37" name="Prior Month2 GP"/>
    <tableColumn id="38" name="Variance Month2 GP">
      <calculatedColumnFormula>Table1328103[[#This Row],[Current GP %]]-Table1328103[[#This Row],[Prior Month2 GP]]</calculatedColumnFormula>
    </tableColumn>
    <tableColumn id="36" name="Prior Month3 GP"/>
    <tableColumn id="35" name="Variance Month3 GP">
      <calculatedColumnFormula>Table1328103[[#This Row],[Current GP %]]-Table1328103[[#This Row],[Prior Month3 GP]]</calculatedColumnFormula>
    </tableColumn>
    <tableColumn id="18" name="Direct Cost To Date"/>
    <tableColumn id="19" name="% Complete">
      <calculatedColumnFormula>IF(Table1328103[[#This Row],[Estimated Total Direct Costs]]=0,0,+Table1328103[[#This Row],[Direct Cost To Date]]/Table1328103[[#This Row],[Estimated Total Direct Costs]])</calculatedColumnFormula>
    </tableColumn>
    <tableColumn id="20" name="Total Gross Profit Recognized To Date">
      <calculatedColumnFormula>+Table1328103[[#This Row],[Estimated Gross Profit (Loss)]]*Table1328103[[#This Row],[% Complete]]</calculatedColumnFormula>
    </tableColumn>
    <tableColumn id="21" name="Gross Profit Recognized Prior Years"/>
    <tableColumn id="22" name="Gross Profit (Loss) Recognized This Year">
      <calculatedColumnFormula>+Table1328103[[#This Row],[Total Gross Profit Recognized To Date]]-Table1328103[[#This Row],[Gross Profit Recognized Prior Years]]</calculatedColumnFormula>
    </tableColumn>
    <tableColumn id="23" name="Total Amount Billed To Date"/>
    <tableColumn id="24" name="Remaining Billing Amount">
      <calculatedColumnFormula>Table1328103[[#This Row],[Adjusted Contract Price]]-Table1328103[[#This Row],[Total Amount Billed To Date]]</calculatedColumnFormula>
    </tableColumn>
    <tableColumn id="25" name="Current Retainage Amount"/>
    <tableColumn id="26" name="Retainage % Held">
      <calculatedColumnFormula>IF(Table1328103[[#This Row],[Total Amount Billed To Date]]=0,0,+Table1328103[[#This Row],[Current Retainage Amount]]/Table1328103[[#This Row],[Total Amount Billed To Date]])</calculatedColumnFormula>
    </tableColumn>
    <tableColumn id="27" name="Cash Received"/>
    <tableColumn id="28" name="Net Cash Flow">
      <calculatedColumnFormula>Table1328103[[#This Row],[Cash Received]]-Table1328103[[#This Row],[Direct Cost To Date]]</calculatedColumnFormula>
    </tableColumn>
    <tableColumn id="29" name="Costs and Estimated Earnings In Excess Of Billings">
      <calculatedColumnFormula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calculatedColumnFormula>
    </tableColumn>
    <tableColumn id="30" name="Billings In Excess Of Costs And Estimated Earnings">
      <calculatedColumnFormula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calculatedColumnFormula>
    </tableColumn>
    <tableColumn id="42" name="Prior Year Incurred Cost">
      <calculatedColumnFormula>Table132[[#This Row],[Cash Received]]-Table132[[#This Row],[Direct Cost To Date]]</calculatedColumnFormula>
    </tableColumn>
    <tableColumn id="43" name="Prior Year Billing">
      <calculatedColumnFormula>Table132[[#This Row],[Cash Received]]-Table132[[#This Row],[Direct Cost To Date]]</calculatedColumnFormula>
    </tableColumn>
    <tableColumn id="44" name="AR">
      <calculatedColumnFormula>Table132[[#This Row],[Cash Received]]-Table132[[#This Row],[Direct Cost To Date]]</calculatedColumnFormula>
    </tableColumn>
    <tableColumn id="45" name="AR Retainage">
      <calculatedColumnFormula>Table132[[#This Row],[Cash Received]]-Table132[[#This Row],[Direct Cost To Date]]</calculatedColumnFormula>
    </tableColumn>
    <tableColumn id="46" name="AP">
      <calculatedColumnFormula>Table132[[#This Row],[Cash Received]]-Table132[[#This Row],[Direct Cost To Date]]</calculatedColumnFormula>
    </tableColumn>
    <tableColumn id="47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W1346"/>
  <sheetViews>
    <sheetView topLeftCell="C47" workbookViewId="0">
      <selection activeCell="F54" sqref="F54:I58"/>
    </sheetView>
  </sheetViews>
  <sheetFormatPr defaultColWidth="6.85546875" defaultRowHeight="12.75" x14ac:dyDescent="0.2"/>
  <cols>
    <col min="1" max="1" width="12.85546875" bestFit="1" customWidth="1"/>
    <col min="2" max="2" width="11.42578125" bestFit="1" customWidth="1"/>
    <col min="3" max="3" width="11.85546875" bestFit="1" customWidth="1"/>
    <col min="4" max="4" width="18.42578125" bestFit="1" customWidth="1"/>
    <col min="5" max="5" width="22.28515625" bestFit="1" customWidth="1"/>
    <col min="6" max="7" width="17.7109375" bestFit="1" customWidth="1"/>
    <col min="8" max="8" width="24.42578125" bestFit="1" customWidth="1"/>
    <col min="9" max="9" width="39.42578125" bestFit="1" customWidth="1"/>
    <col min="10" max="10" width="22.5703125" bestFit="1" customWidth="1"/>
    <col min="11" max="11" width="22.85546875" bestFit="1" customWidth="1"/>
    <col min="12" max="12" width="26.85546875" bestFit="1" customWidth="1"/>
    <col min="13" max="13" width="19" bestFit="1" customWidth="1"/>
    <col min="14" max="14" width="24.5703125" bestFit="1" customWidth="1"/>
    <col min="15" max="15" width="12.28515625" bestFit="1" customWidth="1"/>
    <col min="16" max="16" width="17.28515625" customWidth="1"/>
    <col min="17" max="17" width="18.85546875" bestFit="1" customWidth="1"/>
    <col min="18" max="18" width="18.7109375" bestFit="1" customWidth="1"/>
    <col min="19" max="19" width="27.140625" bestFit="1" customWidth="1"/>
    <col min="20" max="20" width="27.28515625" bestFit="1" customWidth="1"/>
    <col min="21" max="21" width="15.42578125" bestFit="1" customWidth="1"/>
    <col min="22" max="22" width="13.2851562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8515625" bestFit="1" customWidth="1"/>
    <col min="31" max="31" width="36.42578125" bestFit="1" customWidth="1"/>
    <col min="32" max="32" width="34.28515625" bestFit="1" customWidth="1"/>
    <col min="33" max="33" width="38.5703125" bestFit="1" customWidth="1"/>
    <col min="34" max="34" width="27.28515625" bestFit="1" customWidth="1"/>
    <col min="35" max="35" width="25.42578125" bestFit="1" customWidth="1"/>
    <col min="36" max="36" width="25.85546875" bestFit="1" customWidth="1"/>
    <col min="37" max="37" width="17.42578125" bestFit="1" customWidth="1"/>
    <col min="38" max="38" width="14.7109375" bestFit="1" customWidth="1"/>
    <col min="39" max="39" width="14.28515625" bestFit="1" customWidth="1"/>
    <col min="40" max="40" width="47.85546875" bestFit="1" customWidth="1"/>
    <col min="41" max="41" width="48" bestFit="1" customWidth="1"/>
    <col min="42" max="42" width="23.28515625" bestFit="1" customWidth="1"/>
    <col min="43" max="43" width="16.85546875" bestFit="1" customWidth="1"/>
    <col min="44" max="44" width="10.7109375" bestFit="1" customWidth="1"/>
    <col min="45" max="46" width="13.7109375" bestFit="1" customWidth="1"/>
    <col min="47" max="47" width="10.7109375" bestFit="1" customWidth="1"/>
    <col min="48" max="48" width="13.7109375" bestFit="1" customWidth="1"/>
    <col min="49" max="49" width="19.5703125" bestFit="1" customWidth="1"/>
  </cols>
  <sheetData>
    <row r="1" spans="1:49" ht="12.75" customHeight="1" x14ac:dyDescent="0.2">
      <c r="A1" s="19" t="e">
        <f ca="1">MID(CELL("filename"),SEARCH("_C",CELL("filename"))+1,FIND(".",CELL("filename")) - SEARCH("_C",CELL("filename")))</f>
        <v>#VALUE!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9" ht="12.75" customHeight="1" x14ac:dyDescent="0.2">
      <c r="A2" s="19" t="str">
        <f ca="1">RIGHT(CELL("filename"),LEN(CELL("filename"))-FIND("]",CELL("filename")))</f>
        <v>Active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9" ht="12.75" customHeight="1" x14ac:dyDescent="0.2">
      <c r="A3" s="19" t="str">
        <f ca="1">CONCATENATE("For The Period Ended ", MID(CELL("filename"), SEARCH("._",CELL("filename"))+2,SEARCH(".xlsx",CELL("filename")) - SEARCH("._",CELL("filename"))-2))</f>
        <v>For The Period Ended 2025-03-31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49" ht="12.75" customHeight="1" x14ac:dyDescent="0.2">
      <c r="A4" t="s">
        <v>31</v>
      </c>
      <c r="B4" s="4">
        <f>IF(D7 = "ZACK HASANOV", 0, COUNTA(A7:A10039))</f>
        <v>42</v>
      </c>
    </row>
    <row r="5" spans="1:49" ht="12.75" customHeight="1" x14ac:dyDescent="0.2">
      <c r="B5" s="4"/>
    </row>
    <row r="6" spans="1:49" ht="12.75" customHeight="1" x14ac:dyDescent="0.2">
      <c r="A6" s="5" t="s">
        <v>0</v>
      </c>
      <c r="B6" s="6" t="s">
        <v>1</v>
      </c>
      <c r="C6" s="6" t="s">
        <v>42</v>
      </c>
      <c r="D6" s="6" t="s">
        <v>2</v>
      </c>
      <c r="E6" s="6" t="s">
        <v>49</v>
      </c>
      <c r="F6" s="6" t="s">
        <v>3</v>
      </c>
      <c r="G6" s="6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32</v>
      </c>
      <c r="O6" s="7" t="s">
        <v>33</v>
      </c>
      <c r="P6" s="7" t="s">
        <v>34</v>
      </c>
      <c r="Q6" s="7" t="s">
        <v>35</v>
      </c>
      <c r="R6" s="7" t="s">
        <v>11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7" t="s">
        <v>36</v>
      </c>
      <c r="Y6" s="7" t="s">
        <v>37</v>
      </c>
      <c r="Z6" s="7" t="s">
        <v>38</v>
      </c>
      <c r="AA6" s="7" t="s">
        <v>39</v>
      </c>
      <c r="AB6" s="7" t="s">
        <v>40</v>
      </c>
      <c r="AC6" s="7" t="s">
        <v>41</v>
      </c>
      <c r="AD6" s="7" t="s">
        <v>17</v>
      </c>
      <c r="AE6" s="7" t="s">
        <v>18</v>
      </c>
      <c r="AF6" s="7" t="s">
        <v>19</v>
      </c>
      <c r="AG6" s="7" t="s">
        <v>20</v>
      </c>
      <c r="AH6" s="7" t="s">
        <v>21</v>
      </c>
      <c r="AI6" s="7" t="s">
        <v>22</v>
      </c>
      <c r="AJ6" s="7" t="s">
        <v>23</v>
      </c>
      <c r="AK6" s="7" t="s">
        <v>29</v>
      </c>
      <c r="AL6" s="7" t="s">
        <v>24</v>
      </c>
      <c r="AM6" s="7" t="s">
        <v>25</v>
      </c>
      <c r="AN6" s="7" t="s">
        <v>26</v>
      </c>
      <c r="AO6" s="7" t="s">
        <v>27</v>
      </c>
      <c r="AP6" s="8" t="s">
        <v>28</v>
      </c>
      <c r="AQ6" s="7" t="s">
        <v>43</v>
      </c>
      <c r="AR6" s="7" t="s">
        <v>44</v>
      </c>
      <c r="AS6" s="7" t="s">
        <v>45</v>
      </c>
      <c r="AT6" s="7" t="s">
        <v>46</v>
      </c>
      <c r="AU6" s="7" t="s">
        <v>47</v>
      </c>
      <c r="AV6" s="7" t="s">
        <v>48</v>
      </c>
      <c r="AW6" s="7" t="s">
        <v>50</v>
      </c>
    </row>
    <row r="7" spans="1:49" ht="12.75" customHeight="1" x14ac:dyDescent="0.2">
      <c r="A7" t="s">
        <v>51</v>
      </c>
      <c r="B7" t="s">
        <v>52</v>
      </c>
      <c r="C7" t="s">
        <v>53</v>
      </c>
      <c r="D7" t="s">
        <v>54</v>
      </c>
      <c r="E7" t="s">
        <v>54</v>
      </c>
      <c r="F7" t="s">
        <v>55</v>
      </c>
      <c r="G7" s="2" t="s">
        <v>56</v>
      </c>
      <c r="H7" s="11">
        <v>1386800</v>
      </c>
      <c r="I7" s="11">
        <v>138412.82</v>
      </c>
      <c r="J7" s="11">
        <f>Table132[[#This Row],[Adjusted Contract Price]]-Table132[[#This Row],[Base Contract]]-Table132[[#This Row],[Approved Change Orders]]</f>
        <v>0</v>
      </c>
      <c r="K7" s="11"/>
      <c r="L7" s="11">
        <v>1525212.82</v>
      </c>
      <c r="M7" s="11">
        <v>1092176</v>
      </c>
      <c r="N7" s="11">
        <v>1097168</v>
      </c>
      <c r="O7" s="11">
        <v>93510.05</v>
      </c>
      <c r="P7" s="11">
        <f>Table132[[#This Row],[Base Contract]]-Table132[[#This Row],[QU Original Budget]]</f>
        <v>289632</v>
      </c>
      <c r="Q7" s="11">
        <f>Table132[[#This Row],[Approved Change Orders]]-Table132[[#This Row],[CO Change Order Budget]]</f>
        <v>44902.770000000004</v>
      </c>
      <c r="R7" s="11">
        <v>1190678.05</v>
      </c>
      <c r="S7" s="11">
        <f>Table132[[#This Row],[Total Direct Budget]]-Table132[[#This Row],[Estimated Total Direct Costs]]</f>
        <v>98502.050000000047</v>
      </c>
      <c r="T7" s="11">
        <f>+Table132[[#This Row],[Adjusted Contract Price]]-Table132[[#This Row],[Total Direct Budget]]</f>
        <v>334534.77</v>
      </c>
      <c r="U7" s="11">
        <f>+Table132[[#This Row],[Adjusted Contract Price]]-Table132[[#This Row],[Estimated Total Direct Costs]]</f>
        <v>433036.82000000007</v>
      </c>
      <c r="V7" s="12">
        <f>IF(Table132[[#This Row],[Adjusted Contract Price]]=0,0,+Table132[[#This Row],[Budgeted Gross Profit (Loss)]]/Table132[[#This Row],[Adjusted Contract Price]])</f>
        <v>0.21933645299414675</v>
      </c>
      <c r="W7" s="12">
        <f>IF(Table132[[#This Row],[Adjusted Contract Price]]=0,0,+Table132[[#This Row],[Estimated Gross Profit (Loss)]]/Table132[[#This Row],[Adjusted Contract Price]])</f>
        <v>0.28391894843894638</v>
      </c>
      <c r="X7" s="12">
        <v>0.780663</v>
      </c>
      <c r="Y7" s="12">
        <f>Table132[[#This Row],[Current GP %]]-Table132[[#This Row],[Prior Month1 GP]]</f>
        <v>-0.49674405156105361</v>
      </c>
      <c r="Z7" s="12">
        <v>0.780663</v>
      </c>
      <c r="AA7" s="12">
        <f>Table132[[#This Row],[Current GP %]]-Table132[[#This Row],[Prior Month2 GP]]</f>
        <v>-0.49674405156105361</v>
      </c>
      <c r="AB7" s="12">
        <v>0.780663</v>
      </c>
      <c r="AC7" s="12">
        <f>Table132[[#This Row],[Current GP %]]-Table132[[#This Row],[Prior Month3 GP]]</f>
        <v>-0.49674405156105361</v>
      </c>
      <c r="AD7" s="11">
        <v>1092176</v>
      </c>
      <c r="AE7" s="13">
        <f>IF(Table132[[#This Row],[Estimated Total Direct Costs]]=0,0,+Table132[[#This Row],[Direct Cost To Date]]/Table132[[#This Row],[Estimated Total Direct Costs]])</f>
        <v>1</v>
      </c>
      <c r="AF7" s="11">
        <f>+Table132[[#This Row],[Estimated Gross Profit (Loss)]]*Table132[[#This Row],[% Complete]]</f>
        <v>433036.82000000007</v>
      </c>
      <c r="AG7" s="11"/>
      <c r="AH7" s="11">
        <f>+Table132[[#This Row],[Total Gross Profit Recognized To Date]]-Table132[[#This Row],[Gross Profit Recognized Prior Years]]</f>
        <v>433036.82000000007</v>
      </c>
      <c r="AI7" s="11">
        <v>1525212.82</v>
      </c>
      <c r="AJ7" s="11">
        <f>Table132[[#This Row],[Adjusted Contract Price]]-Table132[[#This Row],[Total Amount Billed To Date]]</f>
        <v>0</v>
      </c>
      <c r="AK7" s="11">
        <v>0</v>
      </c>
      <c r="AL7" s="12">
        <f>IF(Table132[[#This Row],[Total Amount Billed To Date]]=0,0,+Table132[[#This Row],[Current Retainage Amount]]/Table132[[#This Row],[Total Amount Billed To Date]])</f>
        <v>0</v>
      </c>
      <c r="AM7" s="11">
        <v>1525212.82</v>
      </c>
      <c r="AN7" s="11">
        <f>Table132[[#This Row],[Cash Received]]-Table132[[#This Row],[Direct Cost To Date]]</f>
        <v>433036.82000000007</v>
      </c>
      <c r="AO7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7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7" s="11">
        <v>0</v>
      </c>
      <c r="AR7" s="11">
        <v>0</v>
      </c>
      <c r="AS7" s="11">
        <v>0</v>
      </c>
      <c r="AT7" s="11">
        <v>1525212.82</v>
      </c>
      <c r="AU7" s="11">
        <v>0</v>
      </c>
      <c r="AV7" s="11">
        <v>0</v>
      </c>
      <c r="AW7" s="9">
        <v>45175</v>
      </c>
    </row>
    <row r="8" spans="1:49" ht="12.75" customHeight="1" x14ac:dyDescent="0.2">
      <c r="A8" t="s">
        <v>57</v>
      </c>
      <c r="B8" t="s">
        <v>58</v>
      </c>
      <c r="C8" t="s">
        <v>53</v>
      </c>
      <c r="D8" t="s">
        <v>54</v>
      </c>
      <c r="E8" t="s">
        <v>54</v>
      </c>
      <c r="F8" t="s">
        <v>55</v>
      </c>
      <c r="G8" s="2" t="s">
        <v>56</v>
      </c>
      <c r="H8" s="11">
        <v>667388.43000000005</v>
      </c>
      <c r="I8" s="11">
        <v>1960164.17</v>
      </c>
      <c r="J8" s="11">
        <f>Table132[[#This Row],[Adjusted Contract Price]]-Table132[[#This Row],[Base Contract]]-Table132[[#This Row],[Approved Change Orders]]</f>
        <v>15911.399999999907</v>
      </c>
      <c r="K8" s="11"/>
      <c r="L8" s="11">
        <v>2643464</v>
      </c>
      <c r="M8" s="11">
        <v>1699645</v>
      </c>
      <c r="N8" s="11">
        <v>546640</v>
      </c>
      <c r="O8" s="11">
        <v>1153005</v>
      </c>
      <c r="P8" s="11">
        <f>Table132[[#This Row],[Base Contract]]-Table132[[#This Row],[QU Original Budget]]</f>
        <v>120748.43000000005</v>
      </c>
      <c r="Q8" s="11">
        <f>Table132[[#This Row],[Approved Change Orders]]-Table132[[#This Row],[CO Change Order Budget]]</f>
        <v>807159.16999999993</v>
      </c>
      <c r="R8" s="11">
        <v>1699645</v>
      </c>
      <c r="S8" s="11">
        <f>Table132[[#This Row],[Total Direct Budget]]-Table132[[#This Row],[Estimated Total Direct Costs]]</f>
        <v>0</v>
      </c>
      <c r="T8" s="11">
        <f>+Table132[[#This Row],[Adjusted Contract Price]]-Table132[[#This Row],[Total Direct Budget]]</f>
        <v>943819</v>
      </c>
      <c r="U8" s="11">
        <f>+Table132[[#This Row],[Adjusted Contract Price]]-Table132[[#This Row],[Estimated Total Direct Costs]]</f>
        <v>943819</v>
      </c>
      <c r="V8" s="12">
        <f>IF(Table132[[#This Row],[Adjusted Contract Price]]=0,0,+Table132[[#This Row],[Budgeted Gross Profit (Loss)]]/Table132[[#This Row],[Adjusted Contract Price]])</f>
        <v>0.35703871889308875</v>
      </c>
      <c r="W8" s="12">
        <f>IF(Table132[[#This Row],[Adjusted Contract Price]]=0,0,+Table132[[#This Row],[Estimated Gross Profit (Loss)]]/Table132[[#This Row],[Adjusted Contract Price]])</f>
        <v>0.35703871889308875</v>
      </c>
      <c r="X8" s="12">
        <v>0.64685400000000004</v>
      </c>
      <c r="Y8" s="12">
        <f>Table132[[#This Row],[Current GP %]]-Table132[[#This Row],[Prior Month1 GP]]</f>
        <v>-0.28981528110691129</v>
      </c>
      <c r="Z8" s="12">
        <v>0.64685400000000004</v>
      </c>
      <c r="AA8" s="12">
        <f>Table132[[#This Row],[Current GP %]]-Table132[[#This Row],[Prior Month2 GP]]</f>
        <v>-0.28981528110691129</v>
      </c>
      <c r="AB8" s="12">
        <v>0.64685400000000004</v>
      </c>
      <c r="AC8" s="12">
        <f>Table132[[#This Row],[Current GP %]]-Table132[[#This Row],[Prior Month3 GP]]</f>
        <v>-0.28981528110691129</v>
      </c>
      <c r="AD8" s="11">
        <v>1168147.67</v>
      </c>
      <c r="AE8" s="13">
        <f>IF(Table132[[#This Row],[Estimated Total Direct Costs]]=0,0,+Table132[[#This Row],[Direct Cost To Date]]/Table132[[#This Row],[Estimated Total Direct Costs]])</f>
        <v>0.6872892103939352</v>
      </c>
      <c r="AF8" s="11">
        <f>+Table132[[#This Row],[Estimated Gross Profit (Loss)]]*Table132[[#This Row],[% Complete]]</f>
        <v>648676.61526479351</v>
      </c>
      <c r="AG8" s="11"/>
      <c r="AH8" s="11">
        <f>+Table132[[#This Row],[Total Gross Profit Recognized To Date]]-Table132[[#This Row],[Gross Profit Recognized Prior Years]]</f>
        <v>648676.61526479351</v>
      </c>
      <c r="AI8" s="11">
        <v>2627552.6</v>
      </c>
      <c r="AJ8" s="11">
        <f>Table132[[#This Row],[Adjusted Contract Price]]-Table132[[#This Row],[Total Amount Billed To Date]]</f>
        <v>15911.399999999907</v>
      </c>
      <c r="AK8" s="11">
        <v>0</v>
      </c>
      <c r="AL8" s="12">
        <f>IF(Table132[[#This Row],[Total Amount Billed To Date]]=0,0,+Table132[[#This Row],[Current Retainage Amount]]/Table132[[#This Row],[Total Amount Billed To Date]])</f>
        <v>0</v>
      </c>
      <c r="AM8" s="11">
        <v>2627552.6</v>
      </c>
      <c r="AN8" s="11">
        <f>Table132[[#This Row],[Cash Received]]-Table132[[#This Row],[Direct Cost To Date]]</f>
        <v>1459404.9300000002</v>
      </c>
      <c r="AO8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8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810728.31473520678</v>
      </c>
      <c r="AQ8" s="11">
        <v>297217.34999999998</v>
      </c>
      <c r="AR8" s="11">
        <v>1087091.96</v>
      </c>
      <c r="AS8" s="11">
        <v>0</v>
      </c>
      <c r="AT8" s="11">
        <v>2627552.6</v>
      </c>
      <c r="AU8" s="11">
        <v>7661.39</v>
      </c>
      <c r="AV8" s="11">
        <v>0</v>
      </c>
      <c r="AW8" s="9">
        <v>45511</v>
      </c>
    </row>
    <row r="9" spans="1:49" ht="12.75" customHeight="1" x14ac:dyDescent="0.2">
      <c r="A9" t="s">
        <v>59</v>
      </c>
      <c r="B9" t="s">
        <v>60</v>
      </c>
      <c r="C9" t="s">
        <v>53</v>
      </c>
      <c r="D9" t="s">
        <v>54</v>
      </c>
      <c r="E9" t="s">
        <v>54</v>
      </c>
      <c r="F9" t="s">
        <v>55</v>
      </c>
      <c r="G9" s="2" t="s">
        <v>56</v>
      </c>
      <c r="H9" s="11">
        <v>1095500</v>
      </c>
      <c r="I9" s="11">
        <v>1586695.79</v>
      </c>
      <c r="J9" s="11">
        <f>Table132[[#This Row],[Adjusted Contract Price]]-Table132[[#This Row],[Base Contract]]-Table132[[#This Row],[Approved Change Orders]]</f>
        <v>0</v>
      </c>
      <c r="K9" s="11"/>
      <c r="L9" s="11">
        <v>2682195.79</v>
      </c>
      <c r="M9" s="11">
        <v>2066263.1</v>
      </c>
      <c r="N9" s="11">
        <v>876400</v>
      </c>
      <c r="O9" s="11">
        <v>847362.26</v>
      </c>
      <c r="P9" s="11">
        <f>Table132[[#This Row],[Base Contract]]-Table132[[#This Row],[QU Original Budget]]</f>
        <v>219100</v>
      </c>
      <c r="Q9" s="11">
        <f>Table132[[#This Row],[Approved Change Orders]]-Table132[[#This Row],[CO Change Order Budget]]</f>
        <v>739333.53</v>
      </c>
      <c r="R9" s="11">
        <v>1723762.26</v>
      </c>
      <c r="S9" s="11">
        <f>Table132[[#This Row],[Total Direct Budget]]-Table132[[#This Row],[Estimated Total Direct Costs]]</f>
        <v>-342500.84000000008</v>
      </c>
      <c r="T9" s="11">
        <f>+Table132[[#This Row],[Adjusted Contract Price]]-Table132[[#This Row],[Total Direct Budget]]</f>
        <v>958433.53</v>
      </c>
      <c r="U9" s="11">
        <f>+Table132[[#This Row],[Adjusted Contract Price]]-Table132[[#This Row],[Estimated Total Direct Costs]]</f>
        <v>615932.68999999994</v>
      </c>
      <c r="V9" s="12">
        <f>IF(Table132[[#This Row],[Adjusted Contract Price]]=0,0,+Table132[[#This Row],[Budgeted Gross Profit (Loss)]]/Table132[[#This Row],[Adjusted Contract Price]])</f>
        <v>0.3573316808464605</v>
      </c>
      <c r="W9" s="12">
        <f>IF(Table132[[#This Row],[Adjusted Contract Price]]=0,0,+Table132[[#This Row],[Estimated Gross Profit (Loss)]]/Table132[[#This Row],[Adjusted Contract Price]])</f>
        <v>0.22963748295198089</v>
      </c>
      <c r="X9" s="12">
        <v>0.64266800000000002</v>
      </c>
      <c r="Y9" s="12">
        <f>Table132[[#This Row],[Current GP %]]-Table132[[#This Row],[Prior Month1 GP]]</f>
        <v>-0.41303051704801913</v>
      </c>
      <c r="Z9" s="12">
        <v>0.64266800000000002</v>
      </c>
      <c r="AA9" s="12">
        <f>Table132[[#This Row],[Current GP %]]-Table132[[#This Row],[Prior Month2 GP]]</f>
        <v>-0.41303051704801913</v>
      </c>
      <c r="AB9" s="12">
        <v>0.64266800000000002</v>
      </c>
      <c r="AC9" s="12">
        <f>Table132[[#This Row],[Current GP %]]-Table132[[#This Row],[Prior Month3 GP]]</f>
        <v>-0.41303051704801913</v>
      </c>
      <c r="AD9" s="11">
        <v>2065962.78</v>
      </c>
      <c r="AE9" s="13">
        <f>IF(Table132[[#This Row],[Estimated Total Direct Costs]]=0,0,+Table132[[#This Row],[Direct Cost To Date]]/Table132[[#This Row],[Estimated Total Direct Costs]])</f>
        <v>0.99985465548893548</v>
      </c>
      <c r="AF9" s="11">
        <f>+Table132[[#This Row],[Estimated Gross Profit (Loss)]]*Table132[[#This Row],[% Complete]]</f>
        <v>615843.16756432329</v>
      </c>
      <c r="AG9" s="11"/>
      <c r="AH9" s="11">
        <f>+Table132[[#This Row],[Total Gross Profit Recognized To Date]]-Table132[[#This Row],[Gross Profit Recognized Prior Years]]</f>
        <v>615843.16756432329</v>
      </c>
      <c r="AI9" s="11">
        <v>2682195.79</v>
      </c>
      <c r="AJ9" s="11">
        <f>Table132[[#This Row],[Adjusted Contract Price]]-Table132[[#This Row],[Total Amount Billed To Date]]</f>
        <v>0</v>
      </c>
      <c r="AK9" s="11">
        <v>0</v>
      </c>
      <c r="AL9" s="12">
        <f>IF(Table132[[#This Row],[Total Amount Billed To Date]]=0,0,+Table132[[#This Row],[Current Retainage Amount]]/Table132[[#This Row],[Total Amount Billed To Date]])</f>
        <v>0</v>
      </c>
      <c r="AM9" s="11">
        <v>2682195.79</v>
      </c>
      <c r="AN9" s="11">
        <f>Table132[[#This Row],[Cash Received]]-Table132[[#This Row],[Direct Cost To Date]]</f>
        <v>616233.01</v>
      </c>
      <c r="AO9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9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389.84243567660451</v>
      </c>
      <c r="AQ9" s="11">
        <v>241.86</v>
      </c>
      <c r="AR9" s="11">
        <v>0</v>
      </c>
      <c r="AS9" s="11">
        <v>0</v>
      </c>
      <c r="AT9" s="11">
        <v>2682195.79</v>
      </c>
      <c r="AU9" s="11">
        <v>240289.36</v>
      </c>
      <c r="AV9" s="11">
        <v>0</v>
      </c>
      <c r="AW9" s="9">
        <v>45734</v>
      </c>
    </row>
    <row r="10" spans="1:49" ht="12.75" customHeight="1" x14ac:dyDescent="0.2">
      <c r="A10" t="s">
        <v>61</v>
      </c>
      <c r="B10" t="s">
        <v>62</v>
      </c>
      <c r="C10" t="s">
        <v>53</v>
      </c>
      <c r="D10" t="s">
        <v>54</v>
      </c>
      <c r="E10" t="s">
        <v>54</v>
      </c>
      <c r="F10" t="s">
        <v>55</v>
      </c>
      <c r="G10" s="2" t="s">
        <v>56</v>
      </c>
      <c r="H10" s="11">
        <v>270080</v>
      </c>
      <c r="I10" s="11">
        <v>0</v>
      </c>
      <c r="J10" s="11">
        <f>Table132[[#This Row],[Adjusted Contract Price]]-Table132[[#This Row],[Base Contract]]-Table132[[#This Row],[Approved Change Orders]]</f>
        <v>0</v>
      </c>
      <c r="K10" s="11"/>
      <c r="L10" s="11">
        <v>270080</v>
      </c>
      <c r="M10" s="11">
        <v>229213.54</v>
      </c>
      <c r="N10" s="11">
        <v>216670.4</v>
      </c>
      <c r="O10" s="11">
        <v>0</v>
      </c>
      <c r="P10" s="11">
        <f>Table132[[#This Row],[Base Contract]]-Table132[[#This Row],[QU Original Budget]]</f>
        <v>53409.600000000006</v>
      </c>
      <c r="Q10" s="11">
        <f>Table132[[#This Row],[Approved Change Orders]]-Table132[[#This Row],[CO Change Order Budget]]</f>
        <v>0</v>
      </c>
      <c r="R10" s="11">
        <v>216670.4</v>
      </c>
      <c r="S10" s="11">
        <f>Table132[[#This Row],[Total Direct Budget]]-Table132[[#This Row],[Estimated Total Direct Costs]]</f>
        <v>-12543.140000000014</v>
      </c>
      <c r="T10" s="11">
        <f>+Table132[[#This Row],[Adjusted Contract Price]]-Table132[[#This Row],[Total Direct Budget]]</f>
        <v>53409.600000000006</v>
      </c>
      <c r="U10" s="11">
        <f>+Table132[[#This Row],[Adjusted Contract Price]]-Table132[[#This Row],[Estimated Total Direct Costs]]</f>
        <v>40866.459999999992</v>
      </c>
      <c r="V10" s="12">
        <f>IF(Table132[[#This Row],[Adjusted Contract Price]]=0,0,+Table132[[#This Row],[Budgeted Gross Profit (Loss)]]/Table132[[#This Row],[Adjusted Contract Price]])</f>
        <v>0.1977547393364929</v>
      </c>
      <c r="W10" s="12">
        <f>IF(Table132[[#This Row],[Adjusted Contract Price]]=0,0,+Table132[[#This Row],[Estimated Gross Profit (Loss)]]/Table132[[#This Row],[Adjusted Contract Price]])</f>
        <v>0.15131242594786726</v>
      </c>
      <c r="X10" s="12">
        <v>0.80224499999999999</v>
      </c>
      <c r="Y10" s="12">
        <f>Table132[[#This Row],[Current GP %]]-Table132[[#This Row],[Prior Month1 GP]]</f>
        <v>-0.65093257405213278</v>
      </c>
      <c r="Z10" s="12">
        <v>0.80224499999999999</v>
      </c>
      <c r="AA10" s="12">
        <f>Table132[[#This Row],[Current GP %]]-Table132[[#This Row],[Prior Month2 GP]]</f>
        <v>-0.65093257405213278</v>
      </c>
      <c r="AB10" s="12">
        <v>0.80224499999999999</v>
      </c>
      <c r="AC10" s="12">
        <f>Table132[[#This Row],[Current GP %]]-Table132[[#This Row],[Prior Month3 GP]]</f>
        <v>-0.65093257405213278</v>
      </c>
      <c r="AD10" s="11">
        <v>229213.54</v>
      </c>
      <c r="AE10" s="13">
        <f>IF(Table132[[#This Row],[Estimated Total Direct Costs]]=0,0,+Table132[[#This Row],[Direct Cost To Date]]/Table132[[#This Row],[Estimated Total Direct Costs]])</f>
        <v>1</v>
      </c>
      <c r="AF10" s="11">
        <f>+Table132[[#This Row],[Estimated Gross Profit (Loss)]]*Table132[[#This Row],[% Complete]]</f>
        <v>40866.459999999992</v>
      </c>
      <c r="AG10" s="11"/>
      <c r="AH10" s="11">
        <f>+Table132[[#This Row],[Total Gross Profit Recognized To Date]]-Table132[[#This Row],[Gross Profit Recognized Prior Years]]</f>
        <v>40866.459999999992</v>
      </c>
      <c r="AI10" s="11">
        <v>270080</v>
      </c>
      <c r="AJ10" s="11">
        <f>Table132[[#This Row],[Adjusted Contract Price]]-Table132[[#This Row],[Total Amount Billed To Date]]</f>
        <v>0</v>
      </c>
      <c r="AK10" s="11">
        <v>0</v>
      </c>
      <c r="AL10" s="12">
        <f>IF(Table132[[#This Row],[Total Amount Billed To Date]]=0,0,+Table132[[#This Row],[Current Retainage Amount]]/Table132[[#This Row],[Total Amount Billed To Date]])</f>
        <v>0</v>
      </c>
      <c r="AM10" s="11">
        <v>270080</v>
      </c>
      <c r="AN10" s="11">
        <f>Table132[[#This Row],[Cash Received]]-Table132[[#This Row],[Direct Cost To Date]]</f>
        <v>40866.459999999992</v>
      </c>
      <c r="AO10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0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0" s="11">
        <v>0</v>
      </c>
      <c r="AR10" s="11">
        <v>0</v>
      </c>
      <c r="AS10" s="11">
        <v>0</v>
      </c>
      <c r="AT10" s="11">
        <v>270080</v>
      </c>
      <c r="AU10" s="11">
        <v>0</v>
      </c>
      <c r="AV10" s="11">
        <v>0</v>
      </c>
      <c r="AW10" s="9">
        <v>45175</v>
      </c>
    </row>
    <row r="11" spans="1:49" ht="12.75" customHeight="1" x14ac:dyDescent="0.2">
      <c r="A11" t="s">
        <v>63</v>
      </c>
      <c r="B11" t="s">
        <v>64</v>
      </c>
      <c r="C11" t="s">
        <v>65</v>
      </c>
      <c r="D11" t="s">
        <v>54</v>
      </c>
      <c r="E11" t="s">
        <v>54</v>
      </c>
      <c r="F11" t="s">
        <v>55</v>
      </c>
      <c r="G11" s="2" t="s">
        <v>56</v>
      </c>
      <c r="H11" s="11">
        <v>920079</v>
      </c>
      <c r="I11" s="11">
        <v>22237.439999999999</v>
      </c>
      <c r="J11" s="11">
        <f>Table132[[#This Row],[Adjusted Contract Price]]-Table132[[#This Row],[Base Contract]]-Table132[[#This Row],[Approved Change Orders]]</f>
        <v>-5.4569682106375694E-11</v>
      </c>
      <c r="K11" s="11"/>
      <c r="L11" s="11">
        <v>942316.44</v>
      </c>
      <c r="M11" s="11">
        <v>692639.17</v>
      </c>
      <c r="N11" s="11">
        <v>736063.2</v>
      </c>
      <c r="O11" s="11">
        <v>0</v>
      </c>
      <c r="P11" s="11">
        <f>Table132[[#This Row],[Base Contract]]-Table132[[#This Row],[QU Original Budget]]</f>
        <v>184015.80000000005</v>
      </c>
      <c r="Q11" s="11">
        <f>Table132[[#This Row],[Approved Change Orders]]-Table132[[#This Row],[CO Change Order Budget]]</f>
        <v>22237.439999999999</v>
      </c>
      <c r="R11" s="11">
        <v>736063.2</v>
      </c>
      <c r="S11" s="11">
        <f>Table132[[#This Row],[Total Direct Budget]]-Table132[[#This Row],[Estimated Total Direct Costs]]</f>
        <v>43424.029999999912</v>
      </c>
      <c r="T11" s="11">
        <f>+Table132[[#This Row],[Adjusted Contract Price]]-Table132[[#This Row],[Total Direct Budget]]</f>
        <v>206253.24</v>
      </c>
      <c r="U11" s="11">
        <f>+Table132[[#This Row],[Adjusted Contract Price]]-Table132[[#This Row],[Estimated Total Direct Costs]]</f>
        <v>249677.2699999999</v>
      </c>
      <c r="V11" s="12">
        <f>IF(Table132[[#This Row],[Adjusted Contract Price]]=0,0,+Table132[[#This Row],[Budgeted Gross Profit (Loss)]]/Table132[[#This Row],[Adjusted Contract Price]])</f>
        <v>0.21887895747632294</v>
      </c>
      <c r="W11" s="12">
        <f>IF(Table132[[#This Row],[Adjusted Contract Price]]=0,0,+Table132[[#This Row],[Estimated Gross Profit (Loss)]]/Table132[[#This Row],[Adjusted Contract Price]])</f>
        <v>0.26496117376451578</v>
      </c>
      <c r="X11" s="12">
        <v>0.78112099999999995</v>
      </c>
      <c r="Y11" s="12">
        <f>Table132[[#This Row],[Current GP %]]-Table132[[#This Row],[Prior Month1 GP]]</f>
        <v>-0.51615982623548418</v>
      </c>
      <c r="Z11" s="12">
        <v>0.78112099999999995</v>
      </c>
      <c r="AA11" s="12">
        <f>Table132[[#This Row],[Current GP %]]-Table132[[#This Row],[Prior Month2 GP]]</f>
        <v>-0.51615982623548418</v>
      </c>
      <c r="AB11" s="12">
        <v>0.78112099999999995</v>
      </c>
      <c r="AC11" s="12">
        <f>Table132[[#This Row],[Current GP %]]-Table132[[#This Row],[Prior Month3 GP]]</f>
        <v>-0.51615982623548418</v>
      </c>
      <c r="AD11" s="11">
        <v>692639.17</v>
      </c>
      <c r="AE11" s="13">
        <f>IF(Table132[[#This Row],[Estimated Total Direct Costs]]=0,0,+Table132[[#This Row],[Direct Cost To Date]]/Table132[[#This Row],[Estimated Total Direct Costs]])</f>
        <v>1</v>
      </c>
      <c r="AF11" s="11">
        <f>+Table132[[#This Row],[Estimated Gross Profit (Loss)]]*Table132[[#This Row],[% Complete]]</f>
        <v>249677.2699999999</v>
      </c>
      <c r="AG11" s="11"/>
      <c r="AH11" s="11">
        <f>+Table132[[#This Row],[Total Gross Profit Recognized To Date]]-Table132[[#This Row],[Gross Profit Recognized Prior Years]]</f>
        <v>249677.2699999999</v>
      </c>
      <c r="AI11" s="11">
        <v>942316.44</v>
      </c>
      <c r="AJ11" s="11">
        <f>Table132[[#This Row],[Adjusted Contract Price]]-Table132[[#This Row],[Total Amount Billed To Date]]</f>
        <v>0</v>
      </c>
      <c r="AK11" s="11">
        <v>0</v>
      </c>
      <c r="AL11" s="12">
        <f>IF(Table132[[#This Row],[Total Amount Billed To Date]]=0,0,+Table132[[#This Row],[Current Retainage Amount]]/Table132[[#This Row],[Total Amount Billed To Date]])</f>
        <v>0</v>
      </c>
      <c r="AM11" s="11">
        <v>942316.44</v>
      </c>
      <c r="AN11" s="11">
        <f>Table132[[#This Row],[Cash Received]]-Table132[[#This Row],[Direct Cost To Date]]</f>
        <v>249677.2699999999</v>
      </c>
      <c r="AO11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1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1" s="11">
        <v>0</v>
      </c>
      <c r="AR11" s="11">
        <v>0</v>
      </c>
      <c r="AS11" s="11">
        <v>0</v>
      </c>
      <c r="AT11" s="11">
        <v>942316.44</v>
      </c>
      <c r="AU11" s="11">
        <v>6889.54</v>
      </c>
      <c r="AV11" s="11">
        <v>0</v>
      </c>
      <c r="AW11" s="9">
        <v>45734</v>
      </c>
    </row>
    <row r="12" spans="1:49" ht="12.75" customHeight="1" x14ac:dyDescent="0.2">
      <c r="A12" t="s">
        <v>66</v>
      </c>
      <c r="B12" t="s">
        <v>67</v>
      </c>
      <c r="C12" t="s">
        <v>68</v>
      </c>
      <c r="D12" t="s">
        <v>54</v>
      </c>
      <c r="E12" t="s">
        <v>54</v>
      </c>
      <c r="F12" t="s">
        <v>55</v>
      </c>
      <c r="G12" s="2" t="s">
        <v>56</v>
      </c>
      <c r="H12" s="11">
        <v>83725</v>
      </c>
      <c r="I12" s="11">
        <v>0</v>
      </c>
      <c r="J12" s="11">
        <f>Table132[[#This Row],[Adjusted Contract Price]]-Table132[[#This Row],[Base Contract]]-Table132[[#This Row],[Approved Change Orders]]</f>
        <v>0</v>
      </c>
      <c r="K12" s="11"/>
      <c r="L12" s="11">
        <v>83725</v>
      </c>
      <c r="M12" s="11">
        <v>61242.879999999997</v>
      </c>
      <c r="N12" s="11">
        <v>0</v>
      </c>
      <c r="O12" s="11">
        <v>0</v>
      </c>
      <c r="P12" s="11">
        <f>Table132[[#This Row],[Base Contract]]-Table132[[#This Row],[QU Original Budget]]</f>
        <v>83725</v>
      </c>
      <c r="Q12" s="11">
        <f>Table132[[#This Row],[Approved Change Orders]]-Table132[[#This Row],[CO Change Order Budget]]</f>
        <v>0</v>
      </c>
      <c r="R12" s="11">
        <v>0</v>
      </c>
      <c r="S12" s="11">
        <f>Table132[[#This Row],[Total Direct Budget]]-Table132[[#This Row],[Estimated Total Direct Costs]]</f>
        <v>-61242.879999999997</v>
      </c>
      <c r="T12" s="11">
        <f>+Table132[[#This Row],[Adjusted Contract Price]]-Table132[[#This Row],[Total Direct Budget]]</f>
        <v>83725</v>
      </c>
      <c r="U12" s="11">
        <f>+Table132[[#This Row],[Adjusted Contract Price]]-Table132[[#This Row],[Estimated Total Direct Costs]]</f>
        <v>22482.120000000003</v>
      </c>
      <c r="V12" s="12">
        <f>IF(Table132[[#This Row],[Adjusted Contract Price]]=0,0,+Table132[[#This Row],[Budgeted Gross Profit (Loss)]]/Table132[[#This Row],[Adjusted Contract Price]])</f>
        <v>1</v>
      </c>
      <c r="W12" s="12">
        <f>IF(Table132[[#This Row],[Adjusted Contract Price]]=0,0,+Table132[[#This Row],[Estimated Gross Profit (Loss)]]/Table132[[#This Row],[Adjusted Contract Price]])</f>
        <v>0.26852338011346671</v>
      </c>
      <c r="X12" s="12">
        <v>0</v>
      </c>
      <c r="Y12" s="12">
        <f>Table132[[#This Row],[Current GP %]]-Table132[[#This Row],[Prior Month1 GP]]</f>
        <v>0.26852338011346671</v>
      </c>
      <c r="Z12" s="12">
        <v>0</v>
      </c>
      <c r="AA12" s="12">
        <f>Table132[[#This Row],[Current GP %]]-Table132[[#This Row],[Prior Month2 GP]]</f>
        <v>0.26852338011346671</v>
      </c>
      <c r="AB12" s="12">
        <v>0</v>
      </c>
      <c r="AC12" s="12">
        <f>Table132[[#This Row],[Current GP %]]-Table132[[#This Row],[Prior Month3 GP]]</f>
        <v>0.26852338011346671</v>
      </c>
      <c r="AD12" s="11">
        <v>61242.879999999997</v>
      </c>
      <c r="AE12" s="13">
        <f>IF(Table132[[#This Row],[Estimated Total Direct Costs]]=0,0,+Table132[[#This Row],[Direct Cost To Date]]/Table132[[#This Row],[Estimated Total Direct Costs]])</f>
        <v>1</v>
      </c>
      <c r="AF12" s="11">
        <f>+Table132[[#This Row],[Estimated Gross Profit (Loss)]]*Table132[[#This Row],[% Complete]]</f>
        <v>22482.120000000003</v>
      </c>
      <c r="AG12" s="11"/>
      <c r="AH12" s="11">
        <f>+Table132[[#This Row],[Total Gross Profit Recognized To Date]]-Table132[[#This Row],[Gross Profit Recognized Prior Years]]</f>
        <v>22482.120000000003</v>
      </c>
      <c r="AI12" s="11">
        <v>83725</v>
      </c>
      <c r="AJ12" s="11">
        <f>Table132[[#This Row],[Adjusted Contract Price]]-Table132[[#This Row],[Total Amount Billed To Date]]</f>
        <v>0</v>
      </c>
      <c r="AK12" s="11">
        <v>0</v>
      </c>
      <c r="AL12" s="12">
        <f>IF(Table132[[#This Row],[Total Amount Billed To Date]]=0,0,+Table132[[#This Row],[Current Retainage Amount]]/Table132[[#This Row],[Total Amount Billed To Date]])</f>
        <v>0</v>
      </c>
      <c r="AM12" s="11">
        <v>83725</v>
      </c>
      <c r="AN12" s="11">
        <f>Table132[[#This Row],[Cash Received]]-Table132[[#This Row],[Direct Cost To Date]]</f>
        <v>22482.120000000003</v>
      </c>
      <c r="AO12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2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2" s="11">
        <v>0</v>
      </c>
      <c r="AR12" s="11">
        <v>0</v>
      </c>
      <c r="AS12" s="11">
        <v>0</v>
      </c>
      <c r="AT12" s="11">
        <v>83725</v>
      </c>
      <c r="AU12" s="11">
        <v>0</v>
      </c>
      <c r="AV12" s="11">
        <v>0</v>
      </c>
      <c r="AW12" s="9">
        <v>45356</v>
      </c>
    </row>
    <row r="13" spans="1:49" ht="12.75" customHeight="1" x14ac:dyDescent="0.2">
      <c r="A13" t="s">
        <v>69</v>
      </c>
      <c r="B13" t="s">
        <v>70</v>
      </c>
      <c r="C13" t="s">
        <v>71</v>
      </c>
      <c r="D13" t="s">
        <v>54</v>
      </c>
      <c r="E13" t="s">
        <v>54</v>
      </c>
      <c r="F13" t="s">
        <v>55</v>
      </c>
      <c r="G13" s="2" t="s">
        <v>56</v>
      </c>
      <c r="H13" s="11">
        <v>150000</v>
      </c>
      <c r="I13" s="11">
        <v>20300</v>
      </c>
      <c r="J13" s="11">
        <f>Table132[[#This Row],[Adjusted Contract Price]]-Table132[[#This Row],[Base Contract]]-Table132[[#This Row],[Approved Change Orders]]</f>
        <v>0</v>
      </c>
      <c r="K13" s="11"/>
      <c r="L13" s="11">
        <v>170300</v>
      </c>
      <c r="M13" s="11">
        <v>74344.100000000006</v>
      </c>
      <c r="N13" s="11">
        <v>0</v>
      </c>
      <c r="O13" s="11">
        <v>15100</v>
      </c>
      <c r="P13" s="11">
        <f>Table132[[#This Row],[Base Contract]]-Table132[[#This Row],[QU Original Budget]]</f>
        <v>150000</v>
      </c>
      <c r="Q13" s="11">
        <f>Table132[[#This Row],[Approved Change Orders]]-Table132[[#This Row],[CO Change Order Budget]]</f>
        <v>5200</v>
      </c>
      <c r="R13" s="11">
        <v>15100</v>
      </c>
      <c r="S13" s="11">
        <f>Table132[[#This Row],[Total Direct Budget]]-Table132[[#This Row],[Estimated Total Direct Costs]]</f>
        <v>-59244.100000000006</v>
      </c>
      <c r="T13" s="11">
        <f>+Table132[[#This Row],[Adjusted Contract Price]]-Table132[[#This Row],[Total Direct Budget]]</f>
        <v>155200</v>
      </c>
      <c r="U13" s="11">
        <f>+Table132[[#This Row],[Adjusted Contract Price]]-Table132[[#This Row],[Estimated Total Direct Costs]]</f>
        <v>95955.9</v>
      </c>
      <c r="V13" s="12">
        <f>IF(Table132[[#This Row],[Adjusted Contract Price]]=0,0,+Table132[[#This Row],[Budgeted Gross Profit (Loss)]]/Table132[[#This Row],[Adjusted Contract Price]])</f>
        <v>0.91133294186729297</v>
      </c>
      <c r="W13" s="12">
        <f>IF(Table132[[#This Row],[Adjusted Contract Price]]=0,0,+Table132[[#This Row],[Estimated Gross Profit (Loss)]]/Table132[[#This Row],[Adjusted Contract Price]])</f>
        <v>0.56345214327657067</v>
      </c>
      <c r="X13" s="12">
        <v>8.8666999999999996E-2</v>
      </c>
      <c r="Y13" s="12">
        <f>Table132[[#This Row],[Current GP %]]-Table132[[#This Row],[Prior Month1 GP]]</f>
        <v>0.47478514327657068</v>
      </c>
      <c r="Z13" s="12">
        <v>8.8666999999999996E-2</v>
      </c>
      <c r="AA13" s="12">
        <f>Table132[[#This Row],[Current GP %]]-Table132[[#This Row],[Prior Month2 GP]]</f>
        <v>0.47478514327657068</v>
      </c>
      <c r="AB13" s="12">
        <v>8.8666999999999996E-2</v>
      </c>
      <c r="AC13" s="12">
        <f>Table132[[#This Row],[Current GP %]]-Table132[[#This Row],[Prior Month3 GP]]</f>
        <v>0.47478514327657068</v>
      </c>
      <c r="AD13" s="11">
        <v>74344.100000000006</v>
      </c>
      <c r="AE13" s="13">
        <f>IF(Table132[[#This Row],[Estimated Total Direct Costs]]=0,0,+Table132[[#This Row],[Direct Cost To Date]]/Table132[[#This Row],[Estimated Total Direct Costs]])</f>
        <v>1</v>
      </c>
      <c r="AF13" s="11">
        <f>+Table132[[#This Row],[Estimated Gross Profit (Loss)]]*Table132[[#This Row],[% Complete]]</f>
        <v>95955.9</v>
      </c>
      <c r="AG13" s="11"/>
      <c r="AH13" s="11">
        <f>+Table132[[#This Row],[Total Gross Profit Recognized To Date]]-Table132[[#This Row],[Gross Profit Recognized Prior Years]]</f>
        <v>95955.9</v>
      </c>
      <c r="AI13" s="11">
        <v>170300</v>
      </c>
      <c r="AJ13" s="11">
        <f>Table132[[#This Row],[Adjusted Contract Price]]-Table132[[#This Row],[Total Amount Billed To Date]]</f>
        <v>0</v>
      </c>
      <c r="AK13" s="11">
        <v>0</v>
      </c>
      <c r="AL13" s="12">
        <f>IF(Table132[[#This Row],[Total Amount Billed To Date]]=0,0,+Table132[[#This Row],[Current Retainage Amount]]/Table132[[#This Row],[Total Amount Billed To Date]])</f>
        <v>0</v>
      </c>
      <c r="AM13" s="11">
        <v>170300</v>
      </c>
      <c r="AN13" s="11">
        <f>Table132[[#This Row],[Cash Received]]-Table132[[#This Row],[Direct Cost To Date]]</f>
        <v>95955.9</v>
      </c>
      <c r="AO13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3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3" s="11">
        <v>0</v>
      </c>
      <c r="AR13" s="11">
        <v>0</v>
      </c>
      <c r="AS13" s="11">
        <v>0</v>
      </c>
      <c r="AT13" s="11">
        <v>170300</v>
      </c>
      <c r="AU13" s="11">
        <v>0</v>
      </c>
      <c r="AV13" s="11">
        <v>0</v>
      </c>
      <c r="AW13" s="9">
        <v>45734</v>
      </c>
    </row>
    <row r="14" spans="1:49" ht="12.75" customHeight="1" x14ac:dyDescent="0.2">
      <c r="A14" t="s">
        <v>72</v>
      </c>
      <c r="B14" t="s">
        <v>73</v>
      </c>
      <c r="C14" t="s">
        <v>74</v>
      </c>
      <c r="D14" t="s">
        <v>54</v>
      </c>
      <c r="E14" t="s">
        <v>54</v>
      </c>
      <c r="F14" t="s">
        <v>55</v>
      </c>
      <c r="G14" s="2" t="s">
        <v>56</v>
      </c>
      <c r="H14" s="11">
        <v>418500</v>
      </c>
      <c r="I14" s="11">
        <v>-13050</v>
      </c>
      <c r="J14" s="11">
        <f>Table132[[#This Row],[Adjusted Contract Price]]-Table132[[#This Row],[Base Contract]]-Table132[[#This Row],[Approved Change Orders]]</f>
        <v>0</v>
      </c>
      <c r="K14" s="11"/>
      <c r="L14" s="11">
        <v>405450</v>
      </c>
      <c r="M14" s="11">
        <v>197359.43</v>
      </c>
      <c r="N14" s="11">
        <v>334800</v>
      </c>
      <c r="O14" s="11">
        <v>-135538</v>
      </c>
      <c r="P14" s="11">
        <f>Table132[[#This Row],[Base Contract]]-Table132[[#This Row],[QU Original Budget]]</f>
        <v>83700</v>
      </c>
      <c r="Q14" s="11">
        <f>Table132[[#This Row],[Approved Change Orders]]-Table132[[#This Row],[CO Change Order Budget]]</f>
        <v>122488</v>
      </c>
      <c r="R14" s="11">
        <v>199262</v>
      </c>
      <c r="S14" s="11">
        <f>Table132[[#This Row],[Total Direct Budget]]-Table132[[#This Row],[Estimated Total Direct Costs]]</f>
        <v>1902.570000000007</v>
      </c>
      <c r="T14" s="11">
        <f>+Table132[[#This Row],[Adjusted Contract Price]]-Table132[[#This Row],[Total Direct Budget]]</f>
        <v>206188</v>
      </c>
      <c r="U14" s="11">
        <f>+Table132[[#This Row],[Adjusted Contract Price]]-Table132[[#This Row],[Estimated Total Direct Costs]]</f>
        <v>208090.57</v>
      </c>
      <c r="V14" s="12">
        <f>IF(Table132[[#This Row],[Adjusted Contract Price]]=0,0,+Table132[[#This Row],[Budgeted Gross Profit (Loss)]]/Table132[[#This Row],[Adjusted Contract Price]])</f>
        <v>0.50854112714268096</v>
      </c>
      <c r="W14" s="12">
        <f>IF(Table132[[#This Row],[Adjusted Contract Price]]=0,0,+Table132[[#This Row],[Estimated Gross Profit (Loss)]]/Table132[[#This Row],[Adjusted Contract Price]])</f>
        <v>0.5132336169688001</v>
      </c>
      <c r="X14" s="12">
        <v>0.49145800000000001</v>
      </c>
      <c r="Y14" s="12">
        <f>Table132[[#This Row],[Current GP %]]-Table132[[#This Row],[Prior Month1 GP]]</f>
        <v>2.1775616968800093E-2</v>
      </c>
      <c r="Z14" s="12">
        <v>0.49145800000000001</v>
      </c>
      <c r="AA14" s="12">
        <f>Table132[[#This Row],[Current GP %]]-Table132[[#This Row],[Prior Month2 GP]]</f>
        <v>2.1775616968800093E-2</v>
      </c>
      <c r="AB14" s="12">
        <v>0.49145800000000001</v>
      </c>
      <c r="AC14" s="12">
        <f>Table132[[#This Row],[Current GP %]]-Table132[[#This Row],[Prior Month3 GP]]</f>
        <v>2.1775616968800093E-2</v>
      </c>
      <c r="AD14" s="11">
        <v>197359.43</v>
      </c>
      <c r="AE14" s="13">
        <f>IF(Table132[[#This Row],[Estimated Total Direct Costs]]=0,0,+Table132[[#This Row],[Direct Cost To Date]]/Table132[[#This Row],[Estimated Total Direct Costs]])</f>
        <v>1</v>
      </c>
      <c r="AF14" s="11">
        <f>+Table132[[#This Row],[Estimated Gross Profit (Loss)]]*Table132[[#This Row],[% Complete]]</f>
        <v>208090.57</v>
      </c>
      <c r="AG14" s="11"/>
      <c r="AH14" s="11">
        <f>+Table132[[#This Row],[Total Gross Profit Recognized To Date]]-Table132[[#This Row],[Gross Profit Recognized Prior Years]]</f>
        <v>208090.57</v>
      </c>
      <c r="AI14" s="11">
        <v>405450</v>
      </c>
      <c r="AJ14" s="11">
        <f>Table132[[#This Row],[Adjusted Contract Price]]-Table132[[#This Row],[Total Amount Billed To Date]]</f>
        <v>0</v>
      </c>
      <c r="AK14" s="11">
        <v>0</v>
      </c>
      <c r="AL14" s="12">
        <f>IF(Table132[[#This Row],[Total Amount Billed To Date]]=0,0,+Table132[[#This Row],[Current Retainage Amount]]/Table132[[#This Row],[Total Amount Billed To Date]])</f>
        <v>0</v>
      </c>
      <c r="AM14" s="11">
        <v>405450</v>
      </c>
      <c r="AN14" s="11">
        <f>Table132[[#This Row],[Cash Received]]-Table132[[#This Row],[Direct Cost To Date]]</f>
        <v>208090.57</v>
      </c>
      <c r="AO14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4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4" s="11">
        <v>0</v>
      </c>
      <c r="AR14" s="11">
        <v>4860</v>
      </c>
      <c r="AS14" s="11">
        <v>0</v>
      </c>
      <c r="AT14" s="11">
        <v>405450</v>
      </c>
      <c r="AU14" s="11">
        <v>0</v>
      </c>
      <c r="AV14" s="11">
        <v>0</v>
      </c>
      <c r="AW14" s="9">
        <v>45734</v>
      </c>
    </row>
    <row r="15" spans="1:49" ht="12.75" customHeight="1" x14ac:dyDescent="0.2">
      <c r="A15" t="s">
        <v>75</v>
      </c>
      <c r="B15" t="s">
        <v>76</v>
      </c>
      <c r="C15" t="s">
        <v>77</v>
      </c>
      <c r="D15" t="s">
        <v>54</v>
      </c>
      <c r="E15" t="s">
        <v>54</v>
      </c>
      <c r="F15" t="s">
        <v>78</v>
      </c>
      <c r="G15" s="2" t="s">
        <v>79</v>
      </c>
      <c r="H15" s="11">
        <v>2730505</v>
      </c>
      <c r="I15" s="11">
        <v>196964.64</v>
      </c>
      <c r="J15" s="11">
        <f>Table132[[#This Row],[Adjusted Contract Price]]-Table132[[#This Row],[Base Contract]]-Table132[[#This Row],[Approved Change Orders]]</f>
        <v>-1248326.6400000001</v>
      </c>
      <c r="K15" s="11"/>
      <c r="L15" s="11">
        <v>1679143</v>
      </c>
      <c r="M15" s="11">
        <v>1627144.05</v>
      </c>
      <c r="N15" s="11">
        <v>2243954.42</v>
      </c>
      <c r="O15" s="11">
        <v>78928</v>
      </c>
      <c r="P15" s="11">
        <f>Table132[[#This Row],[Base Contract]]-Table132[[#This Row],[QU Original Budget]]</f>
        <v>486550.58000000007</v>
      </c>
      <c r="Q15" s="11">
        <f>Table132[[#This Row],[Approved Change Orders]]-Table132[[#This Row],[CO Change Order Budget]]</f>
        <v>118036.64000000001</v>
      </c>
      <c r="R15" s="11">
        <v>2322882.42</v>
      </c>
      <c r="S15" s="11">
        <f>Table132[[#This Row],[Total Direct Budget]]-Table132[[#This Row],[Estimated Total Direct Costs]]</f>
        <v>695738.36999999988</v>
      </c>
      <c r="T15" s="11">
        <f>+Table132[[#This Row],[Adjusted Contract Price]]-Table132[[#This Row],[Total Direct Budget]]</f>
        <v>-643739.41999999993</v>
      </c>
      <c r="U15" s="11">
        <f>+Table132[[#This Row],[Adjusted Contract Price]]-Table132[[#This Row],[Estimated Total Direct Costs]]</f>
        <v>51998.949999999953</v>
      </c>
      <c r="V15" s="12">
        <f>IF(Table132[[#This Row],[Adjusted Contract Price]]=0,0,+Table132[[#This Row],[Budgeted Gross Profit (Loss)]]/Table132[[#This Row],[Adjusted Contract Price]])</f>
        <v>-0.3833737924643702</v>
      </c>
      <c r="W15" s="12">
        <f>IF(Table132[[#This Row],[Adjusted Contract Price]]=0,0,+Table132[[#This Row],[Estimated Gross Profit (Loss)]]/Table132[[#This Row],[Adjusted Contract Price]])</f>
        <v>3.0967553091070833E-2</v>
      </c>
      <c r="X15" s="12">
        <v>0.79347699999999999</v>
      </c>
      <c r="Y15" s="12">
        <f>Table132[[#This Row],[Current GP %]]-Table132[[#This Row],[Prior Month1 GP]]</f>
        <v>-0.76250944690892919</v>
      </c>
      <c r="Z15" s="12">
        <v>0.79347699999999999</v>
      </c>
      <c r="AA15" s="12">
        <f>Table132[[#This Row],[Current GP %]]-Table132[[#This Row],[Prior Month2 GP]]</f>
        <v>-0.76250944690892919</v>
      </c>
      <c r="AB15" s="12">
        <v>0.79347699999999999</v>
      </c>
      <c r="AC15" s="12">
        <f>Table132[[#This Row],[Current GP %]]-Table132[[#This Row],[Prior Month3 GP]]</f>
        <v>-0.76250944690892919</v>
      </c>
      <c r="AD15" s="11">
        <v>1627143.41</v>
      </c>
      <c r="AE15" s="13">
        <f>IF(Table132[[#This Row],[Estimated Total Direct Costs]]=0,0,+Table132[[#This Row],[Direct Cost To Date]]/Table132[[#This Row],[Estimated Total Direct Costs]])</f>
        <v>0.99999960667280807</v>
      </c>
      <c r="AF15" s="11">
        <f>+Table132[[#This Row],[Estimated Gross Profit (Loss)]]*Table132[[#This Row],[% Complete]]</f>
        <v>51998.92954739897</v>
      </c>
      <c r="AG15" s="11"/>
      <c r="AH15" s="11">
        <f>+Table132[[#This Row],[Total Gross Profit Recognized To Date]]-Table132[[#This Row],[Gross Profit Recognized Prior Years]]</f>
        <v>51998.92954739897</v>
      </c>
      <c r="AI15" s="11">
        <v>1679142.74</v>
      </c>
      <c r="AJ15" s="11">
        <f>Table132[[#This Row],[Adjusted Contract Price]]-Table132[[#This Row],[Total Amount Billed To Date]]</f>
        <v>0.26000000000931323</v>
      </c>
      <c r="AK15" s="11">
        <v>83957.15</v>
      </c>
      <c r="AL15" s="12">
        <f>IF(Table132[[#This Row],[Total Amount Billed To Date]]=0,0,+Table132[[#This Row],[Current Retainage Amount]]/Table132[[#This Row],[Total Amount Billed To Date]])</f>
        <v>5.0000007742045799E-2</v>
      </c>
      <c r="AM15" s="11">
        <v>1579603.6</v>
      </c>
      <c r="AN15" s="11">
        <f>Table132[[#This Row],[Cash Received]]-Table132[[#This Row],[Direct Cost To Date]]</f>
        <v>-47539.809999999823</v>
      </c>
      <c r="AO15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5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0.40045260102488101</v>
      </c>
      <c r="AQ15" s="11">
        <v>1103808.57</v>
      </c>
      <c r="AR15" s="11">
        <v>901423.78</v>
      </c>
      <c r="AS15" s="11">
        <v>15581.99</v>
      </c>
      <c r="AT15" s="11">
        <v>1579603.6</v>
      </c>
      <c r="AU15" s="11">
        <v>186.24</v>
      </c>
      <c r="AV15" s="11">
        <v>0</v>
      </c>
      <c r="AW15" s="9">
        <v>45734</v>
      </c>
    </row>
    <row r="16" spans="1:49" ht="12.75" customHeight="1" x14ac:dyDescent="0.2">
      <c r="A16" t="s">
        <v>80</v>
      </c>
      <c r="B16" t="s">
        <v>81</v>
      </c>
      <c r="C16" t="s">
        <v>82</v>
      </c>
      <c r="D16" t="s">
        <v>54</v>
      </c>
      <c r="E16" t="s">
        <v>54</v>
      </c>
      <c r="F16" t="s">
        <v>78</v>
      </c>
      <c r="G16" s="2" t="s">
        <v>56</v>
      </c>
      <c r="H16" s="11">
        <v>22818.73</v>
      </c>
      <c r="I16" s="11">
        <v>0</v>
      </c>
      <c r="J16" s="11">
        <f>Table132[[#This Row],[Adjusted Contract Price]]-Table132[[#This Row],[Base Contract]]-Table132[[#This Row],[Approved Change Orders]]</f>
        <v>0</v>
      </c>
      <c r="K16" s="11"/>
      <c r="L16" s="11">
        <v>22818.73</v>
      </c>
      <c r="M16" s="11">
        <v>0</v>
      </c>
      <c r="N16" s="11">
        <v>0</v>
      </c>
      <c r="O16" s="11">
        <v>0</v>
      </c>
      <c r="P16" s="11">
        <f>Table132[[#This Row],[Base Contract]]-Table132[[#This Row],[QU Original Budget]]</f>
        <v>22818.73</v>
      </c>
      <c r="Q16" s="11">
        <f>Table132[[#This Row],[Approved Change Orders]]-Table132[[#This Row],[CO Change Order Budget]]</f>
        <v>0</v>
      </c>
      <c r="R16" s="11">
        <v>0</v>
      </c>
      <c r="S16" s="11">
        <f>Table132[[#This Row],[Total Direct Budget]]-Table132[[#This Row],[Estimated Total Direct Costs]]</f>
        <v>0</v>
      </c>
      <c r="T16" s="11">
        <f>+Table132[[#This Row],[Adjusted Contract Price]]-Table132[[#This Row],[Total Direct Budget]]</f>
        <v>22818.73</v>
      </c>
      <c r="U16" s="11">
        <f>+Table132[[#This Row],[Adjusted Contract Price]]-Table132[[#This Row],[Estimated Total Direct Costs]]</f>
        <v>22818.73</v>
      </c>
      <c r="V16" s="12">
        <f>IF(Table132[[#This Row],[Adjusted Contract Price]]=0,0,+Table132[[#This Row],[Budgeted Gross Profit (Loss)]]/Table132[[#This Row],[Adjusted Contract Price]])</f>
        <v>1</v>
      </c>
      <c r="W16" s="12">
        <f>IF(Table132[[#This Row],[Adjusted Contract Price]]=0,0,+Table132[[#This Row],[Estimated Gross Profit (Loss)]]/Table132[[#This Row],[Adjusted Contract Price]])</f>
        <v>1</v>
      </c>
      <c r="X16" s="12">
        <v>0</v>
      </c>
      <c r="Y16" s="12">
        <f>Table132[[#This Row],[Current GP %]]-Table132[[#This Row],[Prior Month1 GP]]</f>
        <v>1</v>
      </c>
      <c r="Z16" s="12">
        <v>0</v>
      </c>
      <c r="AA16" s="12">
        <f>Table132[[#This Row],[Current GP %]]-Table132[[#This Row],[Prior Month2 GP]]</f>
        <v>1</v>
      </c>
      <c r="AB16" s="12">
        <v>0</v>
      </c>
      <c r="AC16" s="12">
        <f>Table132[[#This Row],[Current GP %]]-Table132[[#This Row],[Prior Month3 GP]]</f>
        <v>1</v>
      </c>
      <c r="AD16" s="11">
        <v>1249.04</v>
      </c>
      <c r="AE16" s="13">
        <f>IF(Table132[[#This Row],[Estimated Total Direct Costs]]=0,0,+Table132[[#This Row],[Direct Cost To Date]]/Table132[[#This Row],[Estimated Total Direct Costs]])</f>
        <v>0</v>
      </c>
      <c r="AF16" s="11">
        <f>+Table132[[#This Row],[Estimated Gross Profit (Loss)]]*Table132[[#This Row],[% Complete]]</f>
        <v>0</v>
      </c>
      <c r="AG16" s="11"/>
      <c r="AH16" s="11">
        <f>+Table132[[#This Row],[Total Gross Profit Recognized To Date]]-Table132[[#This Row],[Gross Profit Recognized Prior Years]]</f>
        <v>0</v>
      </c>
      <c r="AI16" s="11">
        <v>22818.73</v>
      </c>
      <c r="AJ16" s="11">
        <f>Table132[[#This Row],[Adjusted Contract Price]]-Table132[[#This Row],[Total Amount Billed To Date]]</f>
        <v>0</v>
      </c>
      <c r="AK16" s="11">
        <v>0</v>
      </c>
      <c r="AL16" s="12">
        <f>IF(Table132[[#This Row],[Total Amount Billed To Date]]=0,0,+Table132[[#This Row],[Current Retainage Amount]]/Table132[[#This Row],[Total Amount Billed To Date]])</f>
        <v>0</v>
      </c>
      <c r="AM16" s="11">
        <v>22818.73</v>
      </c>
      <c r="AN16" s="11">
        <f>Table132[[#This Row],[Cash Received]]-Table132[[#This Row],[Direct Cost To Date]]</f>
        <v>21569.69</v>
      </c>
      <c r="AO16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6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21569.69</v>
      </c>
      <c r="AQ16" s="11">
        <v>1249.04</v>
      </c>
      <c r="AR16" s="11">
        <v>0</v>
      </c>
      <c r="AS16" s="11">
        <v>0</v>
      </c>
      <c r="AT16" s="11">
        <v>22818.73</v>
      </c>
      <c r="AU16" s="11">
        <v>0</v>
      </c>
      <c r="AV16" s="11">
        <v>0</v>
      </c>
      <c r="AW16" s="9">
        <v>45734</v>
      </c>
    </row>
    <row r="17" spans="1:49" ht="12.75" customHeight="1" x14ac:dyDescent="0.2">
      <c r="A17" t="s">
        <v>83</v>
      </c>
      <c r="B17" t="s">
        <v>84</v>
      </c>
      <c r="C17" t="s">
        <v>85</v>
      </c>
      <c r="D17" t="s">
        <v>54</v>
      </c>
      <c r="E17" t="s">
        <v>54</v>
      </c>
      <c r="F17" t="s">
        <v>78</v>
      </c>
      <c r="G17" s="2" t="s">
        <v>56</v>
      </c>
      <c r="H17" s="11">
        <v>52500</v>
      </c>
      <c r="I17" s="11">
        <v>12400</v>
      </c>
      <c r="J17" s="11">
        <f>Table132[[#This Row],[Adjusted Contract Price]]-Table132[[#This Row],[Base Contract]]-Table132[[#This Row],[Approved Change Orders]]</f>
        <v>0</v>
      </c>
      <c r="K17" s="11"/>
      <c r="L17" s="11">
        <v>64900</v>
      </c>
      <c r="M17" s="11">
        <v>22247</v>
      </c>
      <c r="N17" s="11">
        <v>0</v>
      </c>
      <c r="O17" s="11">
        <v>0</v>
      </c>
      <c r="P17" s="11">
        <f>Table132[[#This Row],[Base Contract]]-Table132[[#This Row],[QU Original Budget]]</f>
        <v>52500</v>
      </c>
      <c r="Q17" s="11">
        <f>Table132[[#This Row],[Approved Change Orders]]-Table132[[#This Row],[CO Change Order Budget]]</f>
        <v>12400</v>
      </c>
      <c r="R17" s="11">
        <v>0</v>
      </c>
      <c r="S17" s="11">
        <f>Table132[[#This Row],[Total Direct Budget]]-Table132[[#This Row],[Estimated Total Direct Costs]]</f>
        <v>-22247</v>
      </c>
      <c r="T17" s="11">
        <f>+Table132[[#This Row],[Adjusted Contract Price]]-Table132[[#This Row],[Total Direct Budget]]</f>
        <v>64900</v>
      </c>
      <c r="U17" s="11">
        <f>+Table132[[#This Row],[Adjusted Contract Price]]-Table132[[#This Row],[Estimated Total Direct Costs]]</f>
        <v>42653</v>
      </c>
      <c r="V17" s="12">
        <f>IF(Table132[[#This Row],[Adjusted Contract Price]]=0,0,+Table132[[#This Row],[Budgeted Gross Profit (Loss)]]/Table132[[#This Row],[Adjusted Contract Price]])</f>
        <v>1</v>
      </c>
      <c r="W17" s="12">
        <f>IF(Table132[[#This Row],[Adjusted Contract Price]]=0,0,+Table132[[#This Row],[Estimated Gross Profit (Loss)]]/Table132[[#This Row],[Adjusted Contract Price]])</f>
        <v>0.65721109399075506</v>
      </c>
      <c r="X17" s="12">
        <v>0</v>
      </c>
      <c r="Y17" s="12">
        <f>Table132[[#This Row],[Current GP %]]-Table132[[#This Row],[Prior Month1 GP]]</f>
        <v>0.65721109399075506</v>
      </c>
      <c r="Z17" s="12">
        <v>0</v>
      </c>
      <c r="AA17" s="12">
        <f>Table132[[#This Row],[Current GP %]]-Table132[[#This Row],[Prior Month2 GP]]</f>
        <v>0.65721109399075506</v>
      </c>
      <c r="AB17" s="12">
        <v>0</v>
      </c>
      <c r="AC17" s="12">
        <f>Table132[[#This Row],[Current GP %]]-Table132[[#This Row],[Prior Month3 GP]]</f>
        <v>0.65721109399075506</v>
      </c>
      <c r="AD17" s="11">
        <v>22247</v>
      </c>
      <c r="AE17" s="13">
        <f>IF(Table132[[#This Row],[Estimated Total Direct Costs]]=0,0,+Table132[[#This Row],[Direct Cost To Date]]/Table132[[#This Row],[Estimated Total Direct Costs]])</f>
        <v>1</v>
      </c>
      <c r="AF17" s="11">
        <f>+Table132[[#This Row],[Estimated Gross Profit (Loss)]]*Table132[[#This Row],[% Complete]]</f>
        <v>42653</v>
      </c>
      <c r="AG17" s="11"/>
      <c r="AH17" s="11">
        <f>+Table132[[#This Row],[Total Gross Profit Recognized To Date]]-Table132[[#This Row],[Gross Profit Recognized Prior Years]]</f>
        <v>42653</v>
      </c>
      <c r="AI17" s="11">
        <v>64900</v>
      </c>
      <c r="AJ17" s="11">
        <f>Table132[[#This Row],[Adjusted Contract Price]]-Table132[[#This Row],[Total Amount Billed To Date]]</f>
        <v>0</v>
      </c>
      <c r="AK17" s="11">
        <v>0</v>
      </c>
      <c r="AL17" s="12">
        <f>IF(Table132[[#This Row],[Total Amount Billed To Date]]=0,0,+Table132[[#This Row],[Current Retainage Amount]]/Table132[[#This Row],[Total Amount Billed To Date]])</f>
        <v>0</v>
      </c>
      <c r="AM17" s="11">
        <v>64900</v>
      </c>
      <c r="AN17" s="11">
        <f>Table132[[#This Row],[Cash Received]]-Table132[[#This Row],[Direct Cost To Date]]</f>
        <v>42653</v>
      </c>
      <c r="AO17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7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7" s="11">
        <v>0</v>
      </c>
      <c r="AR17" s="11">
        <v>0</v>
      </c>
      <c r="AS17" s="11">
        <v>0</v>
      </c>
      <c r="AT17" s="11">
        <v>64900</v>
      </c>
      <c r="AU17" s="11">
        <v>0</v>
      </c>
      <c r="AV17" s="11">
        <v>0</v>
      </c>
      <c r="AW17" s="9">
        <v>45175</v>
      </c>
    </row>
    <row r="18" spans="1:49" ht="12.75" customHeight="1" x14ac:dyDescent="0.2">
      <c r="A18" t="s">
        <v>86</v>
      </c>
      <c r="B18" t="s">
        <v>87</v>
      </c>
      <c r="C18" t="s">
        <v>88</v>
      </c>
      <c r="D18" t="s">
        <v>54</v>
      </c>
      <c r="E18" t="s">
        <v>54</v>
      </c>
      <c r="F18" t="s">
        <v>78</v>
      </c>
      <c r="G18" s="2" t="s">
        <v>56</v>
      </c>
      <c r="H18" s="11">
        <v>478000</v>
      </c>
      <c r="I18" s="11">
        <v>-91775.53</v>
      </c>
      <c r="J18" s="11">
        <f>Table132[[#This Row],[Adjusted Contract Price]]-Table132[[#This Row],[Base Contract]]-Table132[[#This Row],[Approved Change Orders]]</f>
        <v>-0.47000000000116415</v>
      </c>
      <c r="K18" s="11"/>
      <c r="L18" s="11">
        <v>386224</v>
      </c>
      <c r="M18" s="11">
        <v>705323.58</v>
      </c>
      <c r="N18" s="11">
        <v>346500</v>
      </c>
      <c r="O18" s="11">
        <v>0</v>
      </c>
      <c r="P18" s="11">
        <f>Table132[[#This Row],[Base Contract]]-Table132[[#This Row],[QU Original Budget]]</f>
        <v>131500</v>
      </c>
      <c r="Q18" s="11">
        <f>Table132[[#This Row],[Approved Change Orders]]-Table132[[#This Row],[CO Change Order Budget]]</f>
        <v>-91775.53</v>
      </c>
      <c r="R18" s="11">
        <v>346500</v>
      </c>
      <c r="S18" s="11">
        <f>Table132[[#This Row],[Total Direct Budget]]-Table132[[#This Row],[Estimated Total Direct Costs]]</f>
        <v>-358823.57999999996</v>
      </c>
      <c r="T18" s="11">
        <f>+Table132[[#This Row],[Adjusted Contract Price]]-Table132[[#This Row],[Total Direct Budget]]</f>
        <v>39724</v>
      </c>
      <c r="U18" s="11">
        <f>+Table132[[#This Row],[Adjusted Contract Price]]-Table132[[#This Row],[Estimated Total Direct Costs]]</f>
        <v>-319099.57999999996</v>
      </c>
      <c r="V18" s="12">
        <f>IF(Table132[[#This Row],[Adjusted Contract Price]]=0,0,+Table132[[#This Row],[Budgeted Gross Profit (Loss)]]/Table132[[#This Row],[Adjusted Contract Price]])</f>
        <v>0.10285223082977754</v>
      </c>
      <c r="W18" s="12">
        <f>IF(Table132[[#This Row],[Adjusted Contract Price]]=0,0,+Table132[[#This Row],[Estimated Gross Profit (Loss)]]/Table132[[#This Row],[Adjusted Contract Price]])</f>
        <v>-0.82620339492108197</v>
      </c>
      <c r="X18" s="12">
        <v>0.897146</v>
      </c>
      <c r="Y18" s="12">
        <f>Table132[[#This Row],[Current GP %]]-Table132[[#This Row],[Prior Month1 GP]]</f>
        <v>-1.7233493949210819</v>
      </c>
      <c r="Z18" s="12">
        <v>0.897146</v>
      </c>
      <c r="AA18" s="12">
        <f>Table132[[#This Row],[Current GP %]]-Table132[[#This Row],[Prior Month2 GP]]</f>
        <v>-1.7233493949210819</v>
      </c>
      <c r="AB18" s="12">
        <v>0.897146</v>
      </c>
      <c r="AC18" s="12">
        <f>Table132[[#This Row],[Current GP %]]-Table132[[#This Row],[Prior Month3 GP]]</f>
        <v>-1.7233493949210819</v>
      </c>
      <c r="AD18" s="11">
        <v>705323.58</v>
      </c>
      <c r="AE18" s="13">
        <f>IF(Table132[[#This Row],[Estimated Total Direct Costs]]=0,0,+Table132[[#This Row],[Direct Cost To Date]]/Table132[[#This Row],[Estimated Total Direct Costs]])</f>
        <v>1</v>
      </c>
      <c r="AF18" s="11">
        <f>+Table132[[#This Row],[Estimated Gross Profit (Loss)]]*Table132[[#This Row],[% Complete]]</f>
        <v>-319099.57999999996</v>
      </c>
      <c r="AG18" s="11"/>
      <c r="AH18" s="11">
        <f>+Table132[[#This Row],[Total Gross Profit Recognized To Date]]-Table132[[#This Row],[Gross Profit Recognized Prior Years]]</f>
        <v>-319099.57999999996</v>
      </c>
      <c r="AI18" s="11">
        <v>386224.47</v>
      </c>
      <c r="AJ18" s="11">
        <f>Table132[[#This Row],[Adjusted Contract Price]]-Table132[[#This Row],[Total Amount Billed To Date]]</f>
        <v>-0.46999999997206032</v>
      </c>
      <c r="AK18" s="11">
        <v>0</v>
      </c>
      <c r="AL18" s="12">
        <f>IF(Table132[[#This Row],[Total Amount Billed To Date]]=0,0,+Table132[[#This Row],[Current Retainage Amount]]/Table132[[#This Row],[Total Amount Billed To Date]])</f>
        <v>0</v>
      </c>
      <c r="AM18" s="11">
        <v>386224.47</v>
      </c>
      <c r="AN18" s="11">
        <f>Table132[[#This Row],[Cash Received]]-Table132[[#This Row],[Direct Cost To Date]]</f>
        <v>-319099.11</v>
      </c>
      <c r="AO18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8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0.46999999997206032</v>
      </c>
      <c r="AQ18" s="11">
        <v>167358.31</v>
      </c>
      <c r="AR18" s="11">
        <v>128996.9</v>
      </c>
      <c r="AS18" s="11">
        <v>0</v>
      </c>
      <c r="AT18" s="11">
        <v>386224.47</v>
      </c>
      <c r="AU18" s="11">
        <v>44490.23</v>
      </c>
      <c r="AV18" s="11">
        <v>0</v>
      </c>
      <c r="AW18" s="9">
        <v>45734</v>
      </c>
    </row>
    <row r="19" spans="1:49" ht="12.75" customHeight="1" x14ac:dyDescent="0.2">
      <c r="A19" t="s">
        <v>89</v>
      </c>
      <c r="B19" t="s">
        <v>90</v>
      </c>
      <c r="C19" t="s">
        <v>91</v>
      </c>
      <c r="D19" t="s">
        <v>54</v>
      </c>
      <c r="E19" t="s">
        <v>54</v>
      </c>
      <c r="F19" t="s">
        <v>55</v>
      </c>
      <c r="G19" s="2" t="s">
        <v>56</v>
      </c>
      <c r="H19" s="11">
        <v>244225.34</v>
      </c>
      <c r="I19" s="11">
        <v>0</v>
      </c>
      <c r="J19" s="11">
        <f>Table132[[#This Row],[Adjusted Contract Price]]-Table132[[#This Row],[Base Contract]]-Table132[[#This Row],[Approved Change Orders]]</f>
        <v>0</v>
      </c>
      <c r="K19" s="11"/>
      <c r="L19" s="11">
        <v>244225.34</v>
      </c>
      <c r="M19" s="11">
        <v>0</v>
      </c>
      <c r="N19" s="11">
        <v>0</v>
      </c>
      <c r="O19" s="11">
        <v>0</v>
      </c>
      <c r="P19" s="11">
        <f>Table132[[#This Row],[Base Contract]]-Table132[[#This Row],[QU Original Budget]]</f>
        <v>244225.34</v>
      </c>
      <c r="Q19" s="11">
        <f>Table132[[#This Row],[Approved Change Orders]]-Table132[[#This Row],[CO Change Order Budget]]</f>
        <v>0</v>
      </c>
      <c r="R19" s="11">
        <v>0</v>
      </c>
      <c r="S19" s="11">
        <f>Table132[[#This Row],[Total Direct Budget]]-Table132[[#This Row],[Estimated Total Direct Costs]]</f>
        <v>0</v>
      </c>
      <c r="T19" s="11">
        <f>+Table132[[#This Row],[Adjusted Contract Price]]-Table132[[#This Row],[Total Direct Budget]]</f>
        <v>244225.34</v>
      </c>
      <c r="U19" s="11">
        <f>+Table132[[#This Row],[Adjusted Contract Price]]-Table132[[#This Row],[Estimated Total Direct Costs]]</f>
        <v>244225.34</v>
      </c>
      <c r="V19" s="12">
        <f>IF(Table132[[#This Row],[Adjusted Contract Price]]=0,0,+Table132[[#This Row],[Budgeted Gross Profit (Loss)]]/Table132[[#This Row],[Adjusted Contract Price]])</f>
        <v>1</v>
      </c>
      <c r="W19" s="12">
        <f>IF(Table132[[#This Row],[Adjusted Contract Price]]=0,0,+Table132[[#This Row],[Estimated Gross Profit (Loss)]]/Table132[[#This Row],[Adjusted Contract Price]])</f>
        <v>1</v>
      </c>
      <c r="X19" s="12">
        <v>0</v>
      </c>
      <c r="Y19" s="12">
        <f>Table132[[#This Row],[Current GP %]]-Table132[[#This Row],[Prior Month1 GP]]</f>
        <v>1</v>
      </c>
      <c r="Z19" s="12">
        <v>0</v>
      </c>
      <c r="AA19" s="12">
        <f>Table132[[#This Row],[Current GP %]]-Table132[[#This Row],[Prior Month2 GP]]</f>
        <v>1</v>
      </c>
      <c r="AB19" s="12">
        <v>0</v>
      </c>
      <c r="AC19" s="12">
        <f>Table132[[#This Row],[Current GP %]]-Table132[[#This Row],[Prior Month3 GP]]</f>
        <v>1</v>
      </c>
      <c r="AD19" s="11">
        <v>0</v>
      </c>
      <c r="AE19" s="13">
        <f>IF(Table132[[#This Row],[Estimated Total Direct Costs]]=0,0,+Table132[[#This Row],[Direct Cost To Date]]/Table132[[#This Row],[Estimated Total Direct Costs]])</f>
        <v>0</v>
      </c>
      <c r="AF19" s="11">
        <f>+Table132[[#This Row],[Estimated Gross Profit (Loss)]]*Table132[[#This Row],[% Complete]]</f>
        <v>0</v>
      </c>
      <c r="AG19" s="11"/>
      <c r="AH19" s="11">
        <f>+Table132[[#This Row],[Total Gross Profit Recognized To Date]]-Table132[[#This Row],[Gross Profit Recognized Prior Years]]</f>
        <v>0</v>
      </c>
      <c r="AI19" s="11">
        <v>244225.34</v>
      </c>
      <c r="AJ19" s="11">
        <f>Table132[[#This Row],[Adjusted Contract Price]]-Table132[[#This Row],[Total Amount Billed To Date]]</f>
        <v>0</v>
      </c>
      <c r="AK19" s="11">
        <v>0</v>
      </c>
      <c r="AL19" s="12">
        <f>IF(Table132[[#This Row],[Total Amount Billed To Date]]=0,0,+Table132[[#This Row],[Current Retainage Amount]]/Table132[[#This Row],[Total Amount Billed To Date]])</f>
        <v>0</v>
      </c>
      <c r="AM19" s="11">
        <v>244225.34</v>
      </c>
      <c r="AN19" s="11">
        <f>Table132[[#This Row],[Cash Received]]-Table132[[#This Row],[Direct Cost To Date]]</f>
        <v>244225.34</v>
      </c>
      <c r="AO19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9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244225.34</v>
      </c>
      <c r="AQ19" s="11">
        <v>0</v>
      </c>
      <c r="AR19" s="11">
        <v>0</v>
      </c>
      <c r="AS19" s="11">
        <v>0</v>
      </c>
      <c r="AT19" s="11">
        <v>244225.34</v>
      </c>
      <c r="AU19" s="11">
        <v>0</v>
      </c>
      <c r="AV19" s="11">
        <v>0</v>
      </c>
      <c r="AW19" s="9"/>
    </row>
    <row r="20" spans="1:49" ht="12.75" customHeight="1" x14ac:dyDescent="0.2">
      <c r="A20" t="s">
        <v>92</v>
      </c>
      <c r="B20" t="s">
        <v>93</v>
      </c>
      <c r="C20" t="s">
        <v>94</v>
      </c>
      <c r="D20" t="s">
        <v>54</v>
      </c>
      <c r="E20" t="s">
        <v>54</v>
      </c>
      <c r="F20" t="s">
        <v>78</v>
      </c>
      <c r="G20" s="2" t="s">
        <v>56</v>
      </c>
      <c r="H20" s="11">
        <v>12019</v>
      </c>
      <c r="I20" s="11">
        <v>0</v>
      </c>
      <c r="J20" s="11">
        <f>Table132[[#This Row],[Adjusted Contract Price]]-Table132[[#This Row],[Base Contract]]-Table132[[#This Row],[Approved Change Orders]]</f>
        <v>0</v>
      </c>
      <c r="K20" s="11"/>
      <c r="L20" s="11">
        <v>12019</v>
      </c>
      <c r="M20" s="11">
        <v>0</v>
      </c>
      <c r="N20" s="11">
        <v>0</v>
      </c>
      <c r="O20" s="11">
        <v>0</v>
      </c>
      <c r="P20" s="11">
        <f>Table132[[#This Row],[Base Contract]]-Table132[[#This Row],[QU Original Budget]]</f>
        <v>12019</v>
      </c>
      <c r="Q20" s="11">
        <f>Table132[[#This Row],[Approved Change Orders]]-Table132[[#This Row],[CO Change Order Budget]]</f>
        <v>0</v>
      </c>
      <c r="R20" s="11">
        <v>0</v>
      </c>
      <c r="S20" s="11">
        <f>Table132[[#This Row],[Total Direct Budget]]-Table132[[#This Row],[Estimated Total Direct Costs]]</f>
        <v>0</v>
      </c>
      <c r="T20" s="11">
        <f>+Table132[[#This Row],[Adjusted Contract Price]]-Table132[[#This Row],[Total Direct Budget]]</f>
        <v>12019</v>
      </c>
      <c r="U20" s="11">
        <f>+Table132[[#This Row],[Adjusted Contract Price]]-Table132[[#This Row],[Estimated Total Direct Costs]]</f>
        <v>12019</v>
      </c>
      <c r="V20" s="12">
        <f>IF(Table132[[#This Row],[Adjusted Contract Price]]=0,0,+Table132[[#This Row],[Budgeted Gross Profit (Loss)]]/Table132[[#This Row],[Adjusted Contract Price]])</f>
        <v>1</v>
      </c>
      <c r="W20" s="12">
        <f>IF(Table132[[#This Row],[Adjusted Contract Price]]=0,0,+Table132[[#This Row],[Estimated Gross Profit (Loss)]]/Table132[[#This Row],[Adjusted Contract Price]])</f>
        <v>1</v>
      </c>
      <c r="X20" s="12">
        <v>0</v>
      </c>
      <c r="Y20" s="12">
        <f>Table132[[#This Row],[Current GP %]]-Table132[[#This Row],[Prior Month1 GP]]</f>
        <v>1</v>
      </c>
      <c r="Z20" s="12">
        <v>0</v>
      </c>
      <c r="AA20" s="12">
        <f>Table132[[#This Row],[Current GP %]]-Table132[[#This Row],[Prior Month2 GP]]</f>
        <v>1</v>
      </c>
      <c r="AB20" s="12">
        <v>0</v>
      </c>
      <c r="AC20" s="12">
        <f>Table132[[#This Row],[Current GP %]]-Table132[[#This Row],[Prior Month3 GP]]</f>
        <v>1</v>
      </c>
      <c r="AD20" s="11">
        <v>0</v>
      </c>
      <c r="AE20" s="13">
        <f>IF(Table132[[#This Row],[Estimated Total Direct Costs]]=0,0,+Table132[[#This Row],[Direct Cost To Date]]/Table132[[#This Row],[Estimated Total Direct Costs]])</f>
        <v>0</v>
      </c>
      <c r="AF20" s="11">
        <f>+Table132[[#This Row],[Estimated Gross Profit (Loss)]]*Table132[[#This Row],[% Complete]]</f>
        <v>0</v>
      </c>
      <c r="AG20" s="11"/>
      <c r="AH20" s="11">
        <f>+Table132[[#This Row],[Total Gross Profit Recognized To Date]]-Table132[[#This Row],[Gross Profit Recognized Prior Years]]</f>
        <v>0</v>
      </c>
      <c r="AI20" s="11">
        <v>12018.98</v>
      </c>
      <c r="AJ20" s="11">
        <f>Table132[[#This Row],[Adjusted Contract Price]]-Table132[[#This Row],[Total Amount Billed To Date]]</f>
        <v>2.0000000000436557E-2</v>
      </c>
      <c r="AK20" s="11">
        <v>0</v>
      </c>
      <c r="AL20" s="12">
        <f>IF(Table132[[#This Row],[Total Amount Billed To Date]]=0,0,+Table132[[#This Row],[Current Retainage Amount]]/Table132[[#This Row],[Total Amount Billed To Date]])</f>
        <v>0</v>
      </c>
      <c r="AM20" s="11">
        <v>12018.98</v>
      </c>
      <c r="AN20" s="11">
        <f>Table132[[#This Row],[Cash Received]]-Table132[[#This Row],[Direct Cost To Date]]</f>
        <v>12018.98</v>
      </c>
      <c r="AO20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0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12018.98</v>
      </c>
      <c r="AQ20" s="11">
        <v>0</v>
      </c>
      <c r="AR20" s="11">
        <v>0</v>
      </c>
      <c r="AS20" s="11">
        <v>0</v>
      </c>
      <c r="AT20" s="11">
        <v>12018.98</v>
      </c>
      <c r="AU20" s="11">
        <v>0</v>
      </c>
      <c r="AV20" s="11">
        <v>0</v>
      </c>
      <c r="AW20" s="9"/>
    </row>
    <row r="21" spans="1:49" ht="12.75" customHeight="1" x14ac:dyDescent="0.2">
      <c r="A21" t="s">
        <v>95</v>
      </c>
      <c r="B21" t="s">
        <v>96</v>
      </c>
      <c r="C21" t="s">
        <v>74</v>
      </c>
      <c r="D21" t="s">
        <v>54</v>
      </c>
      <c r="E21" t="s">
        <v>54</v>
      </c>
      <c r="F21" t="s">
        <v>55</v>
      </c>
      <c r="G21" s="2" t="s">
        <v>56</v>
      </c>
      <c r="H21" s="11">
        <v>425000</v>
      </c>
      <c r="I21" s="11">
        <v>0</v>
      </c>
      <c r="J21" s="11">
        <f>Table132[[#This Row],[Adjusted Contract Price]]-Table132[[#This Row],[Base Contract]]-Table132[[#This Row],[Approved Change Orders]]</f>
        <v>0</v>
      </c>
      <c r="K21" s="11"/>
      <c r="L21" s="11">
        <v>425000</v>
      </c>
      <c r="M21" s="11">
        <v>321840.71000000002</v>
      </c>
      <c r="N21" s="11">
        <v>0</v>
      </c>
      <c r="O21" s="11">
        <v>0</v>
      </c>
      <c r="P21" s="11">
        <f>Table132[[#This Row],[Base Contract]]-Table132[[#This Row],[QU Original Budget]]</f>
        <v>425000</v>
      </c>
      <c r="Q21" s="11">
        <f>Table132[[#This Row],[Approved Change Orders]]-Table132[[#This Row],[CO Change Order Budget]]</f>
        <v>0</v>
      </c>
      <c r="R21" s="11">
        <v>0</v>
      </c>
      <c r="S21" s="11">
        <f>Table132[[#This Row],[Total Direct Budget]]-Table132[[#This Row],[Estimated Total Direct Costs]]</f>
        <v>-321840.71000000002</v>
      </c>
      <c r="T21" s="11">
        <f>+Table132[[#This Row],[Adjusted Contract Price]]-Table132[[#This Row],[Total Direct Budget]]</f>
        <v>425000</v>
      </c>
      <c r="U21" s="11">
        <f>+Table132[[#This Row],[Adjusted Contract Price]]-Table132[[#This Row],[Estimated Total Direct Costs]]</f>
        <v>103159.28999999998</v>
      </c>
      <c r="V21" s="12">
        <f>IF(Table132[[#This Row],[Adjusted Contract Price]]=0,0,+Table132[[#This Row],[Budgeted Gross Profit (Loss)]]/Table132[[#This Row],[Adjusted Contract Price]])</f>
        <v>1</v>
      </c>
      <c r="W21" s="12">
        <f>IF(Table132[[#This Row],[Adjusted Contract Price]]=0,0,+Table132[[#This Row],[Estimated Gross Profit (Loss)]]/Table132[[#This Row],[Adjusted Contract Price]])</f>
        <v>0.24272774117647053</v>
      </c>
      <c r="X21" s="12">
        <v>0</v>
      </c>
      <c r="Y21" s="12">
        <f>Table132[[#This Row],[Current GP %]]-Table132[[#This Row],[Prior Month1 GP]]</f>
        <v>0.24272774117647053</v>
      </c>
      <c r="Z21" s="12">
        <v>0</v>
      </c>
      <c r="AA21" s="12">
        <f>Table132[[#This Row],[Current GP %]]-Table132[[#This Row],[Prior Month2 GP]]</f>
        <v>0.24272774117647053</v>
      </c>
      <c r="AB21" s="12">
        <v>0</v>
      </c>
      <c r="AC21" s="12">
        <f>Table132[[#This Row],[Current GP %]]-Table132[[#This Row],[Prior Month3 GP]]</f>
        <v>0.24272774117647053</v>
      </c>
      <c r="AD21" s="11">
        <v>321840.71000000002</v>
      </c>
      <c r="AE21" s="13">
        <f>IF(Table132[[#This Row],[Estimated Total Direct Costs]]=0,0,+Table132[[#This Row],[Direct Cost To Date]]/Table132[[#This Row],[Estimated Total Direct Costs]])</f>
        <v>1</v>
      </c>
      <c r="AF21" s="11">
        <f>+Table132[[#This Row],[Estimated Gross Profit (Loss)]]*Table132[[#This Row],[% Complete]]</f>
        <v>103159.28999999998</v>
      </c>
      <c r="AG21" s="11"/>
      <c r="AH21" s="11">
        <f>+Table132[[#This Row],[Total Gross Profit Recognized To Date]]-Table132[[#This Row],[Gross Profit Recognized Prior Years]]</f>
        <v>103159.28999999998</v>
      </c>
      <c r="AI21" s="11">
        <v>425000</v>
      </c>
      <c r="AJ21" s="11">
        <f>Table132[[#This Row],[Adjusted Contract Price]]-Table132[[#This Row],[Total Amount Billed To Date]]</f>
        <v>0</v>
      </c>
      <c r="AK21" s="11">
        <v>0</v>
      </c>
      <c r="AL21" s="12">
        <f>IF(Table132[[#This Row],[Total Amount Billed To Date]]=0,0,+Table132[[#This Row],[Current Retainage Amount]]/Table132[[#This Row],[Total Amount Billed To Date]])</f>
        <v>0</v>
      </c>
      <c r="AM21" s="11">
        <v>425000</v>
      </c>
      <c r="AN21" s="11">
        <f>Table132[[#This Row],[Cash Received]]-Table132[[#This Row],[Direct Cost To Date]]</f>
        <v>103159.28999999998</v>
      </c>
      <c r="AO21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1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1" s="11">
        <v>0</v>
      </c>
      <c r="AR21" s="11">
        <v>0</v>
      </c>
      <c r="AS21" s="11">
        <v>0</v>
      </c>
      <c r="AT21" s="11">
        <v>425000</v>
      </c>
      <c r="AU21" s="11">
        <v>0</v>
      </c>
      <c r="AV21" s="11">
        <v>0</v>
      </c>
      <c r="AW21" s="9">
        <v>45175</v>
      </c>
    </row>
    <row r="22" spans="1:49" ht="12.75" customHeight="1" x14ac:dyDescent="0.2">
      <c r="A22" t="s">
        <v>97</v>
      </c>
      <c r="B22" t="s">
        <v>98</v>
      </c>
      <c r="C22" t="s">
        <v>54</v>
      </c>
      <c r="D22" t="s">
        <v>54</v>
      </c>
      <c r="E22" t="s">
        <v>54</v>
      </c>
      <c r="F22" t="s">
        <v>99</v>
      </c>
      <c r="G22" s="2" t="s">
        <v>56</v>
      </c>
      <c r="H22" s="11">
        <v>91980</v>
      </c>
      <c r="I22" s="11">
        <v>9500</v>
      </c>
      <c r="J22" s="11">
        <f>Table132[[#This Row],[Adjusted Contract Price]]-Table132[[#This Row],[Base Contract]]-Table132[[#This Row],[Approved Change Orders]]</f>
        <v>0</v>
      </c>
      <c r="K22" s="11"/>
      <c r="L22" s="11">
        <v>101480</v>
      </c>
      <c r="M22" s="11">
        <v>48804.98</v>
      </c>
      <c r="N22" s="11">
        <v>0</v>
      </c>
      <c r="O22" s="11">
        <v>0</v>
      </c>
      <c r="P22" s="11">
        <f>Table132[[#This Row],[Base Contract]]-Table132[[#This Row],[QU Original Budget]]</f>
        <v>91980</v>
      </c>
      <c r="Q22" s="11">
        <f>Table132[[#This Row],[Approved Change Orders]]-Table132[[#This Row],[CO Change Order Budget]]</f>
        <v>9500</v>
      </c>
      <c r="R22" s="11">
        <v>0</v>
      </c>
      <c r="S22" s="11">
        <f>Table132[[#This Row],[Total Direct Budget]]-Table132[[#This Row],[Estimated Total Direct Costs]]</f>
        <v>-48804.98</v>
      </c>
      <c r="T22" s="11">
        <f>+Table132[[#This Row],[Adjusted Contract Price]]-Table132[[#This Row],[Total Direct Budget]]</f>
        <v>101480</v>
      </c>
      <c r="U22" s="11">
        <f>+Table132[[#This Row],[Adjusted Contract Price]]-Table132[[#This Row],[Estimated Total Direct Costs]]</f>
        <v>52675.02</v>
      </c>
      <c r="V22" s="12">
        <f>IF(Table132[[#This Row],[Adjusted Contract Price]]=0,0,+Table132[[#This Row],[Budgeted Gross Profit (Loss)]]/Table132[[#This Row],[Adjusted Contract Price]])</f>
        <v>1</v>
      </c>
      <c r="W22" s="12">
        <f>IF(Table132[[#This Row],[Adjusted Contract Price]]=0,0,+Table132[[#This Row],[Estimated Gross Profit (Loss)]]/Table132[[#This Row],[Adjusted Contract Price]])</f>
        <v>0.51906799369333856</v>
      </c>
      <c r="X22" s="12">
        <v>0</v>
      </c>
      <c r="Y22" s="12">
        <f>Table132[[#This Row],[Current GP %]]-Table132[[#This Row],[Prior Month1 GP]]</f>
        <v>0.51906799369333856</v>
      </c>
      <c r="Z22" s="12">
        <v>0</v>
      </c>
      <c r="AA22" s="12">
        <f>Table132[[#This Row],[Current GP %]]-Table132[[#This Row],[Prior Month2 GP]]</f>
        <v>0.51906799369333856</v>
      </c>
      <c r="AB22" s="12">
        <v>0</v>
      </c>
      <c r="AC22" s="12">
        <f>Table132[[#This Row],[Current GP %]]-Table132[[#This Row],[Prior Month3 GP]]</f>
        <v>0.51906799369333856</v>
      </c>
      <c r="AD22" s="11">
        <v>48804.98</v>
      </c>
      <c r="AE22" s="13">
        <f>IF(Table132[[#This Row],[Estimated Total Direct Costs]]=0,0,+Table132[[#This Row],[Direct Cost To Date]]/Table132[[#This Row],[Estimated Total Direct Costs]])</f>
        <v>1</v>
      </c>
      <c r="AF22" s="11">
        <f>+Table132[[#This Row],[Estimated Gross Profit (Loss)]]*Table132[[#This Row],[% Complete]]</f>
        <v>52675.02</v>
      </c>
      <c r="AG22" s="11"/>
      <c r="AH22" s="11">
        <f>+Table132[[#This Row],[Total Gross Profit Recognized To Date]]-Table132[[#This Row],[Gross Profit Recognized Prior Years]]</f>
        <v>52675.02</v>
      </c>
      <c r="AI22" s="11">
        <v>101480</v>
      </c>
      <c r="AJ22" s="11">
        <f>Table132[[#This Row],[Adjusted Contract Price]]-Table132[[#This Row],[Total Amount Billed To Date]]</f>
        <v>0</v>
      </c>
      <c r="AK22" s="11">
        <v>0</v>
      </c>
      <c r="AL22" s="12">
        <f>IF(Table132[[#This Row],[Total Amount Billed To Date]]=0,0,+Table132[[#This Row],[Current Retainage Amount]]/Table132[[#This Row],[Total Amount Billed To Date]])</f>
        <v>0</v>
      </c>
      <c r="AM22" s="11">
        <v>101480</v>
      </c>
      <c r="AN22" s="11">
        <f>Table132[[#This Row],[Cash Received]]-Table132[[#This Row],[Direct Cost To Date]]</f>
        <v>52675.02</v>
      </c>
      <c r="AO22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2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2" s="11">
        <v>0</v>
      </c>
      <c r="AR22" s="11">
        <v>0</v>
      </c>
      <c r="AS22" s="11">
        <v>0</v>
      </c>
      <c r="AT22" s="11">
        <v>101480</v>
      </c>
      <c r="AU22" s="11">
        <v>0</v>
      </c>
      <c r="AV22" s="11">
        <v>0</v>
      </c>
      <c r="AW22" s="9">
        <v>44561</v>
      </c>
    </row>
    <row r="23" spans="1:49" ht="12.75" customHeight="1" x14ac:dyDescent="0.2">
      <c r="A23" t="s">
        <v>100</v>
      </c>
      <c r="B23" t="s">
        <v>101</v>
      </c>
      <c r="C23" t="s">
        <v>102</v>
      </c>
      <c r="D23" t="s">
        <v>54</v>
      </c>
      <c r="E23" t="s">
        <v>54</v>
      </c>
      <c r="F23" t="s">
        <v>55</v>
      </c>
      <c r="G23" s="2" t="s">
        <v>56</v>
      </c>
      <c r="H23" s="11">
        <v>352000</v>
      </c>
      <c r="I23" s="11">
        <v>33812.04</v>
      </c>
      <c r="J23" s="11">
        <f>Table132[[#This Row],[Adjusted Contract Price]]-Table132[[#This Row],[Base Contract]]-Table132[[#This Row],[Approved Change Orders]]</f>
        <v>0</v>
      </c>
      <c r="K23" s="11"/>
      <c r="L23" s="11">
        <v>385812.04</v>
      </c>
      <c r="M23" s="11">
        <v>219653.46</v>
      </c>
      <c r="N23" s="11">
        <v>287820</v>
      </c>
      <c r="O23" s="11">
        <v>24384.98</v>
      </c>
      <c r="P23" s="11">
        <f>Table132[[#This Row],[Base Contract]]-Table132[[#This Row],[QU Original Budget]]</f>
        <v>64180</v>
      </c>
      <c r="Q23" s="11">
        <f>Table132[[#This Row],[Approved Change Orders]]-Table132[[#This Row],[CO Change Order Budget]]</f>
        <v>9427.0600000000013</v>
      </c>
      <c r="R23" s="11">
        <v>312204.98</v>
      </c>
      <c r="S23" s="11">
        <f>Table132[[#This Row],[Total Direct Budget]]-Table132[[#This Row],[Estimated Total Direct Costs]]</f>
        <v>92551.51999999999</v>
      </c>
      <c r="T23" s="11">
        <f>+Table132[[#This Row],[Adjusted Contract Price]]-Table132[[#This Row],[Total Direct Budget]]</f>
        <v>73607.06</v>
      </c>
      <c r="U23" s="11">
        <f>+Table132[[#This Row],[Adjusted Contract Price]]-Table132[[#This Row],[Estimated Total Direct Costs]]</f>
        <v>166158.57999999999</v>
      </c>
      <c r="V23" s="12">
        <f>IF(Table132[[#This Row],[Adjusted Contract Price]]=0,0,+Table132[[#This Row],[Budgeted Gross Profit (Loss)]]/Table132[[#This Row],[Adjusted Contract Price]])</f>
        <v>0.19078476659256149</v>
      </c>
      <c r="W23" s="12">
        <f>IF(Table132[[#This Row],[Adjusted Contract Price]]=0,0,+Table132[[#This Row],[Estimated Gross Profit (Loss)]]/Table132[[#This Row],[Adjusted Contract Price]])</f>
        <v>0.43067235537802295</v>
      </c>
      <c r="X23" s="12">
        <v>0.80921500000000002</v>
      </c>
      <c r="Y23" s="12">
        <f>Table132[[#This Row],[Current GP %]]-Table132[[#This Row],[Prior Month1 GP]]</f>
        <v>-0.37854264462197706</v>
      </c>
      <c r="Z23" s="12">
        <v>0.80921500000000002</v>
      </c>
      <c r="AA23" s="12">
        <f>Table132[[#This Row],[Current GP %]]-Table132[[#This Row],[Prior Month2 GP]]</f>
        <v>-0.37854264462197706</v>
      </c>
      <c r="AB23" s="12">
        <v>0.80921500000000002</v>
      </c>
      <c r="AC23" s="12">
        <f>Table132[[#This Row],[Current GP %]]-Table132[[#This Row],[Prior Month3 GP]]</f>
        <v>-0.37854264462197706</v>
      </c>
      <c r="AD23" s="11">
        <v>219653.46</v>
      </c>
      <c r="AE23" s="13">
        <f>IF(Table132[[#This Row],[Estimated Total Direct Costs]]=0,0,+Table132[[#This Row],[Direct Cost To Date]]/Table132[[#This Row],[Estimated Total Direct Costs]])</f>
        <v>1</v>
      </c>
      <c r="AF23" s="11">
        <f>+Table132[[#This Row],[Estimated Gross Profit (Loss)]]*Table132[[#This Row],[% Complete]]</f>
        <v>166158.57999999999</v>
      </c>
      <c r="AG23" s="11"/>
      <c r="AH23" s="11">
        <f>+Table132[[#This Row],[Total Gross Profit Recognized To Date]]-Table132[[#This Row],[Gross Profit Recognized Prior Years]]</f>
        <v>166158.57999999999</v>
      </c>
      <c r="AI23" s="11">
        <v>385812.04</v>
      </c>
      <c r="AJ23" s="11">
        <f>Table132[[#This Row],[Adjusted Contract Price]]-Table132[[#This Row],[Total Amount Billed To Date]]</f>
        <v>0</v>
      </c>
      <c r="AK23" s="11">
        <v>0</v>
      </c>
      <c r="AL23" s="12">
        <f>IF(Table132[[#This Row],[Total Amount Billed To Date]]=0,0,+Table132[[#This Row],[Current Retainage Amount]]/Table132[[#This Row],[Total Amount Billed To Date]])</f>
        <v>0</v>
      </c>
      <c r="AM23" s="11">
        <v>385812.04</v>
      </c>
      <c r="AN23" s="11">
        <f>Table132[[#This Row],[Cash Received]]-Table132[[#This Row],[Direct Cost To Date]]</f>
        <v>166158.57999999999</v>
      </c>
      <c r="AO23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3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3" s="11">
        <v>0</v>
      </c>
      <c r="AR23" s="11">
        <v>0</v>
      </c>
      <c r="AS23" s="11">
        <v>0</v>
      </c>
      <c r="AT23" s="11">
        <v>385812.04</v>
      </c>
      <c r="AU23" s="11">
        <v>10458.67</v>
      </c>
      <c r="AV23" s="11">
        <v>0</v>
      </c>
      <c r="AW23" s="9">
        <v>45175</v>
      </c>
    </row>
    <row r="24" spans="1:49" ht="12.75" customHeight="1" x14ac:dyDescent="0.2">
      <c r="A24" t="s">
        <v>103</v>
      </c>
      <c r="B24" t="s">
        <v>104</v>
      </c>
      <c r="C24" t="s">
        <v>105</v>
      </c>
      <c r="D24" t="s">
        <v>54</v>
      </c>
      <c r="E24" t="s">
        <v>54</v>
      </c>
      <c r="F24" t="s">
        <v>78</v>
      </c>
      <c r="G24" s="2" t="s">
        <v>56</v>
      </c>
      <c r="H24" s="11">
        <v>30000</v>
      </c>
      <c r="I24" s="11">
        <v>0</v>
      </c>
      <c r="J24" s="11">
        <f>Table132[[#This Row],[Adjusted Contract Price]]-Table132[[#This Row],[Base Contract]]-Table132[[#This Row],[Approved Change Orders]]</f>
        <v>0</v>
      </c>
      <c r="K24" s="11"/>
      <c r="L24" s="11">
        <v>30000</v>
      </c>
      <c r="M24" s="11">
        <v>15209.84</v>
      </c>
      <c r="N24" s="11">
        <v>21000</v>
      </c>
      <c r="O24" s="11">
        <v>0</v>
      </c>
      <c r="P24" s="11">
        <f>Table132[[#This Row],[Base Contract]]-Table132[[#This Row],[QU Original Budget]]</f>
        <v>9000</v>
      </c>
      <c r="Q24" s="11">
        <f>Table132[[#This Row],[Approved Change Orders]]-Table132[[#This Row],[CO Change Order Budget]]</f>
        <v>0</v>
      </c>
      <c r="R24" s="11">
        <v>21000</v>
      </c>
      <c r="S24" s="11">
        <f>Table132[[#This Row],[Total Direct Budget]]-Table132[[#This Row],[Estimated Total Direct Costs]]</f>
        <v>5790.16</v>
      </c>
      <c r="T24" s="11">
        <f>+Table132[[#This Row],[Adjusted Contract Price]]-Table132[[#This Row],[Total Direct Budget]]</f>
        <v>9000</v>
      </c>
      <c r="U24" s="11">
        <f>+Table132[[#This Row],[Adjusted Contract Price]]-Table132[[#This Row],[Estimated Total Direct Costs]]</f>
        <v>14790.16</v>
      </c>
      <c r="V24" s="12">
        <f>IF(Table132[[#This Row],[Adjusted Contract Price]]=0,0,+Table132[[#This Row],[Budgeted Gross Profit (Loss)]]/Table132[[#This Row],[Adjusted Contract Price]])</f>
        <v>0.3</v>
      </c>
      <c r="W24" s="12">
        <f>IF(Table132[[#This Row],[Adjusted Contract Price]]=0,0,+Table132[[#This Row],[Estimated Gross Profit (Loss)]]/Table132[[#This Row],[Adjusted Contract Price]])</f>
        <v>0.49300533333333335</v>
      </c>
      <c r="X24" s="12">
        <v>0.7</v>
      </c>
      <c r="Y24" s="12">
        <f>Table132[[#This Row],[Current GP %]]-Table132[[#This Row],[Prior Month1 GP]]</f>
        <v>-0.2069946666666666</v>
      </c>
      <c r="Z24" s="12">
        <v>0.7</v>
      </c>
      <c r="AA24" s="12">
        <f>Table132[[#This Row],[Current GP %]]-Table132[[#This Row],[Prior Month2 GP]]</f>
        <v>-0.2069946666666666</v>
      </c>
      <c r="AB24" s="12">
        <v>0.7</v>
      </c>
      <c r="AC24" s="12">
        <f>Table132[[#This Row],[Current GP %]]-Table132[[#This Row],[Prior Month3 GP]]</f>
        <v>-0.2069946666666666</v>
      </c>
      <c r="AD24" s="11">
        <v>15209.84</v>
      </c>
      <c r="AE24" s="13">
        <f>IF(Table132[[#This Row],[Estimated Total Direct Costs]]=0,0,+Table132[[#This Row],[Direct Cost To Date]]/Table132[[#This Row],[Estimated Total Direct Costs]])</f>
        <v>1</v>
      </c>
      <c r="AF24" s="11">
        <f>+Table132[[#This Row],[Estimated Gross Profit (Loss)]]*Table132[[#This Row],[% Complete]]</f>
        <v>14790.16</v>
      </c>
      <c r="AG24" s="11"/>
      <c r="AH24" s="11">
        <f>+Table132[[#This Row],[Total Gross Profit Recognized To Date]]-Table132[[#This Row],[Gross Profit Recognized Prior Years]]</f>
        <v>14790.16</v>
      </c>
      <c r="AI24" s="11">
        <v>30000</v>
      </c>
      <c r="AJ24" s="11">
        <f>Table132[[#This Row],[Adjusted Contract Price]]-Table132[[#This Row],[Total Amount Billed To Date]]</f>
        <v>0</v>
      </c>
      <c r="AK24" s="11">
        <v>0</v>
      </c>
      <c r="AL24" s="12">
        <f>IF(Table132[[#This Row],[Total Amount Billed To Date]]=0,0,+Table132[[#This Row],[Current Retainage Amount]]/Table132[[#This Row],[Total Amount Billed To Date]])</f>
        <v>0</v>
      </c>
      <c r="AM24" s="11">
        <v>30000</v>
      </c>
      <c r="AN24" s="11">
        <f>Table132[[#This Row],[Cash Received]]-Table132[[#This Row],[Direct Cost To Date]]</f>
        <v>14790.16</v>
      </c>
      <c r="AO24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4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4" s="11">
        <v>0</v>
      </c>
      <c r="AR24" s="11">
        <v>0</v>
      </c>
      <c r="AS24" s="11">
        <v>0</v>
      </c>
      <c r="AT24" s="11">
        <v>30000</v>
      </c>
      <c r="AU24" s="11">
        <v>0</v>
      </c>
      <c r="AV24" s="11">
        <v>0</v>
      </c>
      <c r="AW24" s="9">
        <v>45267</v>
      </c>
    </row>
    <row r="25" spans="1:49" ht="12.75" customHeight="1" x14ac:dyDescent="0.2">
      <c r="A25" t="s">
        <v>106</v>
      </c>
      <c r="B25" t="s">
        <v>107</v>
      </c>
      <c r="C25" t="s">
        <v>108</v>
      </c>
      <c r="D25" t="s">
        <v>54</v>
      </c>
      <c r="E25" t="s">
        <v>54</v>
      </c>
      <c r="F25" t="s">
        <v>109</v>
      </c>
      <c r="G25" s="2" t="s">
        <v>56</v>
      </c>
      <c r="H25" s="11">
        <v>5100000</v>
      </c>
      <c r="I25" s="11">
        <v>930000</v>
      </c>
      <c r="J25" s="11">
        <f>Table132[[#This Row],[Adjusted Contract Price]]-Table132[[#This Row],[Base Contract]]-Table132[[#This Row],[Approved Change Orders]]</f>
        <v>0</v>
      </c>
      <c r="K25" s="11"/>
      <c r="L25" s="11">
        <v>6030000</v>
      </c>
      <c r="M25" s="11">
        <v>4374347.5999999996</v>
      </c>
      <c r="N25" s="11">
        <v>4743000</v>
      </c>
      <c r="O25" s="11">
        <v>0</v>
      </c>
      <c r="P25" s="11">
        <f>Table132[[#This Row],[Base Contract]]-Table132[[#This Row],[QU Original Budget]]</f>
        <v>357000</v>
      </c>
      <c r="Q25" s="11">
        <f>Table132[[#This Row],[Approved Change Orders]]-Table132[[#This Row],[CO Change Order Budget]]</f>
        <v>930000</v>
      </c>
      <c r="R25" s="11">
        <v>4743000</v>
      </c>
      <c r="S25" s="11">
        <f>Table132[[#This Row],[Total Direct Budget]]-Table132[[#This Row],[Estimated Total Direct Costs]]</f>
        <v>368652.40000000037</v>
      </c>
      <c r="T25" s="11">
        <f>+Table132[[#This Row],[Adjusted Contract Price]]-Table132[[#This Row],[Total Direct Budget]]</f>
        <v>1287000</v>
      </c>
      <c r="U25" s="11">
        <f>+Table132[[#This Row],[Adjusted Contract Price]]-Table132[[#This Row],[Estimated Total Direct Costs]]</f>
        <v>1655652.4000000004</v>
      </c>
      <c r="V25" s="12">
        <f>IF(Table132[[#This Row],[Adjusted Contract Price]]=0,0,+Table132[[#This Row],[Budgeted Gross Profit (Loss)]]/Table132[[#This Row],[Adjusted Contract Price]])</f>
        <v>0.21343283582089553</v>
      </c>
      <c r="W25" s="12">
        <f>IF(Table132[[#This Row],[Adjusted Contract Price]]=0,0,+Table132[[#This Row],[Estimated Gross Profit (Loss)]]/Table132[[#This Row],[Adjusted Contract Price]])</f>
        <v>0.27456922056384747</v>
      </c>
      <c r="X25" s="12">
        <v>0.78656700000000002</v>
      </c>
      <c r="Y25" s="12">
        <f>Table132[[#This Row],[Current GP %]]-Table132[[#This Row],[Prior Month1 GP]]</f>
        <v>-0.51199777943615254</v>
      </c>
      <c r="Z25" s="12">
        <v>0.78656700000000002</v>
      </c>
      <c r="AA25" s="12">
        <f>Table132[[#This Row],[Current GP %]]-Table132[[#This Row],[Prior Month2 GP]]</f>
        <v>-0.51199777943615254</v>
      </c>
      <c r="AB25" s="12">
        <v>0.78656700000000002</v>
      </c>
      <c r="AC25" s="12">
        <f>Table132[[#This Row],[Current GP %]]-Table132[[#This Row],[Prior Month3 GP]]</f>
        <v>-0.51199777943615254</v>
      </c>
      <c r="AD25" s="11">
        <v>4371438.6500000004</v>
      </c>
      <c r="AE25" s="13">
        <f>IF(Table132[[#This Row],[Estimated Total Direct Costs]]=0,0,+Table132[[#This Row],[Direct Cost To Date]]/Table132[[#This Row],[Estimated Total Direct Costs]])</f>
        <v>0.99933499797775571</v>
      </c>
      <c r="AF25" s="11">
        <f>+Table132[[#This Row],[Estimated Gross Profit (Loss)]]*Table132[[#This Row],[% Complete]]</f>
        <v>1654551.3878058668</v>
      </c>
      <c r="AG25" s="11"/>
      <c r="AH25" s="11">
        <f>+Table132[[#This Row],[Total Gross Profit Recognized To Date]]-Table132[[#This Row],[Gross Profit Recognized Prior Years]]</f>
        <v>1654551.3878058668</v>
      </c>
      <c r="AI25" s="11">
        <v>6030000</v>
      </c>
      <c r="AJ25" s="11">
        <f>Table132[[#This Row],[Adjusted Contract Price]]-Table132[[#This Row],[Total Amount Billed To Date]]</f>
        <v>0</v>
      </c>
      <c r="AK25" s="11">
        <v>0</v>
      </c>
      <c r="AL25" s="12">
        <f>IF(Table132[[#This Row],[Total Amount Billed To Date]]=0,0,+Table132[[#This Row],[Current Retainage Amount]]/Table132[[#This Row],[Total Amount Billed To Date]])</f>
        <v>0</v>
      </c>
      <c r="AM25" s="11">
        <v>6030000</v>
      </c>
      <c r="AN25" s="11">
        <f>Table132[[#This Row],[Cash Received]]-Table132[[#This Row],[Direct Cost To Date]]</f>
        <v>1658561.3499999996</v>
      </c>
      <c r="AO25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5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4009.9621941326186</v>
      </c>
      <c r="AQ25" s="11">
        <v>10918.24</v>
      </c>
      <c r="AR25" s="11">
        <v>130000</v>
      </c>
      <c r="AS25" s="11">
        <v>0</v>
      </c>
      <c r="AT25" s="11">
        <v>6030000</v>
      </c>
      <c r="AU25" s="11">
        <v>283687.42</v>
      </c>
      <c r="AV25" s="11">
        <v>0</v>
      </c>
      <c r="AW25" s="9">
        <v>45734</v>
      </c>
    </row>
    <row r="26" spans="1:49" ht="12.75" customHeight="1" x14ac:dyDescent="0.2">
      <c r="A26" t="s">
        <v>110</v>
      </c>
      <c r="B26" t="s">
        <v>111</v>
      </c>
      <c r="C26" t="s">
        <v>112</v>
      </c>
      <c r="D26" t="s">
        <v>54</v>
      </c>
      <c r="E26" t="s">
        <v>54</v>
      </c>
      <c r="F26" t="s">
        <v>78</v>
      </c>
      <c r="G26" s="2" t="s">
        <v>56</v>
      </c>
      <c r="H26" s="11">
        <v>133850</v>
      </c>
      <c r="I26" s="11">
        <v>400</v>
      </c>
      <c r="J26" s="11">
        <f>Table132[[#This Row],[Adjusted Contract Price]]-Table132[[#This Row],[Base Contract]]-Table132[[#This Row],[Approved Change Orders]]</f>
        <v>0</v>
      </c>
      <c r="K26" s="11"/>
      <c r="L26" s="11">
        <v>134250</v>
      </c>
      <c r="M26" s="11">
        <v>21695.279999999999</v>
      </c>
      <c r="N26" s="11">
        <v>100850</v>
      </c>
      <c r="O26" s="11">
        <v>0</v>
      </c>
      <c r="P26" s="11">
        <f>Table132[[#This Row],[Base Contract]]-Table132[[#This Row],[QU Original Budget]]</f>
        <v>33000</v>
      </c>
      <c r="Q26" s="11">
        <f>Table132[[#This Row],[Approved Change Orders]]-Table132[[#This Row],[CO Change Order Budget]]</f>
        <v>400</v>
      </c>
      <c r="R26" s="11">
        <v>100850</v>
      </c>
      <c r="S26" s="11">
        <f>Table132[[#This Row],[Total Direct Budget]]-Table132[[#This Row],[Estimated Total Direct Costs]]</f>
        <v>79154.720000000001</v>
      </c>
      <c r="T26" s="11">
        <f>+Table132[[#This Row],[Adjusted Contract Price]]-Table132[[#This Row],[Total Direct Budget]]</f>
        <v>33400</v>
      </c>
      <c r="U26" s="11">
        <f>+Table132[[#This Row],[Adjusted Contract Price]]-Table132[[#This Row],[Estimated Total Direct Costs]]</f>
        <v>112554.72</v>
      </c>
      <c r="V26" s="12">
        <f>IF(Table132[[#This Row],[Adjusted Contract Price]]=0,0,+Table132[[#This Row],[Budgeted Gross Profit (Loss)]]/Table132[[#This Row],[Adjusted Contract Price]])</f>
        <v>0.24878957169459961</v>
      </c>
      <c r="W26" s="12">
        <f>IF(Table132[[#This Row],[Adjusted Contract Price]]=0,0,+Table132[[#This Row],[Estimated Gross Profit (Loss)]]/Table132[[#This Row],[Adjusted Contract Price]])</f>
        <v>0.83839642458100561</v>
      </c>
      <c r="X26" s="12">
        <v>0.75121000000000004</v>
      </c>
      <c r="Y26" s="12">
        <f>Table132[[#This Row],[Current GP %]]-Table132[[#This Row],[Prior Month1 GP]]</f>
        <v>8.7186424581005562E-2</v>
      </c>
      <c r="Z26" s="12">
        <v>0.75121000000000004</v>
      </c>
      <c r="AA26" s="12">
        <f>Table132[[#This Row],[Current GP %]]-Table132[[#This Row],[Prior Month2 GP]]</f>
        <v>8.7186424581005562E-2</v>
      </c>
      <c r="AB26" s="12">
        <v>0.75121000000000004</v>
      </c>
      <c r="AC26" s="12">
        <f>Table132[[#This Row],[Current GP %]]-Table132[[#This Row],[Prior Month3 GP]]</f>
        <v>8.7186424581005562E-2</v>
      </c>
      <c r="AD26" s="11">
        <v>21695.279999999999</v>
      </c>
      <c r="AE26" s="13">
        <f>IF(Table132[[#This Row],[Estimated Total Direct Costs]]=0,0,+Table132[[#This Row],[Direct Cost To Date]]/Table132[[#This Row],[Estimated Total Direct Costs]])</f>
        <v>1</v>
      </c>
      <c r="AF26" s="11">
        <f>+Table132[[#This Row],[Estimated Gross Profit (Loss)]]*Table132[[#This Row],[% Complete]]</f>
        <v>112554.72</v>
      </c>
      <c r="AG26" s="11"/>
      <c r="AH26" s="11">
        <f>+Table132[[#This Row],[Total Gross Profit Recognized To Date]]-Table132[[#This Row],[Gross Profit Recognized Prior Years]]</f>
        <v>112554.72</v>
      </c>
      <c r="AI26" s="11">
        <v>134250</v>
      </c>
      <c r="AJ26" s="11">
        <f>Table132[[#This Row],[Adjusted Contract Price]]-Table132[[#This Row],[Total Amount Billed To Date]]</f>
        <v>0</v>
      </c>
      <c r="AK26" s="11">
        <v>0</v>
      </c>
      <c r="AL26" s="12">
        <f>IF(Table132[[#This Row],[Total Amount Billed To Date]]=0,0,+Table132[[#This Row],[Current Retainage Amount]]/Table132[[#This Row],[Total Amount Billed To Date]])</f>
        <v>0</v>
      </c>
      <c r="AM26" s="11">
        <v>134250</v>
      </c>
      <c r="AN26" s="11">
        <f>Table132[[#This Row],[Cash Received]]-Table132[[#This Row],[Direct Cost To Date]]</f>
        <v>112554.72</v>
      </c>
      <c r="AO26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6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6" s="11">
        <v>0</v>
      </c>
      <c r="AR26" s="11">
        <v>0</v>
      </c>
      <c r="AS26" s="11">
        <v>0</v>
      </c>
      <c r="AT26" s="11">
        <v>134250</v>
      </c>
      <c r="AU26" s="11">
        <v>0</v>
      </c>
      <c r="AV26" s="11">
        <v>0</v>
      </c>
      <c r="AW26" s="9">
        <v>45267</v>
      </c>
    </row>
    <row r="27" spans="1:49" ht="12.75" customHeight="1" x14ac:dyDescent="0.2">
      <c r="A27" t="s">
        <v>113</v>
      </c>
      <c r="B27" t="s">
        <v>114</v>
      </c>
      <c r="C27" t="s">
        <v>115</v>
      </c>
      <c r="D27" t="s">
        <v>54</v>
      </c>
      <c r="E27" t="s">
        <v>54</v>
      </c>
      <c r="F27" t="s">
        <v>116</v>
      </c>
      <c r="G27" s="2" t="s">
        <v>79</v>
      </c>
      <c r="H27" s="11">
        <v>1200000</v>
      </c>
      <c r="I27" s="11">
        <v>45671.02</v>
      </c>
      <c r="J27" s="11">
        <f>Table132[[#This Row],[Adjusted Contract Price]]-Table132[[#This Row],[Base Contract]]-Table132[[#This Row],[Approved Change Orders]]</f>
        <v>0</v>
      </c>
      <c r="K27" s="11"/>
      <c r="L27" s="11">
        <v>1245671.02</v>
      </c>
      <c r="M27" s="11">
        <v>1688209.91</v>
      </c>
      <c r="N27" s="11">
        <v>1020000</v>
      </c>
      <c r="O27" s="11">
        <v>28621.07</v>
      </c>
      <c r="P27" s="11">
        <f>Table132[[#This Row],[Base Contract]]-Table132[[#This Row],[QU Original Budget]]</f>
        <v>180000</v>
      </c>
      <c r="Q27" s="11">
        <f>Table132[[#This Row],[Approved Change Orders]]-Table132[[#This Row],[CO Change Order Budget]]</f>
        <v>17049.949999999997</v>
      </c>
      <c r="R27" s="11">
        <v>1048621.07</v>
      </c>
      <c r="S27" s="11">
        <f>Table132[[#This Row],[Total Direct Budget]]-Table132[[#This Row],[Estimated Total Direct Costs]]</f>
        <v>-639588.83999999985</v>
      </c>
      <c r="T27" s="11">
        <f>+Table132[[#This Row],[Adjusted Contract Price]]-Table132[[#This Row],[Total Direct Budget]]</f>
        <v>197049.94999999995</v>
      </c>
      <c r="U27" s="11">
        <f>+Table132[[#This Row],[Adjusted Contract Price]]-Table132[[#This Row],[Estimated Total Direct Costs]]</f>
        <v>-442538.8899999999</v>
      </c>
      <c r="V27" s="12">
        <f>IF(Table132[[#This Row],[Adjusted Contract Price]]=0,0,+Table132[[#This Row],[Budgeted Gross Profit (Loss)]]/Table132[[#This Row],[Adjusted Contract Price]])</f>
        <v>0.15818779343522013</v>
      </c>
      <c r="W27" s="12">
        <f>IF(Table132[[#This Row],[Adjusted Contract Price]]=0,0,+Table132[[#This Row],[Estimated Gross Profit (Loss)]]/Table132[[#This Row],[Adjusted Contract Price]])</f>
        <v>-0.3552614477617051</v>
      </c>
      <c r="X27" s="12">
        <v>0.841812</v>
      </c>
      <c r="Y27" s="12">
        <f>Table132[[#This Row],[Current GP %]]-Table132[[#This Row],[Prior Month1 GP]]</f>
        <v>-1.1970734477617051</v>
      </c>
      <c r="Z27" s="12">
        <v>0.83137700000000003</v>
      </c>
      <c r="AA27" s="12">
        <f>Table132[[#This Row],[Current GP %]]-Table132[[#This Row],[Prior Month2 GP]]</f>
        <v>-1.1866384477617051</v>
      </c>
      <c r="AB27" s="12">
        <v>0.83137700000000003</v>
      </c>
      <c r="AC27" s="12">
        <f>Table132[[#This Row],[Current GP %]]-Table132[[#This Row],[Prior Month3 GP]]</f>
        <v>-1.1866384477617051</v>
      </c>
      <c r="AD27" s="11">
        <v>1688209.37</v>
      </c>
      <c r="AE27" s="13">
        <f>IF(Table132[[#This Row],[Estimated Total Direct Costs]]=0,0,+Table132[[#This Row],[Direct Cost To Date]]/Table132[[#This Row],[Estimated Total Direct Costs]])</f>
        <v>0.99999968013456353</v>
      </c>
      <c r="AF27" s="11">
        <f>+Table132[[#This Row],[Estimated Gross Profit (Loss)]]*Table132[[#This Row],[% Complete]]</f>
        <v>-442538.74844710471</v>
      </c>
      <c r="AG27" s="11"/>
      <c r="AH27" s="11">
        <f>+Table132[[#This Row],[Total Gross Profit Recognized To Date]]-Table132[[#This Row],[Gross Profit Recognized Prior Years]]</f>
        <v>-442538.74844710471</v>
      </c>
      <c r="AI27" s="11">
        <v>1245671.02</v>
      </c>
      <c r="AJ27" s="11">
        <f>Table132[[#This Row],[Adjusted Contract Price]]-Table132[[#This Row],[Total Amount Billed To Date]]</f>
        <v>0</v>
      </c>
      <c r="AK27" s="11">
        <v>0</v>
      </c>
      <c r="AL27" s="12">
        <f>IF(Table132[[#This Row],[Total Amount Billed To Date]]=0,0,+Table132[[#This Row],[Current Retainage Amount]]/Table132[[#This Row],[Total Amount Billed To Date]])</f>
        <v>0</v>
      </c>
      <c r="AM27" s="11">
        <v>1245671.02</v>
      </c>
      <c r="AN27" s="11">
        <f>Table132[[#This Row],[Cash Received]]-Table132[[#This Row],[Direct Cost To Date]]</f>
        <v>-442538.35000000009</v>
      </c>
      <c r="AO27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7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0.39844710472971201</v>
      </c>
      <c r="AQ27" s="11">
        <v>59148.28</v>
      </c>
      <c r="AR27" s="11">
        <v>45671.02</v>
      </c>
      <c r="AS27" s="11">
        <v>0</v>
      </c>
      <c r="AT27" s="11">
        <v>1245671.02</v>
      </c>
      <c r="AU27" s="11">
        <v>94145.76</v>
      </c>
      <c r="AV27" s="11">
        <v>0</v>
      </c>
      <c r="AW27" s="9">
        <v>45657</v>
      </c>
    </row>
    <row r="28" spans="1:49" ht="12.75" customHeight="1" x14ac:dyDescent="0.2">
      <c r="A28" t="s">
        <v>117</v>
      </c>
      <c r="B28" t="s">
        <v>118</v>
      </c>
      <c r="C28" t="s">
        <v>119</v>
      </c>
      <c r="D28" t="s">
        <v>54</v>
      </c>
      <c r="E28" t="s">
        <v>54</v>
      </c>
      <c r="F28" t="s">
        <v>78</v>
      </c>
      <c r="G28" s="2" t="s">
        <v>56</v>
      </c>
      <c r="H28" s="11">
        <v>141400</v>
      </c>
      <c r="I28" s="11">
        <v>-8000</v>
      </c>
      <c r="J28" s="11">
        <f>Table132[[#This Row],[Adjusted Contract Price]]-Table132[[#This Row],[Base Contract]]-Table132[[#This Row],[Approved Change Orders]]</f>
        <v>0</v>
      </c>
      <c r="K28" s="11"/>
      <c r="L28" s="11">
        <v>133400</v>
      </c>
      <c r="M28" s="11">
        <v>201907.89</v>
      </c>
      <c r="N28" s="11">
        <v>120190</v>
      </c>
      <c r="O28" s="11">
        <v>0</v>
      </c>
      <c r="P28" s="11">
        <f>Table132[[#This Row],[Base Contract]]-Table132[[#This Row],[QU Original Budget]]</f>
        <v>21210</v>
      </c>
      <c r="Q28" s="11">
        <f>Table132[[#This Row],[Approved Change Orders]]-Table132[[#This Row],[CO Change Order Budget]]</f>
        <v>-8000</v>
      </c>
      <c r="R28" s="11">
        <v>120190</v>
      </c>
      <c r="S28" s="11">
        <f>Table132[[#This Row],[Total Direct Budget]]-Table132[[#This Row],[Estimated Total Direct Costs]]</f>
        <v>-81717.890000000014</v>
      </c>
      <c r="T28" s="11">
        <f>+Table132[[#This Row],[Adjusted Contract Price]]-Table132[[#This Row],[Total Direct Budget]]</f>
        <v>13210</v>
      </c>
      <c r="U28" s="11">
        <f>+Table132[[#This Row],[Adjusted Contract Price]]-Table132[[#This Row],[Estimated Total Direct Costs]]</f>
        <v>-68507.890000000014</v>
      </c>
      <c r="V28" s="12">
        <f>IF(Table132[[#This Row],[Adjusted Contract Price]]=0,0,+Table132[[#This Row],[Budgeted Gross Profit (Loss)]]/Table132[[#This Row],[Adjusted Contract Price]])</f>
        <v>9.9025487256371808E-2</v>
      </c>
      <c r="W28" s="12">
        <f>IF(Table132[[#This Row],[Adjusted Contract Price]]=0,0,+Table132[[#This Row],[Estimated Gross Profit (Loss)]]/Table132[[#This Row],[Adjusted Contract Price]])</f>
        <v>-0.51355239880059977</v>
      </c>
      <c r="X28" s="12">
        <v>0.90097400000000005</v>
      </c>
      <c r="Y28" s="12">
        <f>Table132[[#This Row],[Current GP %]]-Table132[[#This Row],[Prior Month1 GP]]</f>
        <v>-1.4145263988005998</v>
      </c>
      <c r="Z28" s="12">
        <v>0.90097400000000005</v>
      </c>
      <c r="AA28" s="12">
        <f>Table132[[#This Row],[Current GP %]]-Table132[[#This Row],[Prior Month2 GP]]</f>
        <v>-1.4145263988005998</v>
      </c>
      <c r="AB28" s="12">
        <v>0.90097400000000005</v>
      </c>
      <c r="AC28" s="12">
        <f>Table132[[#This Row],[Current GP %]]-Table132[[#This Row],[Prior Month3 GP]]</f>
        <v>-1.4145263988005998</v>
      </c>
      <c r="AD28" s="11">
        <v>201907.89</v>
      </c>
      <c r="AE28" s="13">
        <f>IF(Table132[[#This Row],[Estimated Total Direct Costs]]=0,0,+Table132[[#This Row],[Direct Cost To Date]]/Table132[[#This Row],[Estimated Total Direct Costs]])</f>
        <v>1</v>
      </c>
      <c r="AF28" s="11">
        <f>+Table132[[#This Row],[Estimated Gross Profit (Loss)]]*Table132[[#This Row],[% Complete]]</f>
        <v>-68507.890000000014</v>
      </c>
      <c r="AG28" s="11"/>
      <c r="AH28" s="11">
        <f>+Table132[[#This Row],[Total Gross Profit Recognized To Date]]-Table132[[#This Row],[Gross Profit Recognized Prior Years]]</f>
        <v>-68507.890000000014</v>
      </c>
      <c r="AI28" s="11">
        <v>133400</v>
      </c>
      <c r="AJ28" s="11">
        <f>Table132[[#This Row],[Adjusted Contract Price]]-Table132[[#This Row],[Total Amount Billed To Date]]</f>
        <v>0</v>
      </c>
      <c r="AK28" s="11">
        <v>0</v>
      </c>
      <c r="AL28" s="12">
        <f>IF(Table132[[#This Row],[Total Amount Billed To Date]]=0,0,+Table132[[#This Row],[Current Retainage Amount]]/Table132[[#This Row],[Total Amount Billed To Date]])</f>
        <v>0</v>
      </c>
      <c r="AM28" s="11">
        <v>133400</v>
      </c>
      <c r="AN28" s="11">
        <f>Table132[[#This Row],[Cash Received]]-Table132[[#This Row],[Direct Cost To Date]]</f>
        <v>-68507.890000000014</v>
      </c>
      <c r="AO28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8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8" s="11">
        <v>0</v>
      </c>
      <c r="AR28" s="11">
        <v>0</v>
      </c>
      <c r="AS28" s="11">
        <v>0</v>
      </c>
      <c r="AT28" s="11">
        <v>133400</v>
      </c>
      <c r="AU28" s="11">
        <v>6300.34</v>
      </c>
      <c r="AV28" s="11">
        <v>0</v>
      </c>
      <c r="AW28" s="9">
        <v>45175</v>
      </c>
    </row>
    <row r="29" spans="1:49" ht="12.75" customHeight="1" x14ac:dyDescent="0.2">
      <c r="A29" t="s">
        <v>120</v>
      </c>
      <c r="B29" t="s">
        <v>121</v>
      </c>
      <c r="C29" t="s">
        <v>53</v>
      </c>
      <c r="D29" t="s">
        <v>54</v>
      </c>
      <c r="E29" t="s">
        <v>54</v>
      </c>
      <c r="F29" t="s">
        <v>78</v>
      </c>
      <c r="G29" s="2" t="s">
        <v>56</v>
      </c>
      <c r="H29" s="11">
        <v>51625</v>
      </c>
      <c r="I29" s="11">
        <v>0</v>
      </c>
      <c r="J29" s="11">
        <f>Table132[[#This Row],[Adjusted Contract Price]]-Table132[[#This Row],[Base Contract]]-Table132[[#This Row],[Approved Change Orders]]</f>
        <v>-1475</v>
      </c>
      <c r="K29" s="11"/>
      <c r="L29" s="11">
        <v>50150</v>
      </c>
      <c r="M29" s="11">
        <v>19522.759999999998</v>
      </c>
      <c r="N29" s="11">
        <v>43300</v>
      </c>
      <c r="O29" s="11">
        <v>0</v>
      </c>
      <c r="P29" s="11">
        <f>Table132[[#This Row],[Base Contract]]-Table132[[#This Row],[QU Original Budget]]</f>
        <v>8325</v>
      </c>
      <c r="Q29" s="11">
        <f>Table132[[#This Row],[Approved Change Orders]]-Table132[[#This Row],[CO Change Order Budget]]</f>
        <v>0</v>
      </c>
      <c r="R29" s="11">
        <v>43300</v>
      </c>
      <c r="S29" s="11">
        <f>Table132[[#This Row],[Total Direct Budget]]-Table132[[#This Row],[Estimated Total Direct Costs]]</f>
        <v>23777.24</v>
      </c>
      <c r="T29" s="11">
        <f>+Table132[[#This Row],[Adjusted Contract Price]]-Table132[[#This Row],[Total Direct Budget]]</f>
        <v>6850</v>
      </c>
      <c r="U29" s="11">
        <f>+Table132[[#This Row],[Adjusted Contract Price]]-Table132[[#This Row],[Estimated Total Direct Costs]]</f>
        <v>30627.24</v>
      </c>
      <c r="V29" s="12">
        <f>IF(Table132[[#This Row],[Adjusted Contract Price]]=0,0,+Table132[[#This Row],[Budgeted Gross Profit (Loss)]]/Table132[[#This Row],[Adjusted Contract Price]])</f>
        <v>0.1365902293120638</v>
      </c>
      <c r="W29" s="12">
        <f>IF(Table132[[#This Row],[Adjusted Contract Price]]=0,0,+Table132[[#This Row],[Estimated Gross Profit (Loss)]]/Table132[[#This Row],[Adjusted Contract Price]])</f>
        <v>0.61071266201395813</v>
      </c>
      <c r="X29" s="12">
        <v>0.83874000000000004</v>
      </c>
      <c r="Y29" s="12">
        <f>Table132[[#This Row],[Current GP %]]-Table132[[#This Row],[Prior Month1 GP]]</f>
        <v>-0.22802733798604191</v>
      </c>
      <c r="Z29" s="12">
        <v>0.83874000000000004</v>
      </c>
      <c r="AA29" s="12">
        <f>Table132[[#This Row],[Current GP %]]-Table132[[#This Row],[Prior Month2 GP]]</f>
        <v>-0.22802733798604191</v>
      </c>
      <c r="AB29" s="12">
        <v>0.83874000000000004</v>
      </c>
      <c r="AC29" s="12">
        <f>Table132[[#This Row],[Current GP %]]-Table132[[#This Row],[Prior Month3 GP]]</f>
        <v>-0.22802733798604191</v>
      </c>
      <c r="AD29" s="11">
        <v>19522.759999999998</v>
      </c>
      <c r="AE29" s="13">
        <f>IF(Table132[[#This Row],[Estimated Total Direct Costs]]=0,0,+Table132[[#This Row],[Direct Cost To Date]]/Table132[[#This Row],[Estimated Total Direct Costs]])</f>
        <v>1</v>
      </c>
      <c r="AF29" s="11">
        <f>+Table132[[#This Row],[Estimated Gross Profit (Loss)]]*Table132[[#This Row],[% Complete]]</f>
        <v>30627.24</v>
      </c>
      <c r="AG29" s="11"/>
      <c r="AH29" s="11">
        <f>+Table132[[#This Row],[Total Gross Profit Recognized To Date]]-Table132[[#This Row],[Gross Profit Recognized Prior Years]]</f>
        <v>30627.24</v>
      </c>
      <c r="AI29" s="11">
        <v>50150</v>
      </c>
      <c r="AJ29" s="11">
        <f>Table132[[#This Row],[Adjusted Contract Price]]-Table132[[#This Row],[Total Amount Billed To Date]]</f>
        <v>0</v>
      </c>
      <c r="AK29" s="11">
        <v>0</v>
      </c>
      <c r="AL29" s="12">
        <f>IF(Table132[[#This Row],[Total Amount Billed To Date]]=0,0,+Table132[[#This Row],[Current Retainage Amount]]/Table132[[#This Row],[Total Amount Billed To Date]])</f>
        <v>0</v>
      </c>
      <c r="AM29" s="11">
        <v>50150</v>
      </c>
      <c r="AN29" s="11">
        <f>Table132[[#This Row],[Cash Received]]-Table132[[#This Row],[Direct Cost To Date]]</f>
        <v>30627.24</v>
      </c>
      <c r="AO29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9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9" s="11">
        <v>0</v>
      </c>
      <c r="AR29" s="11">
        <v>0</v>
      </c>
      <c r="AS29" s="11">
        <v>0</v>
      </c>
      <c r="AT29" s="11">
        <v>50150</v>
      </c>
      <c r="AU29" s="11">
        <v>0</v>
      </c>
      <c r="AV29" s="11">
        <v>0</v>
      </c>
      <c r="AW29" s="9">
        <v>45734</v>
      </c>
    </row>
    <row r="30" spans="1:49" ht="12.75" customHeight="1" x14ac:dyDescent="0.2">
      <c r="A30" t="s">
        <v>122</v>
      </c>
      <c r="B30" t="s">
        <v>123</v>
      </c>
      <c r="C30" t="s">
        <v>124</v>
      </c>
      <c r="D30" t="s">
        <v>54</v>
      </c>
      <c r="E30" t="s">
        <v>54</v>
      </c>
      <c r="F30" t="s">
        <v>109</v>
      </c>
      <c r="G30" s="2" t="s">
        <v>56</v>
      </c>
      <c r="H30" s="11">
        <v>32600</v>
      </c>
      <c r="I30" s="11">
        <v>0</v>
      </c>
      <c r="J30" s="11">
        <f>Table132[[#This Row],[Adjusted Contract Price]]-Table132[[#This Row],[Base Contract]]-Table132[[#This Row],[Approved Change Orders]]</f>
        <v>0</v>
      </c>
      <c r="K30" s="11"/>
      <c r="L30" s="11">
        <v>32600</v>
      </c>
      <c r="M30" s="11">
        <v>8332.41</v>
      </c>
      <c r="N30" s="11">
        <v>28468</v>
      </c>
      <c r="O30" s="11">
        <v>0</v>
      </c>
      <c r="P30" s="11">
        <f>Table132[[#This Row],[Base Contract]]-Table132[[#This Row],[QU Original Budget]]</f>
        <v>4132</v>
      </c>
      <c r="Q30" s="11">
        <f>Table132[[#This Row],[Approved Change Orders]]-Table132[[#This Row],[CO Change Order Budget]]</f>
        <v>0</v>
      </c>
      <c r="R30" s="11">
        <v>28468</v>
      </c>
      <c r="S30" s="11">
        <f>Table132[[#This Row],[Total Direct Budget]]-Table132[[#This Row],[Estimated Total Direct Costs]]</f>
        <v>20135.59</v>
      </c>
      <c r="T30" s="11">
        <f>+Table132[[#This Row],[Adjusted Contract Price]]-Table132[[#This Row],[Total Direct Budget]]</f>
        <v>4132</v>
      </c>
      <c r="U30" s="11">
        <f>+Table132[[#This Row],[Adjusted Contract Price]]-Table132[[#This Row],[Estimated Total Direct Costs]]</f>
        <v>24267.59</v>
      </c>
      <c r="V30" s="12">
        <f>IF(Table132[[#This Row],[Adjusted Contract Price]]=0,0,+Table132[[#This Row],[Budgeted Gross Profit (Loss)]]/Table132[[#This Row],[Adjusted Contract Price]])</f>
        <v>0.12674846625766872</v>
      </c>
      <c r="W30" s="12">
        <f>IF(Table132[[#This Row],[Adjusted Contract Price]]=0,0,+Table132[[#This Row],[Estimated Gross Profit (Loss)]]/Table132[[#This Row],[Adjusted Contract Price]])</f>
        <v>0.74440460122699392</v>
      </c>
      <c r="X30" s="12">
        <v>0.873251</v>
      </c>
      <c r="Y30" s="12">
        <f>Table132[[#This Row],[Current GP %]]-Table132[[#This Row],[Prior Month1 GP]]</f>
        <v>-0.12884639877300608</v>
      </c>
      <c r="Z30" s="12">
        <v>0.873251</v>
      </c>
      <c r="AA30" s="12">
        <f>Table132[[#This Row],[Current GP %]]-Table132[[#This Row],[Prior Month2 GP]]</f>
        <v>-0.12884639877300608</v>
      </c>
      <c r="AB30" s="12">
        <v>0.873251</v>
      </c>
      <c r="AC30" s="12">
        <f>Table132[[#This Row],[Current GP %]]-Table132[[#This Row],[Prior Month3 GP]]</f>
        <v>-0.12884639877300608</v>
      </c>
      <c r="AD30" s="11">
        <v>7950.47</v>
      </c>
      <c r="AE30" s="13">
        <f>IF(Table132[[#This Row],[Estimated Total Direct Costs]]=0,0,+Table132[[#This Row],[Direct Cost To Date]]/Table132[[#This Row],[Estimated Total Direct Costs]])</f>
        <v>0.9541621211630249</v>
      </c>
      <c r="AF30" s="11">
        <f>+Table132[[#This Row],[Estimated Gross Profit (Loss)]]*Table132[[#This Row],[% Complete]]</f>
        <v>23155.215149914613</v>
      </c>
      <c r="AG30" s="11"/>
      <c r="AH30" s="11">
        <f>+Table132[[#This Row],[Total Gross Profit Recognized To Date]]-Table132[[#This Row],[Gross Profit Recognized Prior Years]]</f>
        <v>23155.215149914613</v>
      </c>
      <c r="AI30" s="11">
        <v>32600</v>
      </c>
      <c r="AJ30" s="11">
        <f>Table132[[#This Row],[Adjusted Contract Price]]-Table132[[#This Row],[Total Amount Billed To Date]]</f>
        <v>0</v>
      </c>
      <c r="AK30" s="11">
        <v>0</v>
      </c>
      <c r="AL30" s="12">
        <f>IF(Table132[[#This Row],[Total Amount Billed To Date]]=0,0,+Table132[[#This Row],[Current Retainage Amount]]/Table132[[#This Row],[Total Amount Billed To Date]])</f>
        <v>0</v>
      </c>
      <c r="AM30" s="11">
        <v>32600</v>
      </c>
      <c r="AN30" s="11">
        <f>Table132[[#This Row],[Cash Received]]-Table132[[#This Row],[Direct Cost To Date]]</f>
        <v>24649.53</v>
      </c>
      <c r="AO30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0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1494.3148500853858</v>
      </c>
      <c r="AQ30" s="11">
        <v>0</v>
      </c>
      <c r="AR30" s="11">
        <v>0</v>
      </c>
      <c r="AS30" s="11">
        <v>0</v>
      </c>
      <c r="AT30" s="11">
        <v>32600</v>
      </c>
      <c r="AU30" s="11">
        <v>0</v>
      </c>
      <c r="AV30" s="11">
        <v>0</v>
      </c>
      <c r="AW30" s="9">
        <v>45267</v>
      </c>
    </row>
    <row r="31" spans="1:49" ht="12.75" customHeight="1" x14ac:dyDescent="0.2">
      <c r="A31" t="s">
        <v>125</v>
      </c>
      <c r="B31" t="s">
        <v>126</v>
      </c>
      <c r="C31" t="s">
        <v>127</v>
      </c>
      <c r="D31" t="s">
        <v>54</v>
      </c>
      <c r="E31" t="s">
        <v>54</v>
      </c>
      <c r="F31" t="s">
        <v>55</v>
      </c>
      <c r="G31" s="2" t="s">
        <v>79</v>
      </c>
      <c r="H31" s="11">
        <v>3102105.09</v>
      </c>
      <c r="I31" s="11">
        <v>718853.93</v>
      </c>
      <c r="J31" s="11">
        <f>Table132[[#This Row],[Adjusted Contract Price]]-Table132[[#This Row],[Base Contract]]-Table132[[#This Row],[Approved Change Orders]]</f>
        <v>-262482.0199999999</v>
      </c>
      <c r="K31" s="11"/>
      <c r="L31" s="11">
        <v>3558477</v>
      </c>
      <c r="M31" s="11">
        <v>3519005</v>
      </c>
      <c r="N31" s="11">
        <v>2288568</v>
      </c>
      <c r="O31" s="11">
        <v>741524.5</v>
      </c>
      <c r="P31" s="11">
        <f>Table132[[#This Row],[Base Contract]]-Table132[[#This Row],[QU Original Budget]]</f>
        <v>813537.08999999985</v>
      </c>
      <c r="Q31" s="11">
        <f>Table132[[#This Row],[Approved Change Orders]]-Table132[[#This Row],[CO Change Order Budget]]</f>
        <v>-22670.569999999949</v>
      </c>
      <c r="R31" s="11">
        <v>3030092.5</v>
      </c>
      <c r="S31" s="11">
        <f>Table132[[#This Row],[Total Direct Budget]]-Table132[[#This Row],[Estimated Total Direct Costs]]</f>
        <v>-488912.5</v>
      </c>
      <c r="T31" s="11">
        <f>+Table132[[#This Row],[Adjusted Contract Price]]-Table132[[#This Row],[Total Direct Budget]]</f>
        <v>528384.5</v>
      </c>
      <c r="U31" s="11">
        <f>+Table132[[#This Row],[Adjusted Contract Price]]-Table132[[#This Row],[Estimated Total Direct Costs]]</f>
        <v>39472</v>
      </c>
      <c r="V31" s="12">
        <f>IF(Table132[[#This Row],[Adjusted Contract Price]]=0,0,+Table132[[#This Row],[Budgeted Gross Profit (Loss)]]/Table132[[#This Row],[Adjusted Contract Price]])</f>
        <v>0.14848613606326527</v>
      </c>
      <c r="W31" s="12">
        <f>IF(Table132[[#This Row],[Adjusted Contract Price]]=0,0,+Table132[[#This Row],[Estimated Gross Profit (Loss)]]/Table132[[#This Row],[Adjusted Contract Price]])</f>
        <v>1.1092385871821006E-2</v>
      </c>
      <c r="X31" s="12">
        <v>0.793018</v>
      </c>
      <c r="Y31" s="12">
        <f>Table132[[#This Row],[Current GP %]]-Table132[[#This Row],[Prior Month1 GP]]</f>
        <v>-0.78192561412817896</v>
      </c>
      <c r="Z31" s="12">
        <v>0.793018</v>
      </c>
      <c r="AA31" s="12">
        <f>Table132[[#This Row],[Current GP %]]-Table132[[#This Row],[Prior Month2 GP]]</f>
        <v>-0.78192561412817896</v>
      </c>
      <c r="AB31" s="12">
        <v>0.793018</v>
      </c>
      <c r="AC31" s="12">
        <f>Table132[[#This Row],[Current GP %]]-Table132[[#This Row],[Prior Month3 GP]]</f>
        <v>-0.78192561412817896</v>
      </c>
      <c r="AD31" s="11">
        <v>3520412.13</v>
      </c>
      <c r="AE31" s="13">
        <f>IF(Table132[[#This Row],[Estimated Total Direct Costs]]=0,0,+Table132[[#This Row],[Direct Cost To Date]]/Table132[[#This Row],[Estimated Total Direct Costs]])</f>
        <v>1.0003998658711766</v>
      </c>
      <c r="AF31" s="11">
        <f>+Table132[[#This Row],[Estimated Gross Profit (Loss)]]*Table132[[#This Row],[% Complete]]</f>
        <v>39487.783505667081</v>
      </c>
      <c r="AG31" s="11"/>
      <c r="AH31" s="11">
        <f>+Table132[[#This Row],[Total Gross Profit Recognized To Date]]-Table132[[#This Row],[Gross Profit Recognized Prior Years]]</f>
        <v>39487.783505667081</v>
      </c>
      <c r="AI31" s="11">
        <v>3765599.02</v>
      </c>
      <c r="AJ31" s="11">
        <f>Table132[[#This Row],[Adjusted Contract Price]]-Table132[[#This Row],[Total Amount Billed To Date]]</f>
        <v>-207122.02000000002</v>
      </c>
      <c r="AK31" s="11">
        <v>0</v>
      </c>
      <c r="AL31" s="12">
        <f>IF(Table132[[#This Row],[Total Amount Billed To Date]]=0,0,+Table132[[#This Row],[Current Retainage Amount]]/Table132[[#This Row],[Total Amount Billed To Date]])</f>
        <v>0</v>
      </c>
      <c r="AM31" s="11">
        <v>3411940.84</v>
      </c>
      <c r="AN31" s="11">
        <f>Table132[[#This Row],[Cash Received]]-Table132[[#This Row],[Direct Cost To Date]]</f>
        <v>-108471.29000000004</v>
      </c>
      <c r="AO31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1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205699.10649433313</v>
      </c>
      <c r="AQ31" s="11">
        <v>905314.35</v>
      </c>
      <c r="AR31" s="11">
        <v>856319.02</v>
      </c>
      <c r="AS31" s="11">
        <v>353658.18</v>
      </c>
      <c r="AT31" s="11">
        <v>3411940.84</v>
      </c>
      <c r="AU31" s="11">
        <v>206943.06</v>
      </c>
      <c r="AV31" s="11">
        <v>0</v>
      </c>
      <c r="AW31" s="9">
        <v>45657</v>
      </c>
    </row>
    <row r="32" spans="1:49" ht="12.75" customHeight="1" x14ac:dyDescent="0.2">
      <c r="A32" t="s">
        <v>128</v>
      </c>
      <c r="B32" t="s">
        <v>129</v>
      </c>
      <c r="C32" t="s">
        <v>130</v>
      </c>
      <c r="D32" t="s">
        <v>54</v>
      </c>
      <c r="E32" t="s">
        <v>54</v>
      </c>
      <c r="F32" t="s">
        <v>131</v>
      </c>
      <c r="G32" s="2" t="s">
        <v>56</v>
      </c>
      <c r="H32" s="11">
        <v>855500</v>
      </c>
      <c r="I32" s="11">
        <v>0</v>
      </c>
      <c r="J32" s="11">
        <f>Table132[[#This Row],[Adjusted Contract Price]]-Table132[[#This Row],[Base Contract]]-Table132[[#This Row],[Approved Change Orders]]</f>
        <v>0</v>
      </c>
      <c r="K32" s="11"/>
      <c r="L32" s="11">
        <v>855500</v>
      </c>
      <c r="M32" s="11">
        <v>489122.54</v>
      </c>
      <c r="N32" s="11">
        <v>641250</v>
      </c>
      <c r="O32" s="11">
        <v>0</v>
      </c>
      <c r="P32" s="11">
        <f>Table132[[#This Row],[Base Contract]]-Table132[[#This Row],[QU Original Budget]]</f>
        <v>214250</v>
      </c>
      <c r="Q32" s="11">
        <f>Table132[[#This Row],[Approved Change Orders]]-Table132[[#This Row],[CO Change Order Budget]]</f>
        <v>0</v>
      </c>
      <c r="R32" s="11">
        <v>641250</v>
      </c>
      <c r="S32" s="11">
        <f>Table132[[#This Row],[Total Direct Budget]]-Table132[[#This Row],[Estimated Total Direct Costs]]</f>
        <v>152127.46000000002</v>
      </c>
      <c r="T32" s="11">
        <f>+Table132[[#This Row],[Adjusted Contract Price]]-Table132[[#This Row],[Total Direct Budget]]</f>
        <v>214250</v>
      </c>
      <c r="U32" s="11">
        <f>+Table132[[#This Row],[Adjusted Contract Price]]-Table132[[#This Row],[Estimated Total Direct Costs]]</f>
        <v>366377.46</v>
      </c>
      <c r="V32" s="12">
        <f>IF(Table132[[#This Row],[Adjusted Contract Price]]=0,0,+Table132[[#This Row],[Budgeted Gross Profit (Loss)]]/Table132[[#This Row],[Adjusted Contract Price]])</f>
        <v>0.25043834015195793</v>
      </c>
      <c r="W32" s="12">
        <f>IF(Table132[[#This Row],[Adjusted Contract Price]]=0,0,+Table132[[#This Row],[Estimated Gross Profit (Loss)]]/Table132[[#This Row],[Adjusted Contract Price]])</f>
        <v>0.42826120397428408</v>
      </c>
      <c r="X32" s="12">
        <v>0.74956100000000003</v>
      </c>
      <c r="Y32" s="12">
        <f>Table132[[#This Row],[Current GP %]]-Table132[[#This Row],[Prior Month1 GP]]</f>
        <v>-0.32129979602571596</v>
      </c>
      <c r="Z32" s="12">
        <v>0.74956100000000003</v>
      </c>
      <c r="AA32" s="12">
        <f>Table132[[#This Row],[Current GP %]]-Table132[[#This Row],[Prior Month2 GP]]</f>
        <v>-0.32129979602571596</v>
      </c>
      <c r="AB32" s="12">
        <v>0.74956100000000003</v>
      </c>
      <c r="AC32" s="12">
        <f>Table132[[#This Row],[Current GP %]]-Table132[[#This Row],[Prior Month3 GP]]</f>
        <v>-0.32129979602571596</v>
      </c>
      <c r="AD32" s="11">
        <v>489122.54</v>
      </c>
      <c r="AE32" s="13">
        <f>IF(Table132[[#This Row],[Estimated Total Direct Costs]]=0,0,+Table132[[#This Row],[Direct Cost To Date]]/Table132[[#This Row],[Estimated Total Direct Costs]])</f>
        <v>1</v>
      </c>
      <c r="AF32" s="11">
        <f>+Table132[[#This Row],[Estimated Gross Profit (Loss)]]*Table132[[#This Row],[% Complete]]</f>
        <v>366377.46</v>
      </c>
      <c r="AG32" s="11"/>
      <c r="AH32" s="11">
        <f>+Table132[[#This Row],[Total Gross Profit Recognized To Date]]-Table132[[#This Row],[Gross Profit Recognized Prior Years]]</f>
        <v>366377.46</v>
      </c>
      <c r="AI32" s="11">
        <v>855500</v>
      </c>
      <c r="AJ32" s="11">
        <f>Table132[[#This Row],[Adjusted Contract Price]]-Table132[[#This Row],[Total Amount Billed To Date]]</f>
        <v>0</v>
      </c>
      <c r="AK32" s="11">
        <v>0</v>
      </c>
      <c r="AL32" s="12">
        <f>IF(Table132[[#This Row],[Total Amount Billed To Date]]=0,0,+Table132[[#This Row],[Current Retainage Amount]]/Table132[[#This Row],[Total Amount Billed To Date]])</f>
        <v>0</v>
      </c>
      <c r="AM32" s="11">
        <v>855500</v>
      </c>
      <c r="AN32" s="11">
        <f>Table132[[#This Row],[Cash Received]]-Table132[[#This Row],[Direct Cost To Date]]</f>
        <v>366377.46</v>
      </c>
      <c r="AO32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2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2" s="11">
        <v>14380.08</v>
      </c>
      <c r="AR32" s="11">
        <v>27862.5</v>
      </c>
      <c r="AS32" s="11">
        <v>0</v>
      </c>
      <c r="AT32" s="11">
        <v>855500</v>
      </c>
      <c r="AU32" s="11">
        <v>19110.03</v>
      </c>
      <c r="AV32" s="11">
        <v>0</v>
      </c>
      <c r="AW32" s="9">
        <v>45734</v>
      </c>
    </row>
    <row r="33" spans="1:49" ht="12.75" customHeight="1" x14ac:dyDescent="0.2">
      <c r="A33" t="s">
        <v>132</v>
      </c>
      <c r="B33" t="s">
        <v>133</v>
      </c>
      <c r="C33" t="s">
        <v>65</v>
      </c>
      <c r="D33" t="s">
        <v>54</v>
      </c>
      <c r="E33" t="s">
        <v>54</v>
      </c>
      <c r="F33" t="s">
        <v>55</v>
      </c>
      <c r="G33" s="2" t="s">
        <v>79</v>
      </c>
      <c r="H33" s="11">
        <v>2228730</v>
      </c>
      <c r="I33" s="11">
        <v>66000</v>
      </c>
      <c r="J33" s="11">
        <f>Table132[[#This Row],[Adjusted Contract Price]]-Table132[[#This Row],[Base Contract]]-Table132[[#This Row],[Approved Change Orders]]</f>
        <v>-508089.62999999989</v>
      </c>
      <c r="K33" s="11"/>
      <c r="L33" s="11">
        <v>1786640.37</v>
      </c>
      <c r="M33" s="11">
        <v>2264015</v>
      </c>
      <c r="N33" s="11">
        <v>1760000</v>
      </c>
      <c r="O33" s="11">
        <v>0</v>
      </c>
      <c r="P33" s="11">
        <f>Table132[[#This Row],[Base Contract]]-Table132[[#This Row],[QU Original Budget]]</f>
        <v>468730</v>
      </c>
      <c r="Q33" s="11">
        <f>Table132[[#This Row],[Approved Change Orders]]-Table132[[#This Row],[CO Change Order Budget]]</f>
        <v>66000</v>
      </c>
      <c r="R33" s="11">
        <v>1760000</v>
      </c>
      <c r="S33" s="11">
        <f>Table132[[#This Row],[Total Direct Budget]]-Table132[[#This Row],[Estimated Total Direct Costs]]</f>
        <v>-504015</v>
      </c>
      <c r="T33" s="11">
        <f>+Table132[[#This Row],[Adjusted Contract Price]]-Table132[[#This Row],[Total Direct Budget]]</f>
        <v>26640.370000000112</v>
      </c>
      <c r="U33" s="11">
        <f>+Table132[[#This Row],[Adjusted Contract Price]]-Table132[[#This Row],[Estimated Total Direct Costs]]</f>
        <v>-477374.62999999989</v>
      </c>
      <c r="V33" s="12">
        <f>IF(Table132[[#This Row],[Adjusted Contract Price]]=0,0,+Table132[[#This Row],[Budgeted Gross Profit (Loss)]]/Table132[[#This Row],[Adjusted Contract Price]])</f>
        <v>1.491087431322293E-2</v>
      </c>
      <c r="W33" s="12">
        <f>IF(Table132[[#This Row],[Adjusted Contract Price]]=0,0,+Table132[[#This Row],[Estimated Gross Profit (Loss)]]/Table132[[#This Row],[Adjusted Contract Price]])</f>
        <v>-0.26719122550667534</v>
      </c>
      <c r="X33" s="12">
        <v>0.76697400000000004</v>
      </c>
      <c r="Y33" s="12">
        <f>Table132[[#This Row],[Current GP %]]-Table132[[#This Row],[Prior Month1 GP]]</f>
        <v>-1.0341652255066753</v>
      </c>
      <c r="Z33" s="12">
        <v>0.76697400000000004</v>
      </c>
      <c r="AA33" s="12">
        <f>Table132[[#This Row],[Current GP %]]-Table132[[#This Row],[Prior Month2 GP]]</f>
        <v>-1.0341652255066753</v>
      </c>
      <c r="AB33" s="12">
        <v>0.76697400000000004</v>
      </c>
      <c r="AC33" s="12">
        <f>Table132[[#This Row],[Current GP %]]-Table132[[#This Row],[Prior Month3 GP]]</f>
        <v>-1.0341652255066753</v>
      </c>
      <c r="AD33" s="11">
        <v>2264014.11</v>
      </c>
      <c r="AE33" s="13">
        <f>IF(Table132[[#This Row],[Estimated Total Direct Costs]]=0,0,+Table132[[#This Row],[Direct Cost To Date]]/Table132[[#This Row],[Estimated Total Direct Costs]])</f>
        <v>0.99999960689306377</v>
      </c>
      <c r="AF33" s="11">
        <f>+Table132[[#This Row],[Estimated Gross Profit (Loss)]]*Table132[[#This Row],[% Complete]]</f>
        <v>-477374.44234072167</v>
      </c>
      <c r="AG33" s="11"/>
      <c r="AH33" s="11">
        <f>+Table132[[#This Row],[Total Gross Profit Recognized To Date]]-Table132[[#This Row],[Gross Profit Recognized Prior Years]]</f>
        <v>-477374.44234072167</v>
      </c>
      <c r="AI33" s="11">
        <v>1786640.37</v>
      </c>
      <c r="AJ33" s="11">
        <f>Table132[[#This Row],[Adjusted Contract Price]]-Table132[[#This Row],[Total Amount Billed To Date]]</f>
        <v>0</v>
      </c>
      <c r="AK33" s="11">
        <v>0</v>
      </c>
      <c r="AL33" s="12">
        <f>IF(Table132[[#This Row],[Total Amount Billed To Date]]=0,0,+Table132[[#This Row],[Current Retainage Amount]]/Table132[[#This Row],[Total Amount Billed To Date]])</f>
        <v>0</v>
      </c>
      <c r="AM33" s="11">
        <v>1786640.37</v>
      </c>
      <c r="AN33" s="11">
        <f>Table132[[#This Row],[Cash Received]]-Table132[[#This Row],[Direct Cost To Date]]</f>
        <v>-477373.73999999976</v>
      </c>
      <c r="AO33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3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0.70234072185121477</v>
      </c>
      <c r="AQ33" s="11">
        <v>907599.82</v>
      </c>
      <c r="AR33" s="11">
        <v>556300.56999999995</v>
      </c>
      <c r="AS33" s="11">
        <v>0</v>
      </c>
      <c r="AT33" s="11">
        <v>1786640.37</v>
      </c>
      <c r="AU33" s="11">
        <v>72099.839999999997</v>
      </c>
      <c r="AV33" s="11">
        <v>0</v>
      </c>
      <c r="AW33" s="9">
        <v>45657</v>
      </c>
    </row>
    <row r="34" spans="1:49" ht="12.75" customHeight="1" x14ac:dyDescent="0.2">
      <c r="A34" t="s">
        <v>134</v>
      </c>
      <c r="B34" t="s">
        <v>135</v>
      </c>
      <c r="C34" t="s">
        <v>108</v>
      </c>
      <c r="D34" t="s">
        <v>54</v>
      </c>
      <c r="E34" t="s">
        <v>54</v>
      </c>
      <c r="F34" t="s">
        <v>78</v>
      </c>
      <c r="G34" s="2" t="s">
        <v>56</v>
      </c>
      <c r="H34" s="11">
        <v>1850000</v>
      </c>
      <c r="I34" s="11">
        <v>0</v>
      </c>
      <c r="J34" s="11">
        <f>Table132[[#This Row],[Adjusted Contract Price]]-Table132[[#This Row],[Base Contract]]-Table132[[#This Row],[Approved Change Orders]]</f>
        <v>0</v>
      </c>
      <c r="K34" s="11"/>
      <c r="L34" s="11">
        <v>1850000</v>
      </c>
      <c r="M34" s="11">
        <v>1678795.86</v>
      </c>
      <c r="N34" s="11">
        <v>1354000</v>
      </c>
      <c r="O34" s="11">
        <v>0</v>
      </c>
      <c r="P34" s="11">
        <f>Table132[[#This Row],[Base Contract]]-Table132[[#This Row],[QU Original Budget]]</f>
        <v>496000</v>
      </c>
      <c r="Q34" s="11">
        <f>Table132[[#This Row],[Approved Change Orders]]-Table132[[#This Row],[CO Change Order Budget]]</f>
        <v>0</v>
      </c>
      <c r="R34" s="11">
        <v>1354000</v>
      </c>
      <c r="S34" s="11">
        <f>Table132[[#This Row],[Total Direct Budget]]-Table132[[#This Row],[Estimated Total Direct Costs]]</f>
        <v>-324795.8600000001</v>
      </c>
      <c r="T34" s="11">
        <f>+Table132[[#This Row],[Adjusted Contract Price]]-Table132[[#This Row],[Total Direct Budget]]</f>
        <v>496000</v>
      </c>
      <c r="U34" s="11">
        <f>+Table132[[#This Row],[Adjusted Contract Price]]-Table132[[#This Row],[Estimated Total Direct Costs]]</f>
        <v>171204.1399999999</v>
      </c>
      <c r="V34" s="12">
        <f>IF(Table132[[#This Row],[Adjusted Contract Price]]=0,0,+Table132[[#This Row],[Budgeted Gross Profit (Loss)]]/Table132[[#This Row],[Adjusted Contract Price]])</f>
        <v>0.26810810810810809</v>
      </c>
      <c r="W34" s="12">
        <f>IF(Table132[[#This Row],[Adjusted Contract Price]]=0,0,+Table132[[#This Row],[Estimated Gross Profit (Loss)]]/Table132[[#This Row],[Adjusted Contract Price]])</f>
        <v>9.2542778378378321E-2</v>
      </c>
      <c r="X34" s="12">
        <v>0.73189099999999996</v>
      </c>
      <c r="Y34" s="12">
        <f>Table132[[#This Row],[Current GP %]]-Table132[[#This Row],[Prior Month1 GP]]</f>
        <v>-0.63934822162162164</v>
      </c>
      <c r="Z34" s="12">
        <v>0.73189099999999996</v>
      </c>
      <c r="AA34" s="12">
        <f>Table132[[#This Row],[Current GP %]]-Table132[[#This Row],[Prior Month2 GP]]</f>
        <v>-0.63934822162162164</v>
      </c>
      <c r="AB34" s="12">
        <v>0.73189099999999996</v>
      </c>
      <c r="AC34" s="12">
        <f>Table132[[#This Row],[Current GP %]]-Table132[[#This Row],[Prior Month3 GP]]</f>
        <v>-0.63934822162162164</v>
      </c>
      <c r="AD34" s="11">
        <v>1678795.86</v>
      </c>
      <c r="AE34" s="13">
        <f>IF(Table132[[#This Row],[Estimated Total Direct Costs]]=0,0,+Table132[[#This Row],[Direct Cost To Date]]/Table132[[#This Row],[Estimated Total Direct Costs]])</f>
        <v>1</v>
      </c>
      <c r="AF34" s="11">
        <f>+Table132[[#This Row],[Estimated Gross Profit (Loss)]]*Table132[[#This Row],[% Complete]]</f>
        <v>171204.1399999999</v>
      </c>
      <c r="AG34" s="11"/>
      <c r="AH34" s="11">
        <f>+Table132[[#This Row],[Total Gross Profit Recognized To Date]]-Table132[[#This Row],[Gross Profit Recognized Prior Years]]</f>
        <v>171204.1399999999</v>
      </c>
      <c r="AI34" s="11">
        <v>1850000</v>
      </c>
      <c r="AJ34" s="11">
        <f>Table132[[#This Row],[Adjusted Contract Price]]-Table132[[#This Row],[Total Amount Billed To Date]]</f>
        <v>0</v>
      </c>
      <c r="AK34" s="11">
        <v>0</v>
      </c>
      <c r="AL34" s="12">
        <f>IF(Table132[[#This Row],[Total Amount Billed To Date]]=0,0,+Table132[[#This Row],[Current Retainage Amount]]/Table132[[#This Row],[Total Amount Billed To Date]])</f>
        <v>0</v>
      </c>
      <c r="AM34" s="11">
        <v>1850000</v>
      </c>
      <c r="AN34" s="11">
        <f>Table132[[#This Row],[Cash Received]]-Table132[[#This Row],[Direct Cost To Date]]</f>
        <v>171204.1399999999</v>
      </c>
      <c r="AO34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4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4" s="11">
        <v>0</v>
      </c>
      <c r="AR34" s="11">
        <v>0</v>
      </c>
      <c r="AS34" s="11">
        <v>0</v>
      </c>
      <c r="AT34" s="11">
        <v>1850000</v>
      </c>
      <c r="AU34" s="11">
        <v>72155.75</v>
      </c>
      <c r="AV34" s="11">
        <v>0</v>
      </c>
      <c r="AW34" s="9">
        <v>45734</v>
      </c>
    </row>
    <row r="35" spans="1:49" ht="12.75" customHeight="1" x14ac:dyDescent="0.2">
      <c r="A35" t="s">
        <v>136</v>
      </c>
      <c r="B35" t="s">
        <v>137</v>
      </c>
      <c r="C35" t="s">
        <v>53</v>
      </c>
      <c r="D35" t="s">
        <v>54</v>
      </c>
      <c r="E35" t="s">
        <v>54</v>
      </c>
      <c r="F35" t="s">
        <v>55</v>
      </c>
      <c r="G35" s="2" t="s">
        <v>79</v>
      </c>
      <c r="H35" s="11">
        <v>1450000</v>
      </c>
      <c r="I35" s="11">
        <v>-149294.01999999999</v>
      </c>
      <c r="J35" s="11">
        <f>Table132[[#This Row],[Adjusted Contract Price]]-Table132[[#This Row],[Base Contract]]-Table132[[#This Row],[Approved Change Orders]]</f>
        <v>-204705.98</v>
      </c>
      <c r="K35" s="11"/>
      <c r="L35" s="11">
        <v>1096000</v>
      </c>
      <c r="M35" s="11">
        <v>746280</v>
      </c>
      <c r="N35" s="11">
        <v>987000</v>
      </c>
      <c r="O35" s="11">
        <v>-90720</v>
      </c>
      <c r="P35" s="11">
        <f>Table132[[#This Row],[Base Contract]]-Table132[[#This Row],[QU Original Budget]]</f>
        <v>463000</v>
      </c>
      <c r="Q35" s="11">
        <f>Table132[[#This Row],[Approved Change Orders]]-Table132[[#This Row],[CO Change Order Budget]]</f>
        <v>-58574.01999999999</v>
      </c>
      <c r="R35" s="11">
        <v>896280</v>
      </c>
      <c r="S35" s="11">
        <f>Table132[[#This Row],[Total Direct Budget]]-Table132[[#This Row],[Estimated Total Direct Costs]]</f>
        <v>150000</v>
      </c>
      <c r="T35" s="11">
        <f>+Table132[[#This Row],[Adjusted Contract Price]]-Table132[[#This Row],[Total Direct Budget]]</f>
        <v>199720</v>
      </c>
      <c r="U35" s="11">
        <f>+Table132[[#This Row],[Adjusted Contract Price]]-Table132[[#This Row],[Estimated Total Direct Costs]]</f>
        <v>349720</v>
      </c>
      <c r="V35" s="12">
        <f>IF(Table132[[#This Row],[Adjusted Contract Price]]=0,0,+Table132[[#This Row],[Budgeted Gross Profit (Loss)]]/Table132[[#This Row],[Adjusted Contract Price]])</f>
        <v>0.18222627737226277</v>
      </c>
      <c r="W35" s="12">
        <f>IF(Table132[[#This Row],[Adjusted Contract Price]]=0,0,+Table132[[#This Row],[Estimated Gross Profit (Loss)]]/Table132[[#This Row],[Adjusted Contract Price]])</f>
        <v>0.31908759124087593</v>
      </c>
      <c r="X35" s="12">
        <v>0.68907099999999999</v>
      </c>
      <c r="Y35" s="12">
        <f>Table132[[#This Row],[Current GP %]]-Table132[[#This Row],[Prior Month1 GP]]</f>
        <v>-0.36998340875912406</v>
      </c>
      <c r="Z35" s="12">
        <v>0.68907099999999999</v>
      </c>
      <c r="AA35" s="12">
        <f>Table132[[#This Row],[Current GP %]]-Table132[[#This Row],[Prior Month2 GP]]</f>
        <v>-0.36998340875912406</v>
      </c>
      <c r="AB35" s="12">
        <v>0.68907099999999999</v>
      </c>
      <c r="AC35" s="12">
        <f>Table132[[#This Row],[Current GP %]]-Table132[[#This Row],[Prior Month3 GP]]</f>
        <v>-0.36998340875912406</v>
      </c>
      <c r="AD35" s="11">
        <v>644620.89</v>
      </c>
      <c r="AE35" s="13">
        <f>IF(Table132[[#This Row],[Estimated Total Direct Costs]]=0,0,+Table132[[#This Row],[Direct Cost To Date]]/Table132[[#This Row],[Estimated Total Direct Costs]])</f>
        <v>0.86377886316127994</v>
      </c>
      <c r="AF35" s="11">
        <f>+Table132[[#This Row],[Estimated Gross Profit (Loss)]]*Table132[[#This Row],[% Complete]]</f>
        <v>302080.74402476283</v>
      </c>
      <c r="AG35" s="11"/>
      <c r="AH35" s="11">
        <f>+Table132[[#This Row],[Total Gross Profit Recognized To Date]]-Table132[[#This Row],[Gross Profit Recognized Prior Years]]</f>
        <v>302080.74402476283</v>
      </c>
      <c r="AI35" s="11">
        <v>896055.98</v>
      </c>
      <c r="AJ35" s="11">
        <f>Table132[[#This Row],[Adjusted Contract Price]]-Table132[[#This Row],[Total Amount Billed To Date]]</f>
        <v>199944.02000000002</v>
      </c>
      <c r="AK35" s="11">
        <v>0</v>
      </c>
      <c r="AL35" s="12">
        <f>IF(Table132[[#This Row],[Total Amount Billed To Date]]=0,0,+Table132[[#This Row],[Current Retainage Amount]]/Table132[[#This Row],[Total Amount Billed To Date]])</f>
        <v>0</v>
      </c>
      <c r="AM35" s="11">
        <v>861555.98</v>
      </c>
      <c r="AN35" s="11">
        <f>Table132[[#This Row],[Cash Received]]-Table132[[#This Row],[Direct Cost To Date]]</f>
        <v>216935.08999999997</v>
      </c>
      <c r="AO35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50645.6540247628</v>
      </c>
      <c r="AP35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5" s="11">
        <v>192848.27</v>
      </c>
      <c r="AR35" s="11">
        <v>182555.98</v>
      </c>
      <c r="AS35" s="11">
        <v>34500</v>
      </c>
      <c r="AT35" s="11">
        <v>861555.98</v>
      </c>
      <c r="AU35" s="11">
        <v>5805.93</v>
      </c>
      <c r="AV35" s="11">
        <v>0</v>
      </c>
      <c r="AW35" s="9">
        <v>45509</v>
      </c>
    </row>
    <row r="36" spans="1:49" ht="12.75" customHeight="1" x14ac:dyDescent="0.2">
      <c r="A36" t="s">
        <v>138</v>
      </c>
      <c r="B36" t="s">
        <v>139</v>
      </c>
      <c r="C36" t="s">
        <v>65</v>
      </c>
      <c r="D36" t="s">
        <v>54</v>
      </c>
      <c r="E36" t="s">
        <v>54</v>
      </c>
      <c r="F36" t="s">
        <v>55</v>
      </c>
      <c r="G36" s="2" t="s">
        <v>79</v>
      </c>
      <c r="H36" s="11">
        <v>712300</v>
      </c>
      <c r="I36" s="11">
        <v>0</v>
      </c>
      <c r="J36" s="11">
        <f>Table132[[#This Row],[Adjusted Contract Price]]-Table132[[#This Row],[Base Contract]]-Table132[[#This Row],[Approved Change Orders]]</f>
        <v>0</v>
      </c>
      <c r="K36" s="11"/>
      <c r="L36" s="11">
        <v>712300</v>
      </c>
      <c r="M36" s="11">
        <v>530000</v>
      </c>
      <c r="N36" s="11">
        <v>530000</v>
      </c>
      <c r="O36" s="11">
        <v>0</v>
      </c>
      <c r="P36" s="11">
        <f>Table132[[#This Row],[Base Contract]]-Table132[[#This Row],[QU Original Budget]]</f>
        <v>182300</v>
      </c>
      <c r="Q36" s="11">
        <f>Table132[[#This Row],[Approved Change Orders]]-Table132[[#This Row],[CO Change Order Budget]]</f>
        <v>0</v>
      </c>
      <c r="R36" s="11">
        <v>530000</v>
      </c>
      <c r="S36" s="11">
        <f>Table132[[#This Row],[Total Direct Budget]]-Table132[[#This Row],[Estimated Total Direct Costs]]</f>
        <v>0</v>
      </c>
      <c r="T36" s="11">
        <f>+Table132[[#This Row],[Adjusted Contract Price]]-Table132[[#This Row],[Total Direct Budget]]</f>
        <v>182300</v>
      </c>
      <c r="U36" s="11">
        <f>+Table132[[#This Row],[Adjusted Contract Price]]-Table132[[#This Row],[Estimated Total Direct Costs]]</f>
        <v>182300</v>
      </c>
      <c r="V36" s="12">
        <f>IF(Table132[[#This Row],[Adjusted Contract Price]]=0,0,+Table132[[#This Row],[Budgeted Gross Profit (Loss)]]/Table132[[#This Row],[Adjusted Contract Price]])</f>
        <v>0.25593148954092376</v>
      </c>
      <c r="W36" s="12">
        <f>IF(Table132[[#This Row],[Adjusted Contract Price]]=0,0,+Table132[[#This Row],[Estimated Gross Profit (Loss)]]/Table132[[#This Row],[Adjusted Contract Price]])</f>
        <v>0.25593148954092376</v>
      </c>
      <c r="X36" s="12">
        <v>0.74406799999999995</v>
      </c>
      <c r="Y36" s="12">
        <f>Table132[[#This Row],[Current GP %]]-Table132[[#This Row],[Prior Month1 GP]]</f>
        <v>-0.48813651045907619</v>
      </c>
      <c r="Z36" s="12">
        <v>0.74406799999999995</v>
      </c>
      <c r="AA36" s="12">
        <f>Table132[[#This Row],[Current GP %]]-Table132[[#This Row],[Prior Month2 GP]]</f>
        <v>-0.48813651045907619</v>
      </c>
      <c r="AB36" s="12">
        <v>0.74406799999999995</v>
      </c>
      <c r="AC36" s="12">
        <f>Table132[[#This Row],[Current GP %]]-Table132[[#This Row],[Prior Month3 GP]]</f>
        <v>-0.48813651045907619</v>
      </c>
      <c r="AD36" s="11">
        <v>241600.33</v>
      </c>
      <c r="AE36" s="13">
        <f>IF(Table132[[#This Row],[Estimated Total Direct Costs]]=0,0,+Table132[[#This Row],[Direct Cost To Date]]/Table132[[#This Row],[Estimated Total Direct Costs]])</f>
        <v>0.45584967924528297</v>
      </c>
      <c r="AF36" s="11">
        <f>+Table132[[#This Row],[Estimated Gross Profit (Loss)]]*Table132[[#This Row],[% Complete]]</f>
        <v>83101.39652641509</v>
      </c>
      <c r="AG36" s="11"/>
      <c r="AH36" s="11">
        <f>+Table132[[#This Row],[Total Gross Profit Recognized To Date]]-Table132[[#This Row],[Gross Profit Recognized Prior Years]]</f>
        <v>83101.39652641509</v>
      </c>
      <c r="AI36" s="11">
        <v>389990</v>
      </c>
      <c r="AJ36" s="11">
        <f>Table132[[#This Row],[Adjusted Contract Price]]-Table132[[#This Row],[Total Amount Billed To Date]]</f>
        <v>322310</v>
      </c>
      <c r="AK36" s="11">
        <v>0</v>
      </c>
      <c r="AL36" s="12">
        <f>IF(Table132[[#This Row],[Total Amount Billed To Date]]=0,0,+Table132[[#This Row],[Current Retainage Amount]]/Table132[[#This Row],[Total Amount Billed To Date]])</f>
        <v>0</v>
      </c>
      <c r="AM36" s="11">
        <v>389990</v>
      </c>
      <c r="AN36" s="11">
        <f>Table132[[#This Row],[Cash Received]]-Table132[[#This Row],[Direct Cost To Date]]</f>
        <v>148389.67000000001</v>
      </c>
      <c r="AO36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6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65288.273473584908</v>
      </c>
      <c r="AQ36" s="11">
        <v>160876.79999999999</v>
      </c>
      <c r="AR36" s="11">
        <v>190990</v>
      </c>
      <c r="AS36" s="11">
        <v>0</v>
      </c>
      <c r="AT36" s="11">
        <v>389990</v>
      </c>
      <c r="AU36" s="11">
        <v>10209.83</v>
      </c>
      <c r="AV36" s="11">
        <v>0</v>
      </c>
      <c r="AW36" s="9">
        <v>45104</v>
      </c>
    </row>
    <row r="37" spans="1:49" ht="12.75" customHeight="1" x14ac:dyDescent="0.2">
      <c r="A37" t="s">
        <v>140</v>
      </c>
      <c r="B37" t="s">
        <v>141</v>
      </c>
      <c r="C37" t="s">
        <v>53</v>
      </c>
      <c r="D37" t="s">
        <v>54</v>
      </c>
      <c r="E37" t="s">
        <v>54</v>
      </c>
      <c r="F37" t="s">
        <v>55</v>
      </c>
      <c r="G37" s="2" t="s">
        <v>79</v>
      </c>
      <c r="H37" s="11">
        <v>1408029.65</v>
      </c>
      <c r="I37" s="11">
        <v>132225.95000000001</v>
      </c>
      <c r="J37" s="11">
        <f>Table132[[#This Row],[Adjusted Contract Price]]-Table132[[#This Row],[Base Contract]]-Table132[[#This Row],[Approved Change Orders]]</f>
        <v>-130594.59999999992</v>
      </c>
      <c r="K37" s="11"/>
      <c r="L37" s="11">
        <v>1409661</v>
      </c>
      <c r="M37" s="11">
        <v>1005000</v>
      </c>
      <c r="N37" s="11">
        <v>1005000</v>
      </c>
      <c r="O37" s="11">
        <v>49160</v>
      </c>
      <c r="P37" s="11">
        <f>Table132[[#This Row],[Base Contract]]-Table132[[#This Row],[QU Original Budget]]</f>
        <v>403029.64999999991</v>
      </c>
      <c r="Q37" s="11">
        <f>Table132[[#This Row],[Approved Change Orders]]-Table132[[#This Row],[CO Change Order Budget]]</f>
        <v>83065.950000000012</v>
      </c>
      <c r="R37" s="11">
        <v>1054160</v>
      </c>
      <c r="S37" s="11">
        <f>Table132[[#This Row],[Total Direct Budget]]-Table132[[#This Row],[Estimated Total Direct Costs]]</f>
        <v>49160</v>
      </c>
      <c r="T37" s="11">
        <f>+Table132[[#This Row],[Adjusted Contract Price]]-Table132[[#This Row],[Total Direct Budget]]</f>
        <v>355501</v>
      </c>
      <c r="U37" s="11">
        <f>+Table132[[#This Row],[Adjusted Contract Price]]-Table132[[#This Row],[Estimated Total Direct Costs]]</f>
        <v>404661</v>
      </c>
      <c r="V37" s="12">
        <f>IF(Table132[[#This Row],[Adjusted Contract Price]]=0,0,+Table132[[#This Row],[Budgeted Gross Profit (Loss)]]/Table132[[#This Row],[Adjusted Contract Price]])</f>
        <v>0.25218900146914752</v>
      </c>
      <c r="W37" s="12">
        <f>IF(Table132[[#This Row],[Adjusted Contract Price]]=0,0,+Table132[[#This Row],[Estimated Gross Profit (Loss)]]/Table132[[#This Row],[Adjusted Contract Price]])</f>
        <v>0.28706263420779887</v>
      </c>
      <c r="X37" s="12">
        <v>0.68440500000000004</v>
      </c>
      <c r="Y37" s="12">
        <f>Table132[[#This Row],[Current GP %]]-Table132[[#This Row],[Prior Month1 GP]]</f>
        <v>-0.39734236579220117</v>
      </c>
      <c r="Z37" s="12">
        <v>0.68440500000000004</v>
      </c>
      <c r="AA37" s="12">
        <f>Table132[[#This Row],[Current GP %]]-Table132[[#This Row],[Prior Month2 GP]]</f>
        <v>-0.39734236579220117</v>
      </c>
      <c r="AB37" s="12">
        <v>0.68440500000000004</v>
      </c>
      <c r="AC37" s="12">
        <f>Table132[[#This Row],[Current GP %]]-Table132[[#This Row],[Prior Month3 GP]]</f>
        <v>-0.39734236579220117</v>
      </c>
      <c r="AD37" s="11">
        <v>966987.34</v>
      </c>
      <c r="AE37" s="13">
        <f>IF(Table132[[#This Row],[Estimated Total Direct Costs]]=0,0,+Table132[[#This Row],[Direct Cost To Date]]/Table132[[#This Row],[Estimated Total Direct Costs]])</f>
        <v>0.96217645771144278</v>
      </c>
      <c r="AF37" s="11">
        <f>+Table132[[#This Row],[Estimated Gross Profit (Loss)]]*Table132[[#This Row],[% Complete]]</f>
        <v>389355.28755397012</v>
      </c>
      <c r="AG37" s="11"/>
      <c r="AH37" s="11">
        <f>+Table132[[#This Row],[Total Gross Profit Recognized To Date]]-Table132[[#This Row],[Gross Profit Recognized Prior Years]]</f>
        <v>389355.28755397012</v>
      </c>
      <c r="AI37" s="11">
        <v>1419311.2</v>
      </c>
      <c r="AJ37" s="11">
        <f>Table132[[#This Row],[Adjusted Contract Price]]-Table132[[#This Row],[Total Amount Billed To Date]]</f>
        <v>-9650.1999999999534</v>
      </c>
      <c r="AK37" s="11">
        <v>0</v>
      </c>
      <c r="AL37" s="12">
        <f>IF(Table132[[#This Row],[Total Amount Billed To Date]]=0,0,+Table132[[#This Row],[Current Retainage Amount]]/Table132[[#This Row],[Total Amount Billed To Date]])</f>
        <v>0</v>
      </c>
      <c r="AM37" s="11">
        <v>1380347.55</v>
      </c>
      <c r="AN37" s="11">
        <f>Table132[[#This Row],[Cash Received]]-Table132[[#This Row],[Direct Cost To Date]]</f>
        <v>413360.21000000008</v>
      </c>
      <c r="AO37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7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62968.572446029866</v>
      </c>
      <c r="AQ37" s="11">
        <v>628830.78</v>
      </c>
      <c r="AR37" s="11">
        <v>948977.45</v>
      </c>
      <c r="AS37" s="11">
        <v>38963.65</v>
      </c>
      <c r="AT37" s="11">
        <v>1380347.55</v>
      </c>
      <c r="AU37" s="11">
        <v>10139.68</v>
      </c>
      <c r="AV37" s="11">
        <v>0</v>
      </c>
      <c r="AW37" s="9">
        <v>45104</v>
      </c>
    </row>
    <row r="38" spans="1:49" ht="12.75" customHeight="1" x14ac:dyDescent="0.2">
      <c r="A38" t="s">
        <v>142</v>
      </c>
      <c r="B38" t="s">
        <v>143</v>
      </c>
      <c r="C38" t="s">
        <v>108</v>
      </c>
      <c r="D38" t="s">
        <v>54</v>
      </c>
      <c r="E38" t="s">
        <v>54</v>
      </c>
      <c r="F38" t="s">
        <v>78</v>
      </c>
      <c r="G38" s="2" t="s">
        <v>56</v>
      </c>
      <c r="H38" s="11">
        <v>288000</v>
      </c>
      <c r="I38" s="11">
        <v>0</v>
      </c>
      <c r="J38" s="11">
        <f>Table132[[#This Row],[Adjusted Contract Price]]-Table132[[#This Row],[Base Contract]]-Table132[[#This Row],[Approved Change Orders]]</f>
        <v>0</v>
      </c>
      <c r="K38" s="11"/>
      <c r="L38" s="11">
        <v>288000</v>
      </c>
      <c r="M38" s="11">
        <v>421130.4</v>
      </c>
      <c r="N38" s="11">
        <v>240000</v>
      </c>
      <c r="O38" s="11">
        <v>0</v>
      </c>
      <c r="P38" s="11">
        <f>Table132[[#This Row],[Base Contract]]-Table132[[#This Row],[QU Original Budget]]</f>
        <v>48000</v>
      </c>
      <c r="Q38" s="11">
        <f>Table132[[#This Row],[Approved Change Orders]]-Table132[[#This Row],[CO Change Order Budget]]</f>
        <v>0</v>
      </c>
      <c r="R38" s="11">
        <v>240000</v>
      </c>
      <c r="S38" s="11">
        <f>Table132[[#This Row],[Total Direct Budget]]-Table132[[#This Row],[Estimated Total Direct Costs]]</f>
        <v>-181130.40000000002</v>
      </c>
      <c r="T38" s="11">
        <f>+Table132[[#This Row],[Adjusted Contract Price]]-Table132[[#This Row],[Total Direct Budget]]</f>
        <v>48000</v>
      </c>
      <c r="U38" s="11">
        <f>+Table132[[#This Row],[Adjusted Contract Price]]-Table132[[#This Row],[Estimated Total Direct Costs]]</f>
        <v>-133130.40000000002</v>
      </c>
      <c r="V38" s="12">
        <f>IF(Table132[[#This Row],[Adjusted Contract Price]]=0,0,+Table132[[#This Row],[Budgeted Gross Profit (Loss)]]/Table132[[#This Row],[Adjusted Contract Price]])</f>
        <v>0.16666666666666666</v>
      </c>
      <c r="W38" s="12">
        <f>IF(Table132[[#This Row],[Adjusted Contract Price]]=0,0,+Table132[[#This Row],[Estimated Gross Profit (Loss)]]/Table132[[#This Row],[Adjusted Contract Price]])</f>
        <v>-0.46225833333333344</v>
      </c>
      <c r="X38" s="12">
        <v>0.83333299999999999</v>
      </c>
      <c r="Y38" s="12">
        <f>Table132[[#This Row],[Current GP %]]-Table132[[#This Row],[Prior Month1 GP]]</f>
        <v>-1.2955913333333333</v>
      </c>
      <c r="Z38" s="12">
        <v>0.83333299999999999</v>
      </c>
      <c r="AA38" s="12">
        <f>Table132[[#This Row],[Current GP %]]-Table132[[#This Row],[Prior Month2 GP]]</f>
        <v>-1.2955913333333333</v>
      </c>
      <c r="AB38" s="12">
        <v>0.83333299999999999</v>
      </c>
      <c r="AC38" s="12">
        <f>Table132[[#This Row],[Current GP %]]-Table132[[#This Row],[Prior Month3 GP]]</f>
        <v>-1.2955913333333333</v>
      </c>
      <c r="AD38" s="11">
        <v>421130.4</v>
      </c>
      <c r="AE38" s="13">
        <f>IF(Table132[[#This Row],[Estimated Total Direct Costs]]=0,0,+Table132[[#This Row],[Direct Cost To Date]]/Table132[[#This Row],[Estimated Total Direct Costs]])</f>
        <v>1</v>
      </c>
      <c r="AF38" s="11">
        <f>+Table132[[#This Row],[Estimated Gross Profit (Loss)]]*Table132[[#This Row],[% Complete]]</f>
        <v>-133130.40000000002</v>
      </c>
      <c r="AG38" s="11"/>
      <c r="AH38" s="11">
        <f>+Table132[[#This Row],[Total Gross Profit Recognized To Date]]-Table132[[#This Row],[Gross Profit Recognized Prior Years]]</f>
        <v>-133130.40000000002</v>
      </c>
      <c r="AI38" s="11">
        <v>288000</v>
      </c>
      <c r="AJ38" s="11">
        <f>Table132[[#This Row],[Adjusted Contract Price]]-Table132[[#This Row],[Total Amount Billed To Date]]</f>
        <v>0</v>
      </c>
      <c r="AK38" s="11">
        <v>0</v>
      </c>
      <c r="AL38" s="12">
        <f>IF(Table132[[#This Row],[Total Amount Billed To Date]]=0,0,+Table132[[#This Row],[Current Retainage Amount]]/Table132[[#This Row],[Total Amount Billed To Date]])</f>
        <v>0</v>
      </c>
      <c r="AM38" s="11">
        <v>288000</v>
      </c>
      <c r="AN38" s="11">
        <f>Table132[[#This Row],[Cash Received]]-Table132[[#This Row],[Direct Cost To Date]]</f>
        <v>-133130.40000000002</v>
      </c>
      <c r="AO38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8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8" s="11">
        <v>0</v>
      </c>
      <c r="AR38" s="11">
        <v>0</v>
      </c>
      <c r="AS38" s="11">
        <v>0</v>
      </c>
      <c r="AT38" s="11">
        <v>288000</v>
      </c>
      <c r="AU38" s="11">
        <v>0</v>
      </c>
      <c r="AV38" s="11">
        <v>0</v>
      </c>
      <c r="AW38" s="9">
        <v>45734</v>
      </c>
    </row>
    <row r="39" spans="1:49" ht="12.75" customHeight="1" x14ac:dyDescent="0.2">
      <c r="A39" t="s">
        <v>144</v>
      </c>
      <c r="B39" t="s">
        <v>145</v>
      </c>
      <c r="C39" t="s">
        <v>146</v>
      </c>
      <c r="D39" t="s">
        <v>54</v>
      </c>
      <c r="E39" t="s">
        <v>54</v>
      </c>
      <c r="F39" t="s">
        <v>78</v>
      </c>
      <c r="G39" s="2" t="s">
        <v>79</v>
      </c>
      <c r="H39" s="11">
        <v>2300000</v>
      </c>
      <c r="I39" s="11">
        <v>0</v>
      </c>
      <c r="J39" s="11">
        <f>Table132[[#This Row],[Adjusted Contract Price]]-Table132[[#This Row],[Base Contract]]-Table132[[#This Row],[Approved Change Orders]]</f>
        <v>0</v>
      </c>
      <c r="K39" s="11"/>
      <c r="L39" s="11">
        <v>2300000</v>
      </c>
      <c r="M39" s="11">
        <v>2186175</v>
      </c>
      <c r="N39" s="11">
        <v>1910000</v>
      </c>
      <c r="O39" s="11">
        <v>0</v>
      </c>
      <c r="P39" s="11">
        <f>Table132[[#This Row],[Base Contract]]-Table132[[#This Row],[QU Original Budget]]</f>
        <v>390000</v>
      </c>
      <c r="Q39" s="11">
        <f>Table132[[#This Row],[Approved Change Orders]]-Table132[[#This Row],[CO Change Order Budget]]</f>
        <v>0</v>
      </c>
      <c r="R39" s="11">
        <v>1910000</v>
      </c>
      <c r="S39" s="11">
        <f>Table132[[#This Row],[Total Direct Budget]]-Table132[[#This Row],[Estimated Total Direct Costs]]</f>
        <v>-276175</v>
      </c>
      <c r="T39" s="11">
        <f>+Table132[[#This Row],[Adjusted Contract Price]]-Table132[[#This Row],[Total Direct Budget]]</f>
        <v>390000</v>
      </c>
      <c r="U39" s="11">
        <f>+Table132[[#This Row],[Adjusted Contract Price]]-Table132[[#This Row],[Estimated Total Direct Costs]]</f>
        <v>113825</v>
      </c>
      <c r="V39" s="12">
        <f>IF(Table132[[#This Row],[Adjusted Contract Price]]=0,0,+Table132[[#This Row],[Budgeted Gross Profit (Loss)]]/Table132[[#This Row],[Adjusted Contract Price]])</f>
        <v>0.16956521739130434</v>
      </c>
      <c r="W39" s="12">
        <f>IF(Table132[[#This Row],[Adjusted Contract Price]]=0,0,+Table132[[#This Row],[Estimated Gross Profit (Loss)]]/Table132[[#This Row],[Adjusted Contract Price]])</f>
        <v>4.9489130434782612E-2</v>
      </c>
      <c r="X39" s="12">
        <v>0.83043400000000001</v>
      </c>
      <c r="Y39" s="12">
        <f>Table132[[#This Row],[Current GP %]]-Table132[[#This Row],[Prior Month1 GP]]</f>
        <v>-0.78094486956521736</v>
      </c>
      <c r="Z39" s="12">
        <v>0.83043400000000001</v>
      </c>
      <c r="AA39" s="12">
        <f>Table132[[#This Row],[Current GP %]]-Table132[[#This Row],[Prior Month2 GP]]</f>
        <v>-0.78094486956521736</v>
      </c>
      <c r="AB39" s="12">
        <v>0.83043400000000001</v>
      </c>
      <c r="AC39" s="12">
        <f>Table132[[#This Row],[Current GP %]]-Table132[[#This Row],[Prior Month3 GP]]</f>
        <v>-0.78094486956521736</v>
      </c>
      <c r="AD39" s="11">
        <v>2186267.5099999998</v>
      </c>
      <c r="AE39" s="13">
        <f>IF(Table132[[#This Row],[Estimated Total Direct Costs]]=0,0,+Table132[[#This Row],[Direct Cost To Date]]/Table132[[#This Row],[Estimated Total Direct Costs]])</f>
        <v>1.0000423159170697</v>
      </c>
      <c r="AF39" s="11">
        <f>+Table132[[#This Row],[Estimated Gross Profit (Loss)]]*Table132[[#This Row],[% Complete]]</f>
        <v>113829.81660926047</v>
      </c>
      <c r="AG39" s="11"/>
      <c r="AH39" s="11">
        <f>+Table132[[#This Row],[Total Gross Profit Recognized To Date]]-Table132[[#This Row],[Gross Profit Recognized Prior Years]]</f>
        <v>113829.81660926047</v>
      </c>
      <c r="AI39" s="11">
        <v>1546448.32</v>
      </c>
      <c r="AJ39" s="11">
        <f>Table132[[#This Row],[Adjusted Contract Price]]-Table132[[#This Row],[Total Amount Billed To Date]]</f>
        <v>753551.67999999993</v>
      </c>
      <c r="AK39" s="11">
        <v>0</v>
      </c>
      <c r="AL39" s="12">
        <f>IF(Table132[[#This Row],[Total Amount Billed To Date]]=0,0,+Table132[[#This Row],[Current Retainage Amount]]/Table132[[#This Row],[Total Amount Billed To Date]])</f>
        <v>0</v>
      </c>
      <c r="AM39" s="11">
        <v>442000</v>
      </c>
      <c r="AN39" s="11">
        <f>Table132[[#This Row],[Cash Received]]-Table132[[#This Row],[Direct Cost To Date]]</f>
        <v>-1744267.5099999998</v>
      </c>
      <c r="AO39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753649.00660926034</v>
      </c>
      <c r="AP39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9" s="11">
        <v>1419528.04</v>
      </c>
      <c r="AR39" s="11">
        <v>1305388.29</v>
      </c>
      <c r="AS39" s="11">
        <v>1104448.32</v>
      </c>
      <c r="AT39" s="11">
        <v>442000</v>
      </c>
      <c r="AU39" s="11">
        <v>226809.48</v>
      </c>
      <c r="AV39" s="11">
        <v>0</v>
      </c>
      <c r="AW39" s="9">
        <v>45729</v>
      </c>
    </row>
    <row r="40" spans="1:49" ht="12.75" customHeight="1" x14ac:dyDescent="0.2">
      <c r="A40" t="s">
        <v>147</v>
      </c>
      <c r="B40" t="s">
        <v>148</v>
      </c>
      <c r="C40" t="s">
        <v>149</v>
      </c>
      <c r="D40" t="s">
        <v>54</v>
      </c>
      <c r="E40" t="s">
        <v>54</v>
      </c>
      <c r="F40" t="s">
        <v>78</v>
      </c>
      <c r="G40" s="2" t="s">
        <v>56</v>
      </c>
      <c r="H40" s="11">
        <v>126000</v>
      </c>
      <c r="I40" s="11">
        <v>1425</v>
      </c>
      <c r="J40" s="11">
        <f>Table132[[#This Row],[Adjusted Contract Price]]-Table132[[#This Row],[Base Contract]]-Table132[[#This Row],[Approved Change Orders]]</f>
        <v>0</v>
      </c>
      <c r="K40" s="11"/>
      <c r="L40" s="11">
        <v>127425</v>
      </c>
      <c r="M40" s="11">
        <v>63404.37</v>
      </c>
      <c r="N40" s="11">
        <v>72500</v>
      </c>
      <c r="O40" s="11">
        <v>0</v>
      </c>
      <c r="P40" s="11">
        <f>Table132[[#This Row],[Base Contract]]-Table132[[#This Row],[QU Original Budget]]</f>
        <v>53500</v>
      </c>
      <c r="Q40" s="11">
        <f>Table132[[#This Row],[Approved Change Orders]]-Table132[[#This Row],[CO Change Order Budget]]</f>
        <v>1425</v>
      </c>
      <c r="R40" s="11">
        <v>72500</v>
      </c>
      <c r="S40" s="11">
        <f>Table132[[#This Row],[Total Direct Budget]]-Table132[[#This Row],[Estimated Total Direct Costs]]</f>
        <v>9095.6299999999974</v>
      </c>
      <c r="T40" s="11">
        <f>+Table132[[#This Row],[Adjusted Contract Price]]-Table132[[#This Row],[Total Direct Budget]]</f>
        <v>54925</v>
      </c>
      <c r="U40" s="11">
        <f>+Table132[[#This Row],[Adjusted Contract Price]]-Table132[[#This Row],[Estimated Total Direct Costs]]</f>
        <v>64020.63</v>
      </c>
      <c r="V40" s="12">
        <f>IF(Table132[[#This Row],[Adjusted Contract Price]]=0,0,+Table132[[#This Row],[Budgeted Gross Profit (Loss)]]/Table132[[#This Row],[Adjusted Contract Price]])</f>
        <v>0.43103786541102607</v>
      </c>
      <c r="W40" s="12">
        <f>IF(Table132[[#This Row],[Adjusted Contract Price]]=0,0,+Table132[[#This Row],[Estimated Gross Profit (Loss)]]/Table132[[#This Row],[Adjusted Contract Price]])</f>
        <v>0.50241812831077104</v>
      </c>
      <c r="X40" s="12">
        <v>0.56896199999999997</v>
      </c>
      <c r="Y40" s="12">
        <f>Table132[[#This Row],[Current GP %]]-Table132[[#This Row],[Prior Month1 GP]]</f>
        <v>-6.6543871689228928E-2</v>
      </c>
      <c r="Z40" s="12">
        <v>0.56896199999999997</v>
      </c>
      <c r="AA40" s="12">
        <f>Table132[[#This Row],[Current GP %]]-Table132[[#This Row],[Prior Month2 GP]]</f>
        <v>-6.6543871689228928E-2</v>
      </c>
      <c r="AB40" s="12">
        <v>0.56896199999999997</v>
      </c>
      <c r="AC40" s="12">
        <f>Table132[[#This Row],[Current GP %]]-Table132[[#This Row],[Prior Month3 GP]]</f>
        <v>-6.6543871689228928E-2</v>
      </c>
      <c r="AD40" s="11">
        <v>63404.37</v>
      </c>
      <c r="AE40" s="13">
        <f>IF(Table132[[#This Row],[Estimated Total Direct Costs]]=0,0,+Table132[[#This Row],[Direct Cost To Date]]/Table132[[#This Row],[Estimated Total Direct Costs]])</f>
        <v>1</v>
      </c>
      <c r="AF40" s="11">
        <f>+Table132[[#This Row],[Estimated Gross Profit (Loss)]]*Table132[[#This Row],[% Complete]]</f>
        <v>64020.63</v>
      </c>
      <c r="AG40" s="11"/>
      <c r="AH40" s="11">
        <f>+Table132[[#This Row],[Total Gross Profit Recognized To Date]]-Table132[[#This Row],[Gross Profit Recognized Prior Years]]</f>
        <v>64020.63</v>
      </c>
      <c r="AI40" s="11">
        <v>127425</v>
      </c>
      <c r="AJ40" s="11">
        <f>Table132[[#This Row],[Adjusted Contract Price]]-Table132[[#This Row],[Total Amount Billed To Date]]</f>
        <v>0</v>
      </c>
      <c r="AK40" s="11">
        <v>0</v>
      </c>
      <c r="AL40" s="12">
        <f>IF(Table132[[#This Row],[Total Amount Billed To Date]]=0,0,+Table132[[#This Row],[Current Retainage Amount]]/Table132[[#This Row],[Total Amount Billed To Date]])</f>
        <v>0</v>
      </c>
      <c r="AM40" s="11">
        <v>127425</v>
      </c>
      <c r="AN40" s="11">
        <f>Table132[[#This Row],[Cash Received]]-Table132[[#This Row],[Direct Cost To Date]]</f>
        <v>64020.63</v>
      </c>
      <c r="AO40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0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0" s="11">
        <v>4623.03</v>
      </c>
      <c r="AR40" s="11">
        <v>1425</v>
      </c>
      <c r="AS40" s="11">
        <v>0</v>
      </c>
      <c r="AT40" s="11">
        <v>127425</v>
      </c>
      <c r="AU40" s="11">
        <v>0</v>
      </c>
      <c r="AV40" s="11">
        <v>0</v>
      </c>
      <c r="AW40" s="9">
        <v>45734</v>
      </c>
    </row>
    <row r="41" spans="1:49" ht="12.75" customHeight="1" x14ac:dyDescent="0.2">
      <c r="A41" t="s">
        <v>150</v>
      </c>
      <c r="B41" t="s">
        <v>151</v>
      </c>
      <c r="C41" t="s">
        <v>152</v>
      </c>
      <c r="D41" t="s">
        <v>54</v>
      </c>
      <c r="E41" t="s">
        <v>54</v>
      </c>
      <c r="F41" t="s">
        <v>116</v>
      </c>
      <c r="G41" s="2" t="s">
        <v>79</v>
      </c>
      <c r="H41" s="11">
        <v>2416210</v>
      </c>
      <c r="I41" s="11">
        <v>0</v>
      </c>
      <c r="J41" s="11">
        <f>Table132[[#This Row],[Adjusted Contract Price]]-Table132[[#This Row],[Base Contract]]-Table132[[#This Row],[Approved Change Orders]]</f>
        <v>0</v>
      </c>
      <c r="K41" s="11"/>
      <c r="L41" s="11">
        <v>2416210</v>
      </c>
      <c r="M41" s="11">
        <v>1720948</v>
      </c>
      <c r="N41" s="11">
        <v>1720948</v>
      </c>
      <c r="O41" s="11">
        <v>0</v>
      </c>
      <c r="P41" s="11">
        <f>Table132[[#This Row],[Base Contract]]-Table132[[#This Row],[QU Original Budget]]</f>
        <v>695262</v>
      </c>
      <c r="Q41" s="11">
        <f>Table132[[#This Row],[Approved Change Orders]]-Table132[[#This Row],[CO Change Order Budget]]</f>
        <v>0</v>
      </c>
      <c r="R41" s="11">
        <v>1720948</v>
      </c>
      <c r="S41" s="11">
        <f>Table132[[#This Row],[Total Direct Budget]]-Table132[[#This Row],[Estimated Total Direct Costs]]</f>
        <v>0</v>
      </c>
      <c r="T41" s="11">
        <f>+Table132[[#This Row],[Adjusted Contract Price]]-Table132[[#This Row],[Total Direct Budget]]</f>
        <v>695262</v>
      </c>
      <c r="U41" s="11">
        <f>+Table132[[#This Row],[Adjusted Contract Price]]-Table132[[#This Row],[Estimated Total Direct Costs]]</f>
        <v>695262</v>
      </c>
      <c r="V41" s="12">
        <f>IF(Table132[[#This Row],[Adjusted Contract Price]]=0,0,+Table132[[#This Row],[Budgeted Gross Profit (Loss)]]/Table132[[#This Row],[Adjusted Contract Price]])</f>
        <v>0.2877489953273929</v>
      </c>
      <c r="W41" s="12">
        <f>IF(Table132[[#This Row],[Adjusted Contract Price]]=0,0,+Table132[[#This Row],[Estimated Gross Profit (Loss)]]/Table132[[#This Row],[Adjusted Contract Price]])</f>
        <v>0.2877489953273929</v>
      </c>
      <c r="X41" s="12">
        <v>0.71225099999999997</v>
      </c>
      <c r="Y41" s="12">
        <f>Table132[[#This Row],[Current GP %]]-Table132[[#This Row],[Prior Month1 GP]]</f>
        <v>-0.42450200467260707</v>
      </c>
      <c r="Z41" s="12">
        <v>0.71225099999999997</v>
      </c>
      <c r="AA41" s="12">
        <f>Table132[[#This Row],[Current GP %]]-Table132[[#This Row],[Prior Month2 GP]]</f>
        <v>-0.42450200467260707</v>
      </c>
      <c r="AB41" s="12">
        <v>0.71225099999999997</v>
      </c>
      <c r="AC41" s="12">
        <f>Table132[[#This Row],[Current GP %]]-Table132[[#This Row],[Prior Month3 GP]]</f>
        <v>-0.42450200467260707</v>
      </c>
      <c r="AD41" s="11">
        <v>44375.77</v>
      </c>
      <c r="AE41" s="13">
        <f>IF(Table132[[#This Row],[Estimated Total Direct Costs]]=0,0,+Table132[[#This Row],[Direct Cost To Date]]/Table132[[#This Row],[Estimated Total Direct Costs]])</f>
        <v>2.5785654185948671E-2</v>
      </c>
      <c r="AF41" s="11">
        <f>+Table132[[#This Row],[Estimated Gross Profit (Loss)]]*Table132[[#This Row],[% Complete]]</f>
        <v>17927.785500631046</v>
      </c>
      <c r="AG41" s="11"/>
      <c r="AH41" s="11">
        <f>+Table132[[#This Row],[Total Gross Profit Recognized To Date]]-Table132[[#This Row],[Gross Profit Recognized Prior Years]]</f>
        <v>17927.785500631046</v>
      </c>
      <c r="AI41" s="11">
        <v>0</v>
      </c>
      <c r="AJ41" s="11">
        <f>Table132[[#This Row],[Adjusted Contract Price]]-Table132[[#This Row],[Total Amount Billed To Date]]</f>
        <v>2416210</v>
      </c>
      <c r="AK41" s="11">
        <v>0</v>
      </c>
      <c r="AL41" s="12">
        <f>IF(Table132[[#This Row],[Total Amount Billed To Date]]=0,0,+Table132[[#This Row],[Current Retainage Amount]]/Table132[[#This Row],[Total Amount Billed To Date]])</f>
        <v>0</v>
      </c>
      <c r="AM41" s="11">
        <v>0</v>
      </c>
      <c r="AN41" s="11">
        <f>Table132[[#This Row],[Cash Received]]-Table132[[#This Row],[Direct Cost To Date]]</f>
        <v>-44375.77</v>
      </c>
      <c r="AO41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62303.555500631046</v>
      </c>
      <c r="AP41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1" s="11">
        <v>6895.2</v>
      </c>
      <c r="AR41" s="11">
        <v>0</v>
      </c>
      <c r="AS41" s="11">
        <v>0</v>
      </c>
      <c r="AT41" s="11">
        <v>0</v>
      </c>
      <c r="AU41" s="11">
        <v>5135</v>
      </c>
      <c r="AV41" s="11">
        <v>0</v>
      </c>
      <c r="AW41" s="9">
        <v>45506</v>
      </c>
    </row>
    <row r="42" spans="1:49" ht="12.75" customHeight="1" x14ac:dyDescent="0.2">
      <c r="A42" t="s">
        <v>153</v>
      </c>
      <c r="B42" t="s">
        <v>154</v>
      </c>
      <c r="C42" t="s">
        <v>108</v>
      </c>
      <c r="D42" t="s">
        <v>54</v>
      </c>
      <c r="E42" t="s">
        <v>54</v>
      </c>
      <c r="F42" t="s">
        <v>78</v>
      </c>
      <c r="G42" s="2" t="s">
        <v>79</v>
      </c>
      <c r="H42" s="11">
        <v>13700000</v>
      </c>
      <c r="I42" s="11">
        <v>-3700000</v>
      </c>
      <c r="J42" s="11">
        <f>Table132[[#This Row],[Adjusted Contract Price]]-Table132[[#This Row],[Base Contract]]-Table132[[#This Row],[Approved Change Orders]]</f>
        <v>0</v>
      </c>
      <c r="K42" s="11"/>
      <c r="L42" s="11">
        <v>10000000</v>
      </c>
      <c r="M42" s="11">
        <v>6621980</v>
      </c>
      <c r="N42" s="11">
        <v>6621980</v>
      </c>
      <c r="O42" s="11">
        <v>0</v>
      </c>
      <c r="P42" s="11">
        <f>Table132[[#This Row],[Base Contract]]-Table132[[#This Row],[QU Original Budget]]</f>
        <v>7078020</v>
      </c>
      <c r="Q42" s="11">
        <f>Table132[[#This Row],[Approved Change Orders]]-Table132[[#This Row],[CO Change Order Budget]]</f>
        <v>-3700000</v>
      </c>
      <c r="R42" s="11">
        <v>6621980</v>
      </c>
      <c r="S42" s="11">
        <f>Table132[[#This Row],[Total Direct Budget]]-Table132[[#This Row],[Estimated Total Direct Costs]]</f>
        <v>0</v>
      </c>
      <c r="T42" s="11">
        <f>+Table132[[#This Row],[Adjusted Contract Price]]-Table132[[#This Row],[Total Direct Budget]]</f>
        <v>3378020</v>
      </c>
      <c r="U42" s="11">
        <f>+Table132[[#This Row],[Adjusted Contract Price]]-Table132[[#This Row],[Estimated Total Direct Costs]]</f>
        <v>3378020</v>
      </c>
      <c r="V42" s="12">
        <f>IF(Table132[[#This Row],[Adjusted Contract Price]]=0,0,+Table132[[#This Row],[Budgeted Gross Profit (Loss)]]/Table132[[#This Row],[Adjusted Contract Price]])</f>
        <v>0.33780199999999999</v>
      </c>
      <c r="W42" s="12">
        <f>IF(Table132[[#This Row],[Adjusted Contract Price]]=0,0,+Table132[[#This Row],[Estimated Gross Profit (Loss)]]/Table132[[#This Row],[Adjusted Contract Price]])</f>
        <v>0.33780199999999999</v>
      </c>
      <c r="X42" s="12">
        <v>0.66219799999999995</v>
      </c>
      <c r="Y42" s="12">
        <f>Table132[[#This Row],[Current GP %]]-Table132[[#This Row],[Prior Month1 GP]]</f>
        <v>-0.32439599999999996</v>
      </c>
      <c r="Z42" s="12">
        <v>0.66219799999999995</v>
      </c>
      <c r="AA42" s="12">
        <f>Table132[[#This Row],[Current GP %]]-Table132[[#This Row],[Prior Month2 GP]]</f>
        <v>-0.32439599999999996</v>
      </c>
      <c r="AB42" s="12">
        <v>0.66219799999999995</v>
      </c>
      <c r="AC42" s="12">
        <f>Table132[[#This Row],[Current GP %]]-Table132[[#This Row],[Prior Month3 GP]]</f>
        <v>-0.32439599999999996</v>
      </c>
      <c r="AD42" s="11">
        <v>3925459.68</v>
      </c>
      <c r="AE42" s="13">
        <f>IF(Table132[[#This Row],[Estimated Total Direct Costs]]=0,0,+Table132[[#This Row],[Direct Cost To Date]]/Table132[[#This Row],[Estimated Total Direct Costs]])</f>
        <v>0.5927924397234664</v>
      </c>
      <c r="AF42" s="11">
        <f>+Table132[[#This Row],[Estimated Gross Profit (Loss)]]*Table132[[#This Row],[% Complete]]</f>
        <v>2002464.7172346639</v>
      </c>
      <c r="AG42" s="11"/>
      <c r="AH42" s="11">
        <f>+Table132[[#This Row],[Total Gross Profit Recognized To Date]]-Table132[[#This Row],[Gross Profit Recognized Prior Years]]</f>
        <v>2002464.7172346639</v>
      </c>
      <c r="AI42" s="11">
        <v>6078005</v>
      </c>
      <c r="AJ42" s="11">
        <f>Table132[[#This Row],[Adjusted Contract Price]]-Table132[[#This Row],[Total Amount Billed To Date]]</f>
        <v>3921995</v>
      </c>
      <c r="AK42" s="11">
        <v>0</v>
      </c>
      <c r="AL42" s="12">
        <f>IF(Table132[[#This Row],[Total Amount Billed To Date]]=0,0,+Table132[[#This Row],[Current Retainage Amount]]/Table132[[#This Row],[Total Amount Billed To Date]])</f>
        <v>0</v>
      </c>
      <c r="AM42" s="11">
        <v>5799000</v>
      </c>
      <c r="AN42" s="11">
        <f>Table132[[#This Row],[Cash Received]]-Table132[[#This Row],[Direct Cost To Date]]</f>
        <v>1873540.3199999998</v>
      </c>
      <c r="AO42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2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150080.6027653357</v>
      </c>
      <c r="AQ42" s="11">
        <v>3517103.89</v>
      </c>
      <c r="AR42" s="11">
        <v>5702625</v>
      </c>
      <c r="AS42" s="11">
        <v>279005</v>
      </c>
      <c r="AT42" s="11">
        <v>5799000</v>
      </c>
      <c r="AU42" s="11">
        <v>90363.41</v>
      </c>
      <c r="AV42" s="11">
        <v>0</v>
      </c>
      <c r="AW42" s="9">
        <v>45741</v>
      </c>
    </row>
    <row r="43" spans="1:49" ht="12.75" customHeight="1" x14ac:dyDescent="0.2">
      <c r="A43" t="s">
        <v>155</v>
      </c>
      <c r="B43" t="s">
        <v>156</v>
      </c>
      <c r="C43" t="s">
        <v>157</v>
      </c>
      <c r="D43" t="s">
        <v>54</v>
      </c>
      <c r="E43" t="s">
        <v>54</v>
      </c>
      <c r="F43" t="s">
        <v>78</v>
      </c>
      <c r="G43" s="2" t="s">
        <v>79</v>
      </c>
      <c r="H43" s="11">
        <v>617796</v>
      </c>
      <c r="I43" s="11">
        <v>0</v>
      </c>
      <c r="J43" s="11">
        <f>Table132[[#This Row],[Adjusted Contract Price]]-Table132[[#This Row],[Base Contract]]-Table132[[#This Row],[Approved Change Orders]]</f>
        <v>0</v>
      </c>
      <c r="K43" s="11"/>
      <c r="L43" s="11">
        <v>617796</v>
      </c>
      <c r="M43" s="11">
        <v>94567.41</v>
      </c>
      <c r="N43" s="11">
        <v>368315.2</v>
      </c>
      <c r="O43" s="11">
        <v>0</v>
      </c>
      <c r="P43" s="11">
        <f>Table132[[#This Row],[Base Contract]]-Table132[[#This Row],[QU Original Budget]]</f>
        <v>249480.8</v>
      </c>
      <c r="Q43" s="11">
        <f>Table132[[#This Row],[Approved Change Orders]]-Table132[[#This Row],[CO Change Order Budget]]</f>
        <v>0</v>
      </c>
      <c r="R43" s="11">
        <v>368315.2</v>
      </c>
      <c r="S43" s="11">
        <f>Table132[[#This Row],[Total Direct Budget]]-Table132[[#This Row],[Estimated Total Direct Costs]]</f>
        <v>273747.79000000004</v>
      </c>
      <c r="T43" s="11">
        <f>+Table132[[#This Row],[Adjusted Contract Price]]-Table132[[#This Row],[Total Direct Budget]]</f>
        <v>249480.8</v>
      </c>
      <c r="U43" s="11">
        <f>+Table132[[#This Row],[Adjusted Contract Price]]-Table132[[#This Row],[Estimated Total Direct Costs]]</f>
        <v>523228.58999999997</v>
      </c>
      <c r="V43" s="12">
        <f>IF(Table132[[#This Row],[Adjusted Contract Price]]=0,0,+Table132[[#This Row],[Budgeted Gross Profit (Loss)]]/Table132[[#This Row],[Adjusted Contract Price]])</f>
        <v>0.40382391598521195</v>
      </c>
      <c r="W43" s="12">
        <f>IF(Table132[[#This Row],[Adjusted Contract Price]]=0,0,+Table132[[#This Row],[Estimated Gross Profit (Loss)]]/Table132[[#This Row],[Adjusted Contract Price]])</f>
        <v>0.8469277722743429</v>
      </c>
      <c r="X43" s="12">
        <v>0.59617600000000004</v>
      </c>
      <c r="Y43" s="12">
        <f>Table132[[#This Row],[Current GP %]]-Table132[[#This Row],[Prior Month1 GP]]</f>
        <v>0.25075177227434287</v>
      </c>
      <c r="Z43" s="12">
        <v>0.59617600000000004</v>
      </c>
      <c r="AA43" s="12">
        <f>Table132[[#This Row],[Current GP %]]-Table132[[#This Row],[Prior Month2 GP]]</f>
        <v>0.25075177227434287</v>
      </c>
      <c r="AB43" s="12">
        <v>0.59617600000000004</v>
      </c>
      <c r="AC43" s="12">
        <f>Table132[[#This Row],[Current GP %]]-Table132[[#This Row],[Prior Month3 GP]]</f>
        <v>0.25075177227434287</v>
      </c>
      <c r="AD43" s="11">
        <v>94567.55</v>
      </c>
      <c r="AE43" s="13">
        <f>IF(Table132[[#This Row],[Estimated Total Direct Costs]]=0,0,+Table132[[#This Row],[Direct Cost To Date]]/Table132[[#This Row],[Estimated Total Direct Costs]])</f>
        <v>1.0000014804254447</v>
      </c>
      <c r="AF43" s="11">
        <f>+Table132[[#This Row],[Estimated Gross Profit (Loss)]]*Table132[[#This Row],[% Complete]]</f>
        <v>523229.36460091796</v>
      </c>
      <c r="AG43" s="11"/>
      <c r="AH43" s="11">
        <f>+Table132[[#This Row],[Total Gross Profit Recognized To Date]]-Table132[[#This Row],[Gross Profit Recognized Prior Years]]</f>
        <v>523229.36460091796</v>
      </c>
      <c r="AI43" s="11">
        <v>617796</v>
      </c>
      <c r="AJ43" s="11">
        <f>Table132[[#This Row],[Adjusted Contract Price]]-Table132[[#This Row],[Total Amount Billed To Date]]</f>
        <v>0</v>
      </c>
      <c r="AK43" s="11">
        <v>0</v>
      </c>
      <c r="AL43" s="12">
        <f>IF(Table132[[#This Row],[Total Amount Billed To Date]]=0,0,+Table132[[#This Row],[Current Retainage Amount]]/Table132[[#This Row],[Total Amount Billed To Date]])</f>
        <v>0</v>
      </c>
      <c r="AM43" s="11">
        <v>533516.39</v>
      </c>
      <c r="AN43" s="11">
        <f>Table132[[#This Row],[Cash Received]]-Table132[[#This Row],[Direct Cost To Date]]</f>
        <v>438948.84</v>
      </c>
      <c r="AO43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0.91460091795306653</v>
      </c>
      <c r="AP43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3" s="11">
        <v>90229.19</v>
      </c>
      <c r="AR43" s="11">
        <v>617796</v>
      </c>
      <c r="AS43" s="11">
        <v>84279.61</v>
      </c>
      <c r="AT43" s="11">
        <v>533516.39</v>
      </c>
      <c r="AU43" s="11">
        <v>18018.21</v>
      </c>
      <c r="AV43" s="11">
        <v>0</v>
      </c>
      <c r="AW43" s="9">
        <v>45729</v>
      </c>
    </row>
    <row r="44" spans="1:49" ht="12.75" customHeight="1" x14ac:dyDescent="0.2">
      <c r="A44" t="s">
        <v>158</v>
      </c>
      <c r="B44" t="s">
        <v>159</v>
      </c>
      <c r="C44" t="s">
        <v>130</v>
      </c>
      <c r="D44" t="s">
        <v>54</v>
      </c>
      <c r="E44" t="s">
        <v>54</v>
      </c>
      <c r="F44" t="s">
        <v>131</v>
      </c>
      <c r="G44" s="2" t="s">
        <v>79</v>
      </c>
      <c r="H44" s="11">
        <v>513955.56</v>
      </c>
      <c r="I44" s="11">
        <v>0</v>
      </c>
      <c r="J44" s="11">
        <f>Table132[[#This Row],[Adjusted Contract Price]]-Table132[[#This Row],[Base Contract]]-Table132[[#This Row],[Approved Change Orders]]</f>
        <v>0</v>
      </c>
      <c r="K44" s="11"/>
      <c r="L44" s="11">
        <v>513955.56</v>
      </c>
      <c r="M44" s="11">
        <v>300409.78000000003</v>
      </c>
      <c r="N44" s="11">
        <v>300409.78000000003</v>
      </c>
      <c r="O44" s="11">
        <v>0</v>
      </c>
      <c r="P44" s="11">
        <f>Table132[[#This Row],[Base Contract]]-Table132[[#This Row],[QU Original Budget]]</f>
        <v>213545.77999999997</v>
      </c>
      <c r="Q44" s="11">
        <f>Table132[[#This Row],[Approved Change Orders]]-Table132[[#This Row],[CO Change Order Budget]]</f>
        <v>0</v>
      </c>
      <c r="R44" s="11">
        <v>300409.78000000003</v>
      </c>
      <c r="S44" s="11">
        <f>Table132[[#This Row],[Total Direct Budget]]-Table132[[#This Row],[Estimated Total Direct Costs]]</f>
        <v>0</v>
      </c>
      <c r="T44" s="11">
        <f>+Table132[[#This Row],[Adjusted Contract Price]]-Table132[[#This Row],[Total Direct Budget]]</f>
        <v>213545.77999999997</v>
      </c>
      <c r="U44" s="11">
        <f>+Table132[[#This Row],[Adjusted Contract Price]]-Table132[[#This Row],[Estimated Total Direct Costs]]</f>
        <v>213545.77999999997</v>
      </c>
      <c r="V44" s="12">
        <f>IF(Table132[[#This Row],[Adjusted Contract Price]]=0,0,+Table132[[#This Row],[Budgeted Gross Profit (Loss)]]/Table132[[#This Row],[Adjusted Contract Price]])</f>
        <v>0.41549463926414176</v>
      </c>
      <c r="W44" s="12">
        <f>IF(Table132[[#This Row],[Adjusted Contract Price]]=0,0,+Table132[[#This Row],[Estimated Gross Profit (Loss)]]/Table132[[#This Row],[Adjusted Contract Price]])</f>
        <v>0.41549463926414176</v>
      </c>
      <c r="X44" s="12">
        <v>0.58450500000000005</v>
      </c>
      <c r="Y44" s="12">
        <f>Table132[[#This Row],[Current GP %]]-Table132[[#This Row],[Prior Month1 GP]]</f>
        <v>-0.16901036073585829</v>
      </c>
      <c r="Z44" s="12">
        <v>0.58450500000000005</v>
      </c>
      <c r="AA44" s="12">
        <f>Table132[[#This Row],[Current GP %]]-Table132[[#This Row],[Prior Month2 GP]]</f>
        <v>-0.16901036073585829</v>
      </c>
      <c r="AB44" s="12">
        <v>0.58450500000000005</v>
      </c>
      <c r="AC44" s="12">
        <f>Table132[[#This Row],[Current GP %]]-Table132[[#This Row],[Prior Month3 GP]]</f>
        <v>-0.16901036073585829</v>
      </c>
      <c r="AD44" s="11">
        <v>54454.99</v>
      </c>
      <c r="AE44" s="13">
        <f>IF(Table132[[#This Row],[Estimated Total Direct Costs]]=0,0,+Table132[[#This Row],[Direct Cost To Date]]/Table132[[#This Row],[Estimated Total Direct Costs]])</f>
        <v>0.18126903192033225</v>
      </c>
      <c r="AF44" s="11">
        <f>+Table132[[#This Row],[Estimated Gross Profit (Loss)]]*Table132[[#This Row],[% Complete]]</f>
        <v>38709.23681127224</v>
      </c>
      <c r="AG44" s="11"/>
      <c r="AH44" s="11">
        <f>+Table132[[#This Row],[Total Gross Profit Recognized To Date]]-Table132[[#This Row],[Gross Profit Recognized Prior Years]]</f>
        <v>38709.23681127224</v>
      </c>
      <c r="AI44" s="11">
        <v>262966.58</v>
      </c>
      <c r="AJ44" s="11">
        <f>Table132[[#This Row],[Adjusted Contract Price]]-Table132[[#This Row],[Total Amount Billed To Date]]</f>
        <v>250988.97999999998</v>
      </c>
      <c r="AK44" s="11">
        <v>0</v>
      </c>
      <c r="AL44" s="12">
        <f>IF(Table132[[#This Row],[Total Amount Billed To Date]]=0,0,+Table132[[#This Row],[Current Retainage Amount]]/Table132[[#This Row],[Total Amount Billed To Date]])</f>
        <v>0</v>
      </c>
      <c r="AM44" s="11">
        <v>252318.34</v>
      </c>
      <c r="AN44" s="11">
        <f>Table132[[#This Row],[Cash Received]]-Table132[[#This Row],[Direct Cost To Date]]</f>
        <v>197863.35</v>
      </c>
      <c r="AO44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4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169802.35318872778</v>
      </c>
      <c r="AQ44" s="11">
        <v>54439.79</v>
      </c>
      <c r="AR44" s="11">
        <v>262966.58</v>
      </c>
      <c r="AS44" s="11">
        <v>10648.24</v>
      </c>
      <c r="AT44" s="11">
        <v>252318.34</v>
      </c>
      <c r="AU44" s="11">
        <v>3917.92</v>
      </c>
      <c r="AV44" s="11">
        <v>0</v>
      </c>
      <c r="AW44" s="9">
        <v>45729</v>
      </c>
    </row>
    <row r="45" spans="1:49" ht="12.75" customHeight="1" x14ac:dyDescent="0.2">
      <c r="A45" t="s">
        <v>160</v>
      </c>
      <c r="B45" t="s">
        <v>161</v>
      </c>
      <c r="C45" t="s">
        <v>53</v>
      </c>
      <c r="D45" t="s">
        <v>54</v>
      </c>
      <c r="E45" t="s">
        <v>54</v>
      </c>
      <c r="F45" t="s">
        <v>55</v>
      </c>
      <c r="G45" s="2" t="s">
        <v>79</v>
      </c>
      <c r="H45" s="11">
        <v>251517.42</v>
      </c>
      <c r="I45" s="11">
        <v>0</v>
      </c>
      <c r="J45" s="11">
        <f>Table132[[#This Row],[Adjusted Contract Price]]-Table132[[#This Row],[Base Contract]]-Table132[[#This Row],[Approved Change Orders]]</f>
        <v>-161517.42000000001</v>
      </c>
      <c r="K45" s="11"/>
      <c r="L45" s="11">
        <v>90000</v>
      </c>
      <c r="M45" s="11">
        <v>52830.48</v>
      </c>
      <c r="N45" s="11">
        <v>183260</v>
      </c>
      <c r="O45" s="11">
        <v>0</v>
      </c>
      <c r="P45" s="11">
        <f>Table132[[#This Row],[Base Contract]]-Table132[[#This Row],[QU Original Budget]]</f>
        <v>68257.420000000013</v>
      </c>
      <c r="Q45" s="11">
        <f>Table132[[#This Row],[Approved Change Orders]]-Table132[[#This Row],[CO Change Order Budget]]</f>
        <v>0</v>
      </c>
      <c r="R45" s="11">
        <v>183260</v>
      </c>
      <c r="S45" s="11">
        <f>Table132[[#This Row],[Total Direct Budget]]-Table132[[#This Row],[Estimated Total Direct Costs]]</f>
        <v>130429.51999999999</v>
      </c>
      <c r="T45" s="11">
        <f>+Table132[[#This Row],[Adjusted Contract Price]]-Table132[[#This Row],[Total Direct Budget]]</f>
        <v>-93260</v>
      </c>
      <c r="U45" s="11">
        <f>+Table132[[#This Row],[Adjusted Contract Price]]-Table132[[#This Row],[Estimated Total Direct Costs]]</f>
        <v>37169.519999999997</v>
      </c>
      <c r="V45" s="12">
        <f>IF(Table132[[#This Row],[Adjusted Contract Price]]=0,0,+Table132[[#This Row],[Budgeted Gross Profit (Loss)]]/Table132[[#This Row],[Adjusted Contract Price]])</f>
        <v>-1.0362222222222222</v>
      </c>
      <c r="W45" s="12">
        <f>IF(Table132[[#This Row],[Adjusted Contract Price]]=0,0,+Table132[[#This Row],[Estimated Gross Profit (Loss)]]/Table132[[#This Row],[Adjusted Contract Price]])</f>
        <v>0.41299466666666662</v>
      </c>
      <c r="X45" s="12">
        <v>0.72861699999999996</v>
      </c>
      <c r="Y45" s="12">
        <f>Table132[[#This Row],[Current GP %]]-Table132[[#This Row],[Prior Month1 GP]]</f>
        <v>-0.31562233333333334</v>
      </c>
      <c r="Z45" s="12">
        <v>0.72861699999999996</v>
      </c>
      <c r="AA45" s="12">
        <f>Table132[[#This Row],[Current GP %]]-Table132[[#This Row],[Prior Month2 GP]]</f>
        <v>-0.31562233333333334</v>
      </c>
      <c r="AB45" s="12">
        <v>0.72861699999999996</v>
      </c>
      <c r="AC45" s="12">
        <f>Table132[[#This Row],[Current GP %]]-Table132[[#This Row],[Prior Month3 GP]]</f>
        <v>-0.31562233333333334</v>
      </c>
      <c r="AD45" s="11">
        <v>52829.68</v>
      </c>
      <c r="AE45" s="13">
        <f>IF(Table132[[#This Row],[Estimated Total Direct Costs]]=0,0,+Table132[[#This Row],[Direct Cost To Date]]/Table132[[#This Row],[Estimated Total Direct Costs]])</f>
        <v>0.99998485722635866</v>
      </c>
      <c r="AF45" s="11">
        <f>+Table132[[#This Row],[Estimated Gross Profit (Loss)]]*Table132[[#This Row],[% Complete]]</f>
        <v>37168.957150372276</v>
      </c>
      <c r="AG45" s="11"/>
      <c r="AH45" s="11">
        <f>+Table132[[#This Row],[Total Gross Profit Recognized To Date]]-Table132[[#This Row],[Gross Profit Recognized Prior Years]]</f>
        <v>37168.957150372276</v>
      </c>
      <c r="AI45" s="11">
        <v>150910.45000000001</v>
      </c>
      <c r="AJ45" s="11">
        <f>Table132[[#This Row],[Adjusted Contract Price]]-Table132[[#This Row],[Total Amount Billed To Date]]</f>
        <v>-60910.450000000012</v>
      </c>
      <c r="AK45" s="11">
        <v>0</v>
      </c>
      <c r="AL45" s="12">
        <f>IF(Table132[[#This Row],[Total Amount Billed To Date]]=0,0,+Table132[[#This Row],[Current Retainage Amount]]/Table132[[#This Row],[Total Amount Billed To Date]])</f>
        <v>0</v>
      </c>
      <c r="AM45" s="11">
        <v>0</v>
      </c>
      <c r="AN45" s="11">
        <f>Table132[[#This Row],[Cash Received]]-Table132[[#This Row],[Direct Cost To Date]]</f>
        <v>-52829.68</v>
      </c>
      <c r="AO45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5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60911.812849627735</v>
      </c>
      <c r="AQ45" s="11">
        <v>48215.13</v>
      </c>
      <c r="AR45" s="11">
        <v>150910.45000000001</v>
      </c>
      <c r="AS45" s="11">
        <v>150910.45000000001</v>
      </c>
      <c r="AT45" s="11">
        <v>0</v>
      </c>
      <c r="AU45" s="11">
        <v>5698.73</v>
      </c>
      <c r="AV45" s="11">
        <v>0</v>
      </c>
      <c r="AW45" s="9">
        <v>45729</v>
      </c>
    </row>
    <row r="46" spans="1:49" ht="12.75" customHeight="1" x14ac:dyDescent="0.2">
      <c r="A46" t="s">
        <v>162</v>
      </c>
      <c r="B46" t="s">
        <v>163</v>
      </c>
      <c r="C46" t="s">
        <v>74</v>
      </c>
      <c r="D46" t="s">
        <v>54</v>
      </c>
      <c r="E46" t="s">
        <v>54</v>
      </c>
      <c r="F46" t="s">
        <v>55</v>
      </c>
      <c r="G46" s="2" t="s">
        <v>79</v>
      </c>
      <c r="H46" s="11">
        <v>3985840</v>
      </c>
      <c r="I46" s="11">
        <v>0</v>
      </c>
      <c r="J46" s="11">
        <f>Table132[[#This Row],[Adjusted Contract Price]]-Table132[[#This Row],[Base Contract]]-Table132[[#This Row],[Approved Change Orders]]</f>
        <v>0</v>
      </c>
      <c r="K46" s="11"/>
      <c r="L46" s="11">
        <v>3985840</v>
      </c>
      <c r="M46" s="11">
        <v>3149649</v>
      </c>
      <c r="N46" s="11">
        <v>3149649</v>
      </c>
      <c r="O46" s="11">
        <v>0</v>
      </c>
      <c r="P46" s="11">
        <f>Table132[[#This Row],[Base Contract]]-Table132[[#This Row],[QU Original Budget]]</f>
        <v>836191</v>
      </c>
      <c r="Q46" s="11">
        <f>Table132[[#This Row],[Approved Change Orders]]-Table132[[#This Row],[CO Change Order Budget]]</f>
        <v>0</v>
      </c>
      <c r="R46" s="11">
        <v>3149649</v>
      </c>
      <c r="S46" s="11">
        <f>Table132[[#This Row],[Total Direct Budget]]-Table132[[#This Row],[Estimated Total Direct Costs]]</f>
        <v>0</v>
      </c>
      <c r="T46" s="11">
        <f>+Table132[[#This Row],[Adjusted Contract Price]]-Table132[[#This Row],[Total Direct Budget]]</f>
        <v>836191</v>
      </c>
      <c r="U46" s="11">
        <f>+Table132[[#This Row],[Adjusted Contract Price]]-Table132[[#This Row],[Estimated Total Direct Costs]]</f>
        <v>836191</v>
      </c>
      <c r="V46" s="12">
        <f>IF(Table132[[#This Row],[Adjusted Contract Price]]=0,0,+Table132[[#This Row],[Budgeted Gross Profit (Loss)]]/Table132[[#This Row],[Adjusted Contract Price]])</f>
        <v>0.20979040804447746</v>
      </c>
      <c r="W46" s="12">
        <f>IF(Table132[[#This Row],[Adjusted Contract Price]]=0,0,+Table132[[#This Row],[Estimated Gross Profit (Loss)]]/Table132[[#This Row],[Adjusted Contract Price]])</f>
        <v>0.20979040804447746</v>
      </c>
      <c r="X46" s="12">
        <v>0.79020900000000005</v>
      </c>
      <c r="Y46" s="12">
        <f>Table132[[#This Row],[Current GP %]]-Table132[[#This Row],[Prior Month1 GP]]</f>
        <v>-0.58041859195552259</v>
      </c>
      <c r="Z46" s="12">
        <v>0.79020900000000005</v>
      </c>
      <c r="AA46" s="12">
        <f>Table132[[#This Row],[Current GP %]]-Table132[[#This Row],[Prior Month2 GP]]</f>
        <v>-0.58041859195552259</v>
      </c>
      <c r="AB46" s="12">
        <v>0.79020900000000005</v>
      </c>
      <c r="AC46" s="12">
        <f>Table132[[#This Row],[Current GP %]]-Table132[[#This Row],[Prior Month3 GP]]</f>
        <v>-0.58041859195552259</v>
      </c>
      <c r="AD46" s="11">
        <v>6570.14</v>
      </c>
      <c r="AE46" s="13">
        <f>IF(Table132[[#This Row],[Estimated Total Direct Costs]]=0,0,+Table132[[#This Row],[Direct Cost To Date]]/Table132[[#This Row],[Estimated Total Direct Costs]])</f>
        <v>2.0859911691747239E-3</v>
      </c>
      <c r="AF46" s="11">
        <f>+Table132[[#This Row],[Estimated Gross Profit (Loss)]]*Table132[[#This Row],[% Complete]]</f>
        <v>1744.2870417433815</v>
      </c>
      <c r="AG46" s="11"/>
      <c r="AH46" s="11">
        <f>+Table132[[#This Row],[Total Gross Profit Recognized To Date]]-Table132[[#This Row],[Gross Profit Recognized Prior Years]]</f>
        <v>1744.2870417433815</v>
      </c>
      <c r="AI46" s="11">
        <v>159434</v>
      </c>
      <c r="AJ46" s="11">
        <f>Table132[[#This Row],[Adjusted Contract Price]]-Table132[[#This Row],[Total Amount Billed To Date]]</f>
        <v>3826406</v>
      </c>
      <c r="AK46" s="11">
        <v>0</v>
      </c>
      <c r="AL46" s="12">
        <f>IF(Table132[[#This Row],[Total Amount Billed To Date]]=0,0,+Table132[[#This Row],[Current Retainage Amount]]/Table132[[#This Row],[Total Amount Billed To Date]])</f>
        <v>0</v>
      </c>
      <c r="AM46" s="11">
        <v>159434</v>
      </c>
      <c r="AN46" s="11">
        <f>Table132[[#This Row],[Cash Received]]-Table132[[#This Row],[Direct Cost To Date]]</f>
        <v>152863.85999999999</v>
      </c>
      <c r="AO46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6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151119.57295825661</v>
      </c>
      <c r="AQ46" s="11">
        <v>0</v>
      </c>
      <c r="AR46" s="11">
        <v>0</v>
      </c>
      <c r="AS46" s="11">
        <v>0</v>
      </c>
      <c r="AT46" s="11">
        <v>159434</v>
      </c>
      <c r="AU46" s="11">
        <v>6410</v>
      </c>
      <c r="AV46" s="11">
        <v>0</v>
      </c>
      <c r="AW46" s="9">
        <v>45689</v>
      </c>
    </row>
    <row r="47" spans="1:49" ht="12.75" customHeight="1" x14ac:dyDescent="0.2">
      <c r="A47" t="s">
        <v>164</v>
      </c>
      <c r="B47" t="s">
        <v>165</v>
      </c>
      <c r="C47" t="s">
        <v>53</v>
      </c>
      <c r="D47" t="s">
        <v>54</v>
      </c>
      <c r="E47" t="s">
        <v>54</v>
      </c>
      <c r="F47" t="s">
        <v>55</v>
      </c>
      <c r="G47" s="2" t="s">
        <v>79</v>
      </c>
      <c r="H47" s="11">
        <v>2105000</v>
      </c>
      <c r="I47" s="11">
        <v>0</v>
      </c>
      <c r="J47" s="11">
        <f>Table132[[#This Row],[Adjusted Contract Price]]-Table132[[#This Row],[Base Contract]]-Table132[[#This Row],[Approved Change Orders]]</f>
        <v>0</v>
      </c>
      <c r="K47" s="11"/>
      <c r="L47" s="11">
        <v>2105000</v>
      </c>
      <c r="M47" s="11">
        <v>1679195</v>
      </c>
      <c r="N47" s="11">
        <v>1679195</v>
      </c>
      <c r="O47" s="11">
        <v>0</v>
      </c>
      <c r="P47" s="11">
        <f>Table132[[#This Row],[Base Contract]]-Table132[[#This Row],[QU Original Budget]]</f>
        <v>425805</v>
      </c>
      <c r="Q47" s="11">
        <f>Table132[[#This Row],[Approved Change Orders]]-Table132[[#This Row],[CO Change Order Budget]]</f>
        <v>0</v>
      </c>
      <c r="R47" s="11">
        <v>1679195</v>
      </c>
      <c r="S47" s="11">
        <f>Table132[[#This Row],[Total Direct Budget]]-Table132[[#This Row],[Estimated Total Direct Costs]]</f>
        <v>0</v>
      </c>
      <c r="T47" s="11">
        <f>+Table132[[#This Row],[Adjusted Contract Price]]-Table132[[#This Row],[Total Direct Budget]]</f>
        <v>425805</v>
      </c>
      <c r="U47" s="11">
        <f>+Table132[[#This Row],[Adjusted Contract Price]]-Table132[[#This Row],[Estimated Total Direct Costs]]</f>
        <v>425805</v>
      </c>
      <c r="V47" s="12">
        <f>IF(Table132[[#This Row],[Adjusted Contract Price]]=0,0,+Table132[[#This Row],[Budgeted Gross Profit (Loss)]]/Table132[[#This Row],[Adjusted Contract Price]])</f>
        <v>0.20228266033254158</v>
      </c>
      <c r="W47" s="12">
        <f>IF(Table132[[#This Row],[Adjusted Contract Price]]=0,0,+Table132[[#This Row],[Estimated Gross Profit (Loss)]]/Table132[[#This Row],[Adjusted Contract Price]])</f>
        <v>0.20228266033254158</v>
      </c>
      <c r="X47" s="12">
        <v>0.79771700000000001</v>
      </c>
      <c r="Y47" s="12">
        <f>Table132[[#This Row],[Current GP %]]-Table132[[#This Row],[Prior Month1 GP]]</f>
        <v>-0.5954343396674584</v>
      </c>
      <c r="Z47" s="12">
        <v>0.79771700000000001</v>
      </c>
      <c r="AA47" s="12">
        <f>Table132[[#This Row],[Current GP %]]-Table132[[#This Row],[Prior Month2 GP]]</f>
        <v>-0.5954343396674584</v>
      </c>
      <c r="AB47" s="12">
        <v>0</v>
      </c>
      <c r="AC47" s="12">
        <f>Table132[[#This Row],[Current GP %]]-Table132[[#This Row],[Prior Month3 GP]]</f>
        <v>0.20228266033254158</v>
      </c>
      <c r="AD47" s="11">
        <v>2500</v>
      </c>
      <c r="AE47" s="13">
        <f>IF(Table132[[#This Row],[Estimated Total Direct Costs]]=0,0,+Table132[[#This Row],[Direct Cost To Date]]/Table132[[#This Row],[Estimated Total Direct Costs]])</f>
        <v>1.4888086255616531E-3</v>
      </c>
      <c r="AF47" s="11">
        <f>+Table132[[#This Row],[Estimated Gross Profit (Loss)]]*Table132[[#This Row],[% Complete]]</f>
        <v>633.94215680727973</v>
      </c>
      <c r="AG47" s="11"/>
      <c r="AH47" s="11">
        <f>+Table132[[#This Row],[Total Gross Profit Recognized To Date]]-Table132[[#This Row],[Gross Profit Recognized Prior Years]]</f>
        <v>633.94215680727973</v>
      </c>
      <c r="AI47" s="11">
        <v>84200</v>
      </c>
      <c r="AJ47" s="11">
        <f>Table132[[#This Row],[Adjusted Contract Price]]-Table132[[#This Row],[Total Amount Billed To Date]]</f>
        <v>2020800</v>
      </c>
      <c r="AK47" s="11">
        <v>0</v>
      </c>
      <c r="AL47" s="12">
        <f>IF(Table132[[#This Row],[Total Amount Billed To Date]]=0,0,+Table132[[#This Row],[Current Retainage Amount]]/Table132[[#This Row],[Total Amount Billed To Date]])</f>
        <v>0</v>
      </c>
      <c r="AM47" s="11">
        <v>0</v>
      </c>
      <c r="AN47" s="11">
        <f>Table132[[#This Row],[Cash Received]]-Table132[[#This Row],[Direct Cost To Date]]</f>
        <v>-2500</v>
      </c>
      <c r="AO47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7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81066.057843192713</v>
      </c>
      <c r="AQ47" s="11">
        <v>0</v>
      </c>
      <c r="AR47" s="11">
        <v>0</v>
      </c>
      <c r="AS47" s="11">
        <v>84200</v>
      </c>
      <c r="AT47" s="11">
        <v>0</v>
      </c>
      <c r="AU47" s="11">
        <v>2500</v>
      </c>
      <c r="AV47" s="11">
        <v>0</v>
      </c>
      <c r="AW47" s="9">
        <v>45689</v>
      </c>
    </row>
    <row r="48" spans="1:49" ht="12.75" customHeight="1" x14ac:dyDescent="0.2">
      <c r="A48" t="s">
        <v>166</v>
      </c>
      <c r="B48" t="s">
        <v>167</v>
      </c>
      <c r="C48" t="s">
        <v>53</v>
      </c>
      <c r="D48" t="s">
        <v>54</v>
      </c>
      <c r="E48" t="s">
        <v>54</v>
      </c>
      <c r="F48" t="s">
        <v>55</v>
      </c>
      <c r="G48" s="2" t="s">
        <v>79</v>
      </c>
      <c r="H48" s="11">
        <v>177500</v>
      </c>
      <c r="I48" s="11">
        <v>0</v>
      </c>
      <c r="J48" s="11">
        <f>Table132[[#This Row],[Adjusted Contract Price]]-Table132[[#This Row],[Base Contract]]-Table132[[#This Row],[Approved Change Orders]]</f>
        <v>-177500</v>
      </c>
      <c r="K48" s="11"/>
      <c r="L48" s="11">
        <v>0</v>
      </c>
      <c r="M48" s="11">
        <v>0</v>
      </c>
      <c r="N48" s="11">
        <v>138963.62</v>
      </c>
      <c r="O48" s="11">
        <v>0</v>
      </c>
      <c r="P48" s="11">
        <f>Table132[[#This Row],[Base Contract]]-Table132[[#This Row],[QU Original Budget]]</f>
        <v>38536.380000000005</v>
      </c>
      <c r="Q48" s="11">
        <f>Table132[[#This Row],[Approved Change Orders]]-Table132[[#This Row],[CO Change Order Budget]]</f>
        <v>0</v>
      </c>
      <c r="R48" s="11">
        <v>138963.62</v>
      </c>
      <c r="S48" s="11">
        <f>Table132[[#This Row],[Total Direct Budget]]-Table132[[#This Row],[Estimated Total Direct Costs]]</f>
        <v>138963.62</v>
      </c>
      <c r="T48" s="11">
        <f>+Table132[[#This Row],[Adjusted Contract Price]]-Table132[[#This Row],[Total Direct Budget]]</f>
        <v>-138963.62</v>
      </c>
      <c r="U48" s="11">
        <f>+Table132[[#This Row],[Adjusted Contract Price]]-Table132[[#This Row],[Estimated Total Direct Costs]]</f>
        <v>0</v>
      </c>
      <c r="V48" s="12">
        <f>IF(Table132[[#This Row],[Adjusted Contract Price]]=0,0,+Table132[[#This Row],[Budgeted Gross Profit (Loss)]]/Table132[[#This Row],[Adjusted Contract Price]])</f>
        <v>0</v>
      </c>
      <c r="W48" s="12">
        <f>IF(Table132[[#This Row],[Adjusted Contract Price]]=0,0,+Table132[[#This Row],[Estimated Gross Profit (Loss)]]/Table132[[#This Row],[Adjusted Contract Price]])</f>
        <v>0</v>
      </c>
      <c r="X48" s="12">
        <v>0.78289299999999995</v>
      </c>
      <c r="Y48" s="12">
        <f>Table132[[#This Row],[Current GP %]]-Table132[[#This Row],[Prior Month1 GP]]</f>
        <v>-0.78289299999999995</v>
      </c>
      <c r="Z48" s="12">
        <v>0</v>
      </c>
      <c r="AA48" s="12">
        <f>Table132[[#This Row],[Current GP %]]-Table132[[#This Row],[Prior Month2 GP]]</f>
        <v>0</v>
      </c>
      <c r="AB48" s="12">
        <v>0</v>
      </c>
      <c r="AC48" s="12">
        <f>Table132[[#This Row],[Current GP %]]-Table132[[#This Row],[Prior Month3 GP]]</f>
        <v>0</v>
      </c>
      <c r="AD48" s="11">
        <v>0</v>
      </c>
      <c r="AE48" s="13">
        <f>IF(Table132[[#This Row],[Estimated Total Direct Costs]]=0,0,+Table132[[#This Row],[Direct Cost To Date]]/Table132[[#This Row],[Estimated Total Direct Costs]])</f>
        <v>0</v>
      </c>
      <c r="AF48" s="11">
        <f>+Table132[[#This Row],[Estimated Gross Profit (Loss)]]*Table132[[#This Row],[% Complete]]</f>
        <v>0</v>
      </c>
      <c r="AG48" s="11"/>
      <c r="AH48" s="11">
        <f>+Table132[[#This Row],[Total Gross Profit Recognized To Date]]-Table132[[#This Row],[Gross Profit Recognized Prior Years]]</f>
        <v>0</v>
      </c>
      <c r="AI48" s="11">
        <v>7100</v>
      </c>
      <c r="AJ48" s="11">
        <f>Table132[[#This Row],[Adjusted Contract Price]]-Table132[[#This Row],[Total Amount Billed To Date]]</f>
        <v>-7100</v>
      </c>
      <c r="AK48" s="11">
        <v>0</v>
      </c>
      <c r="AL48" s="12">
        <f>IF(Table132[[#This Row],[Total Amount Billed To Date]]=0,0,+Table132[[#This Row],[Current Retainage Amount]]/Table132[[#This Row],[Total Amount Billed To Date]])</f>
        <v>0</v>
      </c>
      <c r="AM48" s="11">
        <v>0</v>
      </c>
      <c r="AN48" s="11">
        <f>Table132[[#This Row],[Cash Received]]-Table132[[#This Row],[Direct Cost To Date]]</f>
        <v>0</v>
      </c>
      <c r="AO48" s="11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8" s="11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7100</v>
      </c>
      <c r="AQ48" s="11">
        <v>0</v>
      </c>
      <c r="AR48" s="11">
        <v>0</v>
      </c>
      <c r="AS48" s="11">
        <v>7100</v>
      </c>
      <c r="AT48" s="11">
        <v>0</v>
      </c>
      <c r="AU48" s="11">
        <v>0</v>
      </c>
      <c r="AV48" s="11">
        <v>0</v>
      </c>
      <c r="AW48" s="9"/>
    </row>
    <row r="49" spans="6:48" ht="12.75" customHeight="1" x14ac:dyDescent="0.2">
      <c r="F49" s="1"/>
      <c r="G49" s="1"/>
      <c r="J49" s="1"/>
      <c r="K49" s="1"/>
      <c r="L49" s="1"/>
      <c r="R49" s="1"/>
      <c r="AC49" s="1"/>
      <c r="AE49" s="1"/>
      <c r="AG49" s="1"/>
    </row>
    <row r="50" spans="6:48" ht="12.75" customHeight="1" x14ac:dyDescent="0.2">
      <c r="F50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6:48" ht="12.75" customHeight="1" x14ac:dyDescent="0.2">
      <c r="F51" s="1"/>
      <c r="G51" s="1"/>
      <c r="J51" s="1"/>
      <c r="K51" s="1"/>
      <c r="L51" s="1"/>
      <c r="R51" s="1"/>
      <c r="AC51" s="1"/>
      <c r="AE51" s="1"/>
      <c r="AG51" s="1"/>
    </row>
    <row r="52" spans="6:48" ht="12.75" customHeight="1" x14ac:dyDescent="0.2">
      <c r="J52" s="1">
        <f>Table132[[#This Row],[Adjusted Contract Price]]-Table132[[#This Row],[Base Contract]]-Table132[[#This Row],[Approved Change Orders]]</f>
        <v>0</v>
      </c>
      <c r="K52" s="1"/>
      <c r="L52" s="1"/>
      <c r="P52">
        <f>Table132[[#This Row],[Base Contract]]-Table132[[#This Row],[QU Original Budget]]</f>
        <v>0</v>
      </c>
      <c r="Q52">
        <f>Table132[[#This Row],[Approved Change Orders]]-Table132[[#This Row],[CO Change Order Budget]]</f>
        <v>0</v>
      </c>
      <c r="R52" s="1"/>
      <c r="S52">
        <f>Table132[[#This Row],[Total Direct Budget]]-Table132[[#This Row],[Estimated Total Direct Costs]]</f>
        <v>0</v>
      </c>
      <c r="T52">
        <f>+Table132[[#This Row],[Adjusted Contract Price]]-Table132[[#This Row],[Total Direct Budget]]</f>
        <v>0</v>
      </c>
      <c r="U52">
        <f>+Table132[[#This Row],[Adjusted Contract Price]]-Table132[[#This Row],[Estimated Total Direct Costs]]</f>
        <v>0</v>
      </c>
      <c r="V52">
        <f>IF(Table132[[#This Row],[Adjusted Contract Price]]=0,0,+Table132[[#This Row],[Budgeted Gross Profit (Loss)]]/Table132[[#This Row],[Adjusted Contract Price]])</f>
        <v>0</v>
      </c>
      <c r="W52">
        <f>IF(Table132[[#This Row],[Adjusted Contract Price]]=0,0,+Table132[[#This Row],[Estimated Gross Profit (Loss)]]/Table132[[#This Row],[Adjusted Contract Price]])</f>
        <v>0</v>
      </c>
      <c r="Y52">
        <f>Table132[[#This Row],[Current GP %]]-Table132[[#This Row],[Prior Month1 GP]]</f>
        <v>0</v>
      </c>
      <c r="AA52">
        <f>Table132[[#This Row],[Current GP %]]-Table132[[#This Row],[Prior Month2 GP]]</f>
        <v>0</v>
      </c>
      <c r="AC52" s="1">
        <f>Table132[[#This Row],[Current GP %]]-Table132[[#This Row],[Prior Month3 GP]]</f>
        <v>0</v>
      </c>
      <c r="AE52" s="1">
        <f>IF(Table132[[#This Row],[Estimated Total Direct Costs]]=0,0,+Table132[[#This Row],[Direct Cost To Date]]/Table132[[#This Row],[Estimated Total Direct Costs]])</f>
        <v>0</v>
      </c>
      <c r="AF52">
        <f>+Table132[[#This Row],[Estimated Gross Profit (Loss)]]*Table132[[#This Row],[% Complete]]</f>
        <v>0</v>
      </c>
      <c r="AG52" s="1"/>
      <c r="AH52">
        <f>+Table132[[#This Row],[Total Gross Profit Recognized To Date]]-Table132[[#This Row],[Gross Profit Recognized Prior Years]]</f>
        <v>0</v>
      </c>
      <c r="AJ52">
        <f>Table132[[#This Row],[Adjusted Contract Price]]-Table132[[#This Row],[Total Amount Billed To Date]]</f>
        <v>0</v>
      </c>
      <c r="AL52">
        <f>IF(Table132[[#This Row],[Total Amount Billed To Date]]=0,0,+Table132[[#This Row],[Current Retainage Amount]]/Table132[[#This Row],[Total Amount Billed To Date]])</f>
        <v>0</v>
      </c>
      <c r="AN52">
        <f>Table132[[#This Row],[Cash Received]]-Table132[[#This Row],[Direct Cost To Date]]</f>
        <v>0</v>
      </c>
      <c r="AO52">
        <f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52">
        <f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52">
        <f>Table132[[#This Row],[Cash Received]]-Table132[[#This Row],[Direct Cost To Date]]</f>
        <v>0</v>
      </c>
      <c r="AR52">
        <f>Table132[[#This Row],[Cash Received]]-Table132[[#This Row],[Direct Cost To Date]]</f>
        <v>0</v>
      </c>
      <c r="AS52">
        <f>Table132[[#This Row],[Cash Received]]-Table132[[#This Row],[Direct Cost To Date]]</f>
        <v>0</v>
      </c>
      <c r="AT52">
        <f>Table132[[#This Row],[Cash Received]]-Table132[[#This Row],[Direct Cost To Date]]</f>
        <v>0</v>
      </c>
      <c r="AU52">
        <f>Table132[[#This Row],[Cash Received]]-Table132[[#This Row],[Direct Cost To Date]]</f>
        <v>0</v>
      </c>
      <c r="AV52">
        <f>Table132[[#This Row],[Cash Received]]-Table132[[#This Row],[Direct Cost To Date]]</f>
        <v>0</v>
      </c>
    </row>
    <row r="53" spans="6:48" ht="12.75" customHeight="1" x14ac:dyDescent="0.2">
      <c r="J53" s="1"/>
      <c r="K53" s="1"/>
      <c r="L53" s="1"/>
      <c r="R53" s="1"/>
      <c r="AC53" s="1"/>
      <c r="AE53" s="1"/>
      <c r="AG53" s="1"/>
    </row>
    <row r="54" spans="6:48" ht="12.75" customHeight="1" x14ac:dyDescent="0.2">
      <c r="F54" t="s">
        <v>180</v>
      </c>
      <c r="G54" s="18" t="s">
        <v>3</v>
      </c>
      <c r="H54" s="18" t="s">
        <v>27</v>
      </c>
      <c r="J54" s="1"/>
      <c r="K54" s="1"/>
      <c r="L54" s="1"/>
      <c r="R54" s="1"/>
      <c r="AC54" s="1"/>
      <c r="AE54" s="1"/>
      <c r="AG54" s="1"/>
    </row>
    <row r="55" spans="6:48" ht="12.75" customHeight="1" x14ac:dyDescent="0.2">
      <c r="G55" s="17" t="s">
        <v>55</v>
      </c>
      <c r="H55" t="s">
        <v>181</v>
      </c>
      <c r="J55" s="1"/>
      <c r="K55" s="1"/>
      <c r="L55" s="1"/>
      <c r="R55" s="1"/>
      <c r="AC55" s="1"/>
      <c r="AE55" s="1"/>
      <c r="AG55" s="1"/>
    </row>
    <row r="56" spans="6:48" ht="12.75" customHeight="1" x14ac:dyDescent="0.2">
      <c r="G56" t="s">
        <v>116</v>
      </c>
      <c r="H56" t="s">
        <v>181</v>
      </c>
      <c r="J56" s="1"/>
      <c r="K56" s="1"/>
      <c r="L56" s="1"/>
      <c r="R56" s="1"/>
      <c r="AC56" s="1"/>
      <c r="AE56" s="1"/>
      <c r="AG56" s="1"/>
    </row>
    <row r="57" spans="6:48" ht="12.75" customHeight="1" x14ac:dyDescent="0.2">
      <c r="G57" s="1" t="s">
        <v>78</v>
      </c>
      <c r="H57" t="s">
        <v>181</v>
      </c>
      <c r="J57" s="1"/>
      <c r="K57" s="1"/>
      <c r="L57" s="1"/>
      <c r="R57" s="1"/>
      <c r="AC57" s="1"/>
      <c r="AE57" s="1"/>
      <c r="AG57" s="1"/>
    </row>
    <row r="58" spans="6:48" ht="12.75" customHeight="1" x14ac:dyDescent="0.2">
      <c r="G58" s="1" t="s">
        <v>131</v>
      </c>
      <c r="H58" t="s">
        <v>181</v>
      </c>
      <c r="J58" s="1"/>
      <c r="K58" s="1"/>
      <c r="L58" s="1"/>
      <c r="R58" s="1"/>
      <c r="AC58" s="1"/>
      <c r="AE58" s="1"/>
      <c r="AG58" s="1"/>
    </row>
    <row r="59" spans="6:48" ht="12.75" customHeight="1" x14ac:dyDescent="0.2">
      <c r="F59" s="1"/>
      <c r="G59" s="1"/>
      <c r="J59" s="1"/>
      <c r="K59" s="1"/>
      <c r="L59" s="1"/>
      <c r="R59" s="1"/>
      <c r="AC59" s="1"/>
      <c r="AE59" s="1"/>
      <c r="AG59" s="1"/>
    </row>
    <row r="60" spans="6:48" ht="12.75" customHeight="1" x14ac:dyDescent="0.2">
      <c r="F60" s="1"/>
      <c r="G60" s="1"/>
      <c r="J60" s="1"/>
      <c r="K60" s="1"/>
      <c r="L60" s="1"/>
      <c r="R60" s="1"/>
      <c r="AC60" s="1"/>
      <c r="AE60" s="1"/>
      <c r="AG60" s="1"/>
    </row>
    <row r="61" spans="6:48" ht="12.75" customHeight="1" x14ac:dyDescent="0.2">
      <c r="F61" s="1"/>
      <c r="G61" s="1"/>
      <c r="J61" s="1"/>
      <c r="K61" s="1"/>
      <c r="L61" s="1"/>
      <c r="R61" s="1"/>
      <c r="AC61" s="1"/>
      <c r="AE61" s="1"/>
      <c r="AG61" s="1"/>
    </row>
    <row r="62" spans="6:48" ht="12.75" customHeight="1" x14ac:dyDescent="0.2">
      <c r="F62" s="1"/>
      <c r="G62" s="1"/>
      <c r="J62" s="1"/>
      <c r="K62" s="1"/>
      <c r="L62" s="1"/>
      <c r="R62" s="1"/>
      <c r="AC62" s="1"/>
      <c r="AE62" s="1"/>
      <c r="AG62" s="1"/>
    </row>
    <row r="63" spans="6:48" ht="12.75" customHeight="1" x14ac:dyDescent="0.2">
      <c r="F63" s="1"/>
      <c r="G63" s="1"/>
      <c r="J63" s="1"/>
      <c r="K63" s="1"/>
      <c r="L63" s="1"/>
      <c r="R63" s="1"/>
      <c r="AC63" s="1"/>
      <c r="AE63" s="1"/>
      <c r="AG63" s="1"/>
    </row>
    <row r="64" spans="6:48" ht="12.75" customHeight="1" x14ac:dyDescent="0.2">
      <c r="F64" s="1"/>
      <c r="G64" s="1"/>
      <c r="J64" s="1"/>
      <c r="K64" s="1"/>
      <c r="L64" s="1"/>
      <c r="R64" s="1"/>
      <c r="AC64" s="1"/>
      <c r="AE64" s="1"/>
      <c r="AG64" s="1"/>
    </row>
    <row r="65" spans="6:33" ht="12.75" customHeight="1" x14ac:dyDescent="0.2">
      <c r="F65" s="1"/>
      <c r="G65" s="1"/>
      <c r="J65" s="1"/>
      <c r="K65" s="1"/>
      <c r="L65" s="1"/>
      <c r="R65" s="1"/>
      <c r="AC65" s="1"/>
      <c r="AE65" s="1"/>
      <c r="AG65" s="1"/>
    </row>
    <row r="66" spans="6:33" ht="12.75" customHeight="1" x14ac:dyDescent="0.2">
      <c r="F66" s="1"/>
      <c r="G66" s="1"/>
      <c r="J66" s="1"/>
      <c r="K66" s="1"/>
      <c r="L66" s="1"/>
      <c r="R66" s="1"/>
      <c r="AC66" s="1"/>
      <c r="AE66" s="1"/>
      <c r="AG66" s="1"/>
    </row>
    <row r="67" spans="6:33" ht="12.75" customHeight="1" x14ac:dyDescent="0.2">
      <c r="F67" s="1"/>
      <c r="G67" s="1"/>
      <c r="J67" s="1"/>
      <c r="K67" s="1"/>
      <c r="L67" s="1"/>
      <c r="R67" s="1"/>
      <c r="AC67" s="1"/>
      <c r="AE67" s="1"/>
      <c r="AG67" s="1"/>
    </row>
    <row r="68" spans="6:33" ht="12.75" customHeight="1" x14ac:dyDescent="0.2">
      <c r="F68" s="1"/>
      <c r="G68" s="1"/>
      <c r="J68" s="1"/>
      <c r="K68" s="1"/>
      <c r="L68" s="1"/>
      <c r="R68" s="1"/>
      <c r="AC68" s="1"/>
      <c r="AE68" s="1"/>
      <c r="AG68" s="1"/>
    </row>
    <row r="69" spans="6:33" ht="12.75" customHeight="1" x14ac:dyDescent="0.2">
      <c r="F69" s="1"/>
      <c r="G69" s="1"/>
      <c r="J69" s="1"/>
      <c r="K69" s="1"/>
      <c r="L69" s="1"/>
      <c r="R69" s="1"/>
      <c r="AC69" s="1"/>
      <c r="AE69" s="1"/>
      <c r="AG69" s="1"/>
    </row>
    <row r="70" spans="6:33" ht="12.75" customHeight="1" x14ac:dyDescent="0.2">
      <c r="F70" s="1"/>
      <c r="G70" s="1"/>
      <c r="J70" s="1"/>
      <c r="K70" s="1"/>
      <c r="L70" s="1"/>
      <c r="R70" s="1"/>
      <c r="AC70" s="1"/>
      <c r="AE70" s="1"/>
      <c r="AG70" s="1"/>
    </row>
    <row r="71" spans="6:33" ht="12.75" customHeight="1" x14ac:dyDescent="0.2">
      <c r="F71" s="1"/>
      <c r="G71" s="1"/>
      <c r="J71" s="1"/>
      <c r="K71" s="1"/>
      <c r="L71" s="1"/>
      <c r="R71" s="1"/>
      <c r="AC71" s="1"/>
      <c r="AE71" s="1"/>
      <c r="AG71" s="1"/>
    </row>
    <row r="72" spans="6:33" ht="12.75" customHeight="1" x14ac:dyDescent="0.2">
      <c r="F72" s="1"/>
      <c r="G72" s="1"/>
      <c r="J72" s="1"/>
      <c r="K72" s="1"/>
      <c r="L72" s="1"/>
      <c r="R72" s="1"/>
      <c r="AC72" s="1"/>
      <c r="AE72" s="1"/>
      <c r="AG72" s="1"/>
    </row>
    <row r="73" spans="6:33" ht="12.75" customHeight="1" x14ac:dyDescent="0.2">
      <c r="F73" s="1"/>
      <c r="G73" s="1"/>
      <c r="J73" s="1"/>
      <c r="K73" s="1"/>
      <c r="L73" s="1"/>
      <c r="R73" s="1"/>
      <c r="AC73" s="1"/>
      <c r="AE73" s="1"/>
      <c r="AG73" s="1"/>
    </row>
    <row r="74" spans="6:33" ht="12.75" customHeight="1" x14ac:dyDescent="0.2">
      <c r="F74" s="1"/>
      <c r="G74" s="1"/>
      <c r="J74" s="1"/>
      <c r="K74" s="1"/>
      <c r="L74" s="1"/>
      <c r="R74" s="1"/>
      <c r="AC74" s="1"/>
      <c r="AE74" s="1"/>
      <c r="AG74" s="1"/>
    </row>
    <row r="75" spans="6:33" ht="12.75" customHeight="1" x14ac:dyDescent="0.2">
      <c r="F75" s="1"/>
      <c r="G75" s="1"/>
      <c r="J75" s="1"/>
      <c r="K75" s="1"/>
      <c r="L75" s="1"/>
      <c r="R75" s="1"/>
      <c r="AC75" s="1"/>
      <c r="AE75" s="1"/>
      <c r="AG75" s="1"/>
    </row>
    <row r="76" spans="6:33" ht="12.75" customHeight="1" x14ac:dyDescent="0.2">
      <c r="F76" s="1"/>
      <c r="G76" s="1"/>
      <c r="J76" s="1"/>
      <c r="K76" s="1"/>
      <c r="L76" s="1"/>
      <c r="R76" s="1"/>
      <c r="AC76" s="1"/>
      <c r="AE76" s="1"/>
      <c r="AG76" s="1"/>
    </row>
    <row r="77" spans="6:33" ht="12.75" customHeight="1" x14ac:dyDescent="0.2">
      <c r="F77" s="1"/>
      <c r="G77" s="1"/>
      <c r="J77" s="1"/>
      <c r="K77" s="1"/>
      <c r="L77" s="1"/>
      <c r="R77" s="1"/>
      <c r="AC77" s="1"/>
      <c r="AE77" s="1"/>
      <c r="AG77" s="1"/>
    </row>
    <row r="78" spans="6:33" ht="12.75" customHeight="1" x14ac:dyDescent="0.2">
      <c r="F78" s="1"/>
      <c r="G78" s="1"/>
      <c r="J78" s="1"/>
      <c r="K78" s="1"/>
      <c r="L78" s="1"/>
      <c r="R78" s="1"/>
      <c r="AC78" s="1"/>
      <c r="AE78" s="1"/>
      <c r="AG78" s="1"/>
    </row>
    <row r="79" spans="6:33" ht="12.75" customHeight="1" x14ac:dyDescent="0.2">
      <c r="F79" s="1"/>
      <c r="G79" s="1"/>
      <c r="J79" s="1"/>
      <c r="K79" s="1"/>
      <c r="L79" s="1"/>
      <c r="R79" s="1"/>
      <c r="AC79" s="1"/>
      <c r="AE79" s="1"/>
      <c r="AG79" s="1"/>
    </row>
    <row r="80" spans="6:33" ht="12.75" customHeight="1" x14ac:dyDescent="0.2">
      <c r="F80" s="1"/>
      <c r="G80" s="1"/>
      <c r="J80" s="1"/>
      <c r="K80" s="1"/>
      <c r="L80" s="1"/>
      <c r="R80" s="1"/>
      <c r="AC80" s="1"/>
      <c r="AE80" s="1"/>
      <c r="AG80" s="1"/>
    </row>
    <row r="81" spans="6:33" ht="12.75" customHeight="1" x14ac:dyDescent="0.2">
      <c r="F81" s="1"/>
      <c r="G81" s="1"/>
      <c r="J81" s="1"/>
      <c r="K81" s="1"/>
      <c r="L81" s="1"/>
      <c r="R81" s="1"/>
      <c r="AC81" s="1"/>
      <c r="AE81" s="1"/>
      <c r="AG81" s="1"/>
    </row>
    <row r="82" spans="6:33" ht="12.75" customHeight="1" x14ac:dyDescent="0.2">
      <c r="F82" s="1"/>
      <c r="G82" s="1"/>
      <c r="J82" s="1"/>
      <c r="K82" s="1"/>
      <c r="L82" s="1"/>
      <c r="R82" s="1"/>
      <c r="AC82" s="1"/>
      <c r="AE82" s="1"/>
      <c r="AG82" s="1"/>
    </row>
    <row r="83" spans="6:33" ht="12.75" customHeight="1" x14ac:dyDescent="0.2">
      <c r="F83" s="1"/>
      <c r="G83" s="1"/>
      <c r="J83" s="1"/>
      <c r="K83" s="1"/>
      <c r="L83" s="1"/>
      <c r="R83" s="1"/>
      <c r="AC83" s="1"/>
      <c r="AE83" s="1"/>
      <c r="AG83" s="1"/>
    </row>
    <row r="84" spans="6:33" ht="12.75" customHeight="1" x14ac:dyDescent="0.2">
      <c r="F84" s="1"/>
      <c r="G84" s="1"/>
      <c r="J84" s="1"/>
      <c r="K84" s="1"/>
      <c r="L84" s="1"/>
      <c r="R84" s="1"/>
      <c r="AC84" s="1"/>
      <c r="AE84" s="1"/>
      <c r="AG84" s="1"/>
    </row>
    <row r="85" spans="6:33" ht="12.75" customHeight="1" x14ac:dyDescent="0.2">
      <c r="F85" s="1"/>
      <c r="G85" s="1"/>
      <c r="J85" s="1"/>
      <c r="K85" s="1"/>
      <c r="L85" s="1"/>
      <c r="R85" s="1"/>
      <c r="AC85" s="1"/>
      <c r="AE85" s="1"/>
      <c r="AG85" s="1"/>
    </row>
    <row r="86" spans="6:33" ht="12.75" customHeight="1" x14ac:dyDescent="0.2">
      <c r="F86" s="1"/>
      <c r="G86" s="1"/>
      <c r="J86" s="1"/>
      <c r="K86" s="1"/>
      <c r="L86" s="1"/>
      <c r="R86" s="1"/>
      <c r="AC86" s="1"/>
      <c r="AE86" s="1"/>
      <c r="AG86" s="1"/>
    </row>
    <row r="87" spans="6:33" ht="12.75" customHeight="1" x14ac:dyDescent="0.2">
      <c r="F87" s="1"/>
      <c r="G87" s="1"/>
      <c r="J87" s="1"/>
      <c r="K87" s="1"/>
      <c r="L87" s="1"/>
      <c r="R87" s="1"/>
      <c r="AC87" s="1"/>
      <c r="AE87" s="1"/>
      <c r="AG87" s="1"/>
    </row>
    <row r="88" spans="6:33" ht="12.75" customHeight="1" x14ac:dyDescent="0.2">
      <c r="F88" s="1"/>
      <c r="G88" s="1"/>
      <c r="J88" s="1"/>
      <c r="K88" s="1"/>
      <c r="L88" s="1"/>
      <c r="R88" s="1"/>
      <c r="AC88" s="1"/>
      <c r="AE88" s="1"/>
      <c r="AG88" s="1"/>
    </row>
    <row r="89" spans="6:33" ht="12.75" customHeight="1" x14ac:dyDescent="0.2">
      <c r="F89" s="1"/>
      <c r="G89" s="1"/>
      <c r="J89" s="1"/>
      <c r="K89" s="1"/>
      <c r="L89" s="1"/>
      <c r="R89" s="1"/>
      <c r="AC89" s="1"/>
      <c r="AE89" s="1"/>
      <c r="AG89" s="1"/>
    </row>
    <row r="90" spans="6:33" ht="12.75" customHeight="1" x14ac:dyDescent="0.2">
      <c r="F90" s="1"/>
      <c r="G90" s="1"/>
      <c r="J90" s="1"/>
      <c r="K90" s="1"/>
      <c r="L90" s="1"/>
      <c r="R90" s="1"/>
      <c r="AC90" s="1"/>
      <c r="AE90" s="1"/>
      <c r="AG90" s="1"/>
    </row>
    <row r="91" spans="6:33" ht="12.75" customHeight="1" x14ac:dyDescent="0.2">
      <c r="F91" s="1"/>
      <c r="G91" s="1"/>
      <c r="J91" s="1"/>
      <c r="K91" s="1"/>
      <c r="L91" s="1"/>
      <c r="R91" s="1"/>
      <c r="AC91" s="1"/>
      <c r="AE91" s="1"/>
      <c r="AG91" s="1"/>
    </row>
    <row r="92" spans="6:33" ht="12.75" customHeight="1" x14ac:dyDescent="0.2">
      <c r="F92" s="1"/>
      <c r="G92" s="1"/>
      <c r="J92" s="1"/>
      <c r="K92" s="1"/>
      <c r="L92" s="1"/>
      <c r="R92" s="1"/>
      <c r="AC92" s="1"/>
      <c r="AE92" s="1"/>
      <c r="AG92" s="1"/>
    </row>
    <row r="93" spans="6:33" ht="12.75" customHeight="1" x14ac:dyDescent="0.2">
      <c r="F93" s="1"/>
      <c r="G93" s="1"/>
      <c r="J93" s="1"/>
      <c r="K93" s="1"/>
      <c r="L93" s="1"/>
      <c r="R93" s="1"/>
      <c r="AC93" s="1"/>
      <c r="AE93" s="1"/>
      <c r="AG93" s="1"/>
    </row>
    <row r="94" spans="6:33" ht="12.75" customHeight="1" x14ac:dyDescent="0.2">
      <c r="F94" s="1"/>
      <c r="G94" s="1"/>
      <c r="J94" s="1"/>
      <c r="K94" s="1"/>
      <c r="L94" s="1"/>
      <c r="R94" s="1"/>
      <c r="AC94" s="1"/>
      <c r="AE94" s="1"/>
      <c r="AG94" s="1"/>
    </row>
    <row r="95" spans="6:33" ht="12.75" customHeight="1" x14ac:dyDescent="0.2">
      <c r="F95" s="1"/>
      <c r="G95" s="1"/>
      <c r="J95" s="1"/>
      <c r="K95" s="1"/>
      <c r="L95" s="1"/>
      <c r="R95" s="1"/>
      <c r="AC95" s="1"/>
      <c r="AE95" s="1"/>
      <c r="AG95" s="1"/>
    </row>
    <row r="96" spans="6:33" ht="12.75" customHeight="1" x14ac:dyDescent="0.2">
      <c r="F96" s="1"/>
      <c r="G96" s="1"/>
      <c r="J96" s="1"/>
      <c r="K96" s="1"/>
      <c r="L96" s="1"/>
      <c r="R96" s="1"/>
      <c r="AC96" s="1"/>
      <c r="AE96" s="1"/>
      <c r="AG96" s="1"/>
    </row>
    <row r="97" spans="6:33" ht="12.75" customHeight="1" x14ac:dyDescent="0.2">
      <c r="F97" s="1"/>
      <c r="G97" s="1"/>
      <c r="J97" s="1"/>
      <c r="K97" s="1"/>
      <c r="L97" s="1"/>
      <c r="R97" s="1"/>
      <c r="AC97" s="1"/>
      <c r="AE97" s="1"/>
      <c r="AG97" s="1"/>
    </row>
    <row r="98" spans="6:33" ht="12.75" customHeight="1" x14ac:dyDescent="0.2">
      <c r="F98" s="1"/>
      <c r="G98" s="1"/>
      <c r="J98" s="1"/>
      <c r="K98" s="1"/>
      <c r="L98" s="1"/>
      <c r="R98" s="1"/>
      <c r="AC98" s="1"/>
      <c r="AE98" s="1"/>
      <c r="AG98" s="1"/>
    </row>
    <row r="99" spans="6:33" ht="12.75" customHeight="1" x14ac:dyDescent="0.2">
      <c r="F99" s="1"/>
      <c r="G99" s="1"/>
      <c r="J99" s="1"/>
      <c r="K99" s="1"/>
      <c r="L99" s="1"/>
      <c r="R99" s="1"/>
      <c r="AC99" s="1"/>
      <c r="AE99" s="1"/>
      <c r="AG99" s="1"/>
    </row>
    <row r="100" spans="6:33" ht="12.75" customHeight="1" x14ac:dyDescent="0.2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ht="12.75" customHeight="1" x14ac:dyDescent="0.2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ht="12.75" customHeight="1" x14ac:dyDescent="0.2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ht="12.75" customHeight="1" x14ac:dyDescent="0.2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ht="12.75" customHeight="1" x14ac:dyDescent="0.2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ht="12.75" customHeight="1" x14ac:dyDescent="0.2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ht="12.75" customHeight="1" x14ac:dyDescent="0.2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ht="12.75" customHeight="1" x14ac:dyDescent="0.2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ht="12.75" customHeight="1" x14ac:dyDescent="0.2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ht="12.75" customHeight="1" x14ac:dyDescent="0.2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ht="12.75" customHeight="1" x14ac:dyDescent="0.2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ht="12.75" customHeight="1" x14ac:dyDescent="0.2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ht="12.75" customHeight="1" x14ac:dyDescent="0.2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ht="12.75" customHeight="1" x14ac:dyDescent="0.2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ht="12.75" customHeight="1" x14ac:dyDescent="0.2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ht="12.75" customHeight="1" x14ac:dyDescent="0.2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ht="12.75" customHeight="1" x14ac:dyDescent="0.2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ht="12.75" customHeight="1" x14ac:dyDescent="0.2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ht="12.75" customHeight="1" x14ac:dyDescent="0.2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ht="12.75" customHeight="1" x14ac:dyDescent="0.2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ht="12.75" customHeight="1" x14ac:dyDescent="0.2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ht="12.75" customHeight="1" x14ac:dyDescent="0.2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ht="12.75" customHeight="1" x14ac:dyDescent="0.2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ht="12.75" customHeight="1" x14ac:dyDescent="0.2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ht="12.75" customHeight="1" x14ac:dyDescent="0.2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ht="12.75" customHeight="1" x14ac:dyDescent="0.2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ht="12.75" customHeight="1" x14ac:dyDescent="0.2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ht="12.75" customHeight="1" x14ac:dyDescent="0.2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ht="12.75" customHeight="1" x14ac:dyDescent="0.2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ht="12.75" customHeight="1" x14ac:dyDescent="0.2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ht="12.75" customHeight="1" x14ac:dyDescent="0.2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ht="12.75" customHeight="1" x14ac:dyDescent="0.2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ht="12.75" customHeight="1" x14ac:dyDescent="0.2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ht="12.75" customHeight="1" x14ac:dyDescent="0.2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ht="12.75" customHeight="1" x14ac:dyDescent="0.2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ht="12.75" customHeight="1" x14ac:dyDescent="0.2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ht="12.75" customHeight="1" x14ac:dyDescent="0.2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ht="12.75" customHeight="1" x14ac:dyDescent="0.2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ht="12.75" customHeight="1" x14ac:dyDescent="0.2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ht="12.75" customHeight="1" x14ac:dyDescent="0.2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ht="12.75" customHeight="1" x14ac:dyDescent="0.2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ht="12.75" customHeight="1" x14ac:dyDescent="0.2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ht="12.75" customHeight="1" x14ac:dyDescent="0.2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ht="12.75" customHeight="1" x14ac:dyDescent="0.2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ht="12.75" customHeight="1" x14ac:dyDescent="0.2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ht="12.75" customHeight="1" x14ac:dyDescent="0.2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ht="12.75" customHeight="1" x14ac:dyDescent="0.2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ht="12.75" customHeight="1" x14ac:dyDescent="0.2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ht="12.75" customHeight="1" x14ac:dyDescent="0.2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ht="12.75" customHeight="1" x14ac:dyDescent="0.2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ht="12.75" customHeight="1" x14ac:dyDescent="0.2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ht="12.75" customHeight="1" x14ac:dyDescent="0.2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ht="12.75" customHeight="1" x14ac:dyDescent="0.2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ht="12.75" customHeight="1" x14ac:dyDescent="0.2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ht="12.75" customHeight="1" x14ac:dyDescent="0.2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ht="12.75" customHeight="1" x14ac:dyDescent="0.2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ht="12.75" customHeight="1" x14ac:dyDescent="0.2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ht="12.75" customHeight="1" x14ac:dyDescent="0.2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ht="12.75" customHeight="1" x14ac:dyDescent="0.2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ht="12.75" customHeight="1" x14ac:dyDescent="0.2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ht="12.75" customHeight="1" x14ac:dyDescent="0.2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ht="12.75" customHeight="1" x14ac:dyDescent="0.2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ht="12.75" customHeight="1" x14ac:dyDescent="0.2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ht="12.75" customHeight="1" x14ac:dyDescent="0.2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ht="12.75" customHeight="1" x14ac:dyDescent="0.2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ht="12.75" customHeight="1" x14ac:dyDescent="0.2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ht="12.75" customHeight="1" x14ac:dyDescent="0.2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ht="12.75" customHeight="1" x14ac:dyDescent="0.2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ht="12.75" customHeight="1" x14ac:dyDescent="0.2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ht="12.75" customHeight="1" x14ac:dyDescent="0.2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ht="12.75" customHeight="1" x14ac:dyDescent="0.2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ht="12.75" customHeight="1" x14ac:dyDescent="0.2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ht="12.75" customHeight="1" x14ac:dyDescent="0.2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ht="12.75" customHeight="1" x14ac:dyDescent="0.2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ht="12.75" customHeight="1" x14ac:dyDescent="0.2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ht="12.75" customHeight="1" x14ac:dyDescent="0.2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ht="12.75" customHeight="1" x14ac:dyDescent="0.2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ht="12.75" customHeight="1" x14ac:dyDescent="0.2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ht="12.75" customHeight="1" x14ac:dyDescent="0.2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ht="12.75" customHeight="1" x14ac:dyDescent="0.2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ht="12.75" customHeight="1" x14ac:dyDescent="0.2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ht="12.75" customHeight="1" x14ac:dyDescent="0.2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ht="12.75" customHeight="1" x14ac:dyDescent="0.2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ht="12.75" customHeight="1" x14ac:dyDescent="0.2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ht="12.75" customHeight="1" x14ac:dyDescent="0.2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ht="12.75" customHeight="1" x14ac:dyDescent="0.2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ht="12.75" customHeight="1" x14ac:dyDescent="0.2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ht="12.75" customHeight="1" x14ac:dyDescent="0.2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ht="12.75" customHeight="1" x14ac:dyDescent="0.2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ht="12.75" customHeight="1" x14ac:dyDescent="0.2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ht="12.75" customHeight="1" x14ac:dyDescent="0.2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ht="12.75" customHeight="1" x14ac:dyDescent="0.2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ht="12.75" customHeight="1" x14ac:dyDescent="0.2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ht="12.75" customHeight="1" x14ac:dyDescent="0.2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ht="12.75" customHeight="1" x14ac:dyDescent="0.2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ht="12.75" customHeight="1" x14ac:dyDescent="0.2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ht="12.75" customHeight="1" x14ac:dyDescent="0.2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ht="12.75" customHeight="1" x14ac:dyDescent="0.2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ht="12.75" customHeight="1" x14ac:dyDescent="0.2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ht="12.75" customHeight="1" x14ac:dyDescent="0.2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ht="12.75" customHeight="1" x14ac:dyDescent="0.2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ht="12.75" customHeight="1" x14ac:dyDescent="0.2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ht="12.75" customHeight="1" x14ac:dyDescent="0.2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ht="12.75" customHeight="1" x14ac:dyDescent="0.2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ht="12.75" customHeight="1" x14ac:dyDescent="0.2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ht="12.75" customHeight="1" x14ac:dyDescent="0.2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ht="12.75" customHeight="1" x14ac:dyDescent="0.2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ht="12.75" customHeight="1" x14ac:dyDescent="0.2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ht="12.75" customHeight="1" x14ac:dyDescent="0.2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ht="12.75" customHeight="1" x14ac:dyDescent="0.2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ht="12.75" customHeight="1" x14ac:dyDescent="0.2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ht="12.75" customHeight="1" x14ac:dyDescent="0.2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ht="12.75" customHeight="1" x14ac:dyDescent="0.2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ht="12.75" customHeight="1" x14ac:dyDescent="0.2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ht="12.75" customHeight="1" x14ac:dyDescent="0.2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ht="12.75" customHeight="1" x14ac:dyDescent="0.2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ht="12.75" customHeight="1" x14ac:dyDescent="0.2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ht="12.75" customHeight="1" x14ac:dyDescent="0.2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ht="12.75" customHeight="1" x14ac:dyDescent="0.2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ht="12.75" customHeight="1" x14ac:dyDescent="0.2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ht="12.75" customHeight="1" x14ac:dyDescent="0.2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ht="12.75" customHeight="1" x14ac:dyDescent="0.2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ht="12.75" customHeight="1" x14ac:dyDescent="0.2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ht="12.75" customHeight="1" x14ac:dyDescent="0.2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ht="12.75" customHeight="1" x14ac:dyDescent="0.2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ht="12.75" customHeight="1" x14ac:dyDescent="0.2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ht="12.75" customHeight="1" x14ac:dyDescent="0.2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ht="12.75" customHeight="1" x14ac:dyDescent="0.2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ht="12.75" customHeight="1" x14ac:dyDescent="0.2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ht="12.75" customHeight="1" x14ac:dyDescent="0.2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ht="12.75" customHeight="1" x14ac:dyDescent="0.2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ht="12.75" customHeight="1" x14ac:dyDescent="0.2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ht="12.75" customHeight="1" x14ac:dyDescent="0.2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ht="12.75" customHeight="1" x14ac:dyDescent="0.2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ht="12.75" customHeight="1" x14ac:dyDescent="0.2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ht="12.75" customHeight="1" x14ac:dyDescent="0.2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ht="12.75" customHeight="1" x14ac:dyDescent="0.2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ht="12.75" customHeight="1" x14ac:dyDescent="0.2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ht="12.75" customHeight="1" x14ac:dyDescent="0.2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ht="12.75" customHeight="1" x14ac:dyDescent="0.2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ht="12.75" customHeight="1" x14ac:dyDescent="0.2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ht="12.75" customHeight="1" x14ac:dyDescent="0.2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ht="12.75" customHeight="1" x14ac:dyDescent="0.2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ht="12.75" customHeight="1" x14ac:dyDescent="0.2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ht="12.75" customHeight="1" x14ac:dyDescent="0.2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ht="12.75" customHeight="1" x14ac:dyDescent="0.2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ht="12.75" customHeight="1" x14ac:dyDescent="0.2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ht="12.75" customHeight="1" x14ac:dyDescent="0.2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ht="12.75" customHeight="1" x14ac:dyDescent="0.2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ht="12.75" customHeight="1" x14ac:dyDescent="0.2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ht="12.75" customHeight="1" x14ac:dyDescent="0.2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ht="12.75" customHeight="1" x14ac:dyDescent="0.2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ht="12.75" customHeight="1" x14ac:dyDescent="0.2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ht="12.75" customHeight="1" x14ac:dyDescent="0.2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ht="12.75" customHeight="1" x14ac:dyDescent="0.2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ht="12.75" customHeight="1" x14ac:dyDescent="0.2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ht="12.75" customHeight="1" x14ac:dyDescent="0.2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ht="12.75" customHeight="1" x14ac:dyDescent="0.2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ht="12.75" customHeight="1" x14ac:dyDescent="0.2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ht="12.75" customHeight="1" x14ac:dyDescent="0.2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ht="12.75" customHeight="1" x14ac:dyDescent="0.2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ht="12.75" customHeight="1" x14ac:dyDescent="0.2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ht="12.75" customHeight="1" x14ac:dyDescent="0.2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ht="12.75" customHeight="1" x14ac:dyDescent="0.2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ht="12.75" customHeight="1" x14ac:dyDescent="0.2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ht="12.75" customHeight="1" x14ac:dyDescent="0.2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ht="12.75" customHeight="1" x14ac:dyDescent="0.2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ht="12.75" customHeight="1" x14ac:dyDescent="0.2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ht="12.75" customHeight="1" x14ac:dyDescent="0.2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ht="12.75" customHeight="1" x14ac:dyDescent="0.2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ht="12.75" customHeight="1" x14ac:dyDescent="0.2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ht="12.75" customHeight="1" x14ac:dyDescent="0.2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ht="12.75" customHeight="1" x14ac:dyDescent="0.2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ht="12.75" customHeight="1" x14ac:dyDescent="0.2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ht="12.75" customHeight="1" x14ac:dyDescent="0.2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ht="12.75" customHeight="1" x14ac:dyDescent="0.2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ht="12.75" customHeight="1" x14ac:dyDescent="0.2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ht="12.75" customHeight="1" x14ac:dyDescent="0.2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ht="12.75" customHeight="1" x14ac:dyDescent="0.2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ht="12.75" customHeight="1" x14ac:dyDescent="0.2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ht="12.75" customHeight="1" x14ac:dyDescent="0.2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ht="12.75" customHeight="1" x14ac:dyDescent="0.2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ht="12.75" customHeight="1" x14ac:dyDescent="0.2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ht="12.75" customHeight="1" x14ac:dyDescent="0.2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ht="12.75" customHeight="1" x14ac:dyDescent="0.2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ht="12.75" customHeight="1" x14ac:dyDescent="0.2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ht="12.75" customHeight="1" x14ac:dyDescent="0.2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ht="12.75" customHeight="1" x14ac:dyDescent="0.2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ht="12.75" customHeight="1" x14ac:dyDescent="0.2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ht="12.75" customHeight="1" x14ac:dyDescent="0.2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ht="12.75" customHeight="1" x14ac:dyDescent="0.2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ht="12.75" customHeight="1" x14ac:dyDescent="0.2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ht="12.75" customHeight="1" x14ac:dyDescent="0.2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ht="12.75" customHeight="1" x14ac:dyDescent="0.2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ht="12.75" customHeight="1" x14ac:dyDescent="0.2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ht="12.75" customHeight="1" x14ac:dyDescent="0.2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ht="12.75" customHeight="1" x14ac:dyDescent="0.2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ht="12.75" customHeight="1" x14ac:dyDescent="0.2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ht="12.75" customHeight="1" x14ac:dyDescent="0.2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ht="12.75" customHeight="1" x14ac:dyDescent="0.2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ht="12.75" customHeight="1" x14ac:dyDescent="0.2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ht="12.75" customHeight="1" x14ac:dyDescent="0.2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ht="12.75" customHeight="1" x14ac:dyDescent="0.2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ht="12.75" customHeight="1" x14ac:dyDescent="0.2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ht="12.75" customHeight="1" x14ac:dyDescent="0.2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ht="12.75" customHeight="1" x14ac:dyDescent="0.2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ht="12.75" customHeight="1" x14ac:dyDescent="0.2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ht="12.75" customHeight="1" x14ac:dyDescent="0.2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ht="12.75" customHeight="1" x14ac:dyDescent="0.2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ht="12.75" customHeight="1" x14ac:dyDescent="0.2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ht="12.75" customHeight="1" x14ac:dyDescent="0.2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ht="12.75" customHeight="1" x14ac:dyDescent="0.2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ht="12.75" customHeight="1" x14ac:dyDescent="0.2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ht="12.75" customHeight="1" x14ac:dyDescent="0.2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ht="12.75" customHeight="1" x14ac:dyDescent="0.2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ht="12.75" customHeight="1" x14ac:dyDescent="0.2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ht="12.75" customHeight="1" x14ac:dyDescent="0.2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ht="12.75" customHeight="1" x14ac:dyDescent="0.2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ht="12.75" customHeight="1" x14ac:dyDescent="0.2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ht="12.75" customHeight="1" x14ac:dyDescent="0.2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ht="12.75" customHeight="1" x14ac:dyDescent="0.2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ht="12.75" customHeight="1" x14ac:dyDescent="0.2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ht="12.75" customHeight="1" x14ac:dyDescent="0.2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ht="12.75" customHeight="1" x14ac:dyDescent="0.2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ht="12.75" customHeight="1" x14ac:dyDescent="0.2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ht="12.75" customHeight="1" x14ac:dyDescent="0.2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ht="12.75" customHeight="1" x14ac:dyDescent="0.2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ht="12.75" customHeight="1" x14ac:dyDescent="0.2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ht="12.75" customHeight="1" x14ac:dyDescent="0.2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ht="12.75" customHeight="1" x14ac:dyDescent="0.2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ht="12.75" customHeight="1" x14ac:dyDescent="0.2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ht="12.75" customHeight="1" x14ac:dyDescent="0.2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ht="12.75" customHeight="1" x14ac:dyDescent="0.2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ht="12.75" customHeight="1" x14ac:dyDescent="0.2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ht="12.75" customHeight="1" x14ac:dyDescent="0.2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ht="12.75" customHeight="1" x14ac:dyDescent="0.2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ht="12.75" customHeight="1" x14ac:dyDescent="0.2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ht="12.75" customHeight="1" x14ac:dyDescent="0.2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ht="12.75" customHeight="1" x14ac:dyDescent="0.2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ht="12.75" customHeight="1" x14ac:dyDescent="0.2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ht="12.75" customHeight="1" x14ac:dyDescent="0.2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ht="12.75" customHeight="1" x14ac:dyDescent="0.2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ht="12.75" customHeight="1" x14ac:dyDescent="0.2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ht="12.75" customHeight="1" x14ac:dyDescent="0.2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ht="12.75" customHeight="1" x14ac:dyDescent="0.2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ht="12.75" customHeight="1" x14ac:dyDescent="0.2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ht="12.75" customHeight="1" x14ac:dyDescent="0.2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ht="12.75" customHeight="1" x14ac:dyDescent="0.2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ht="12.75" customHeight="1" x14ac:dyDescent="0.2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ht="12.75" customHeight="1" x14ac:dyDescent="0.2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ht="12.75" customHeight="1" x14ac:dyDescent="0.2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ht="12.75" customHeight="1" x14ac:dyDescent="0.2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ht="12.75" customHeight="1" x14ac:dyDescent="0.2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ht="12.75" customHeight="1" x14ac:dyDescent="0.2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ht="12.75" customHeight="1" x14ac:dyDescent="0.2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ht="12.75" customHeight="1" x14ac:dyDescent="0.2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ht="12.75" customHeight="1" x14ac:dyDescent="0.2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ht="12.75" customHeight="1" x14ac:dyDescent="0.2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ht="12.75" customHeight="1" x14ac:dyDescent="0.2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ht="12.75" customHeight="1" x14ac:dyDescent="0.2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ht="12.75" customHeight="1" x14ac:dyDescent="0.2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ht="12.75" customHeight="1" x14ac:dyDescent="0.2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ht="12.75" customHeight="1" x14ac:dyDescent="0.2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ht="12.75" customHeight="1" x14ac:dyDescent="0.2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ht="12.75" customHeight="1" x14ac:dyDescent="0.2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ht="12.75" customHeight="1" x14ac:dyDescent="0.2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ht="12.75" customHeight="1" x14ac:dyDescent="0.2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ht="12.75" customHeight="1" x14ac:dyDescent="0.2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ht="12.75" customHeight="1" x14ac:dyDescent="0.2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ht="12.75" customHeight="1" x14ac:dyDescent="0.2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ht="12.75" customHeight="1" x14ac:dyDescent="0.2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ht="12.75" customHeight="1" x14ac:dyDescent="0.2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ht="12.75" customHeight="1" x14ac:dyDescent="0.2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ht="12.75" customHeight="1" x14ac:dyDescent="0.2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ht="12.75" customHeight="1" x14ac:dyDescent="0.2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ht="12.75" customHeight="1" x14ac:dyDescent="0.2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ht="12.75" customHeight="1" x14ac:dyDescent="0.2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ht="12.75" customHeight="1" x14ac:dyDescent="0.2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ht="12.75" customHeight="1" x14ac:dyDescent="0.2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ht="12.75" customHeight="1" x14ac:dyDescent="0.2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ht="12.75" customHeight="1" x14ac:dyDescent="0.2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ht="12.75" customHeight="1" x14ac:dyDescent="0.2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ht="12.75" customHeight="1" x14ac:dyDescent="0.2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ht="12.75" customHeight="1" x14ac:dyDescent="0.2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ht="12.75" customHeight="1" x14ac:dyDescent="0.2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ht="12.75" customHeight="1" x14ac:dyDescent="0.2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ht="12.75" customHeight="1" x14ac:dyDescent="0.2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ht="12.75" customHeight="1" x14ac:dyDescent="0.2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ht="12.75" customHeight="1" x14ac:dyDescent="0.2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ht="12.75" customHeight="1" x14ac:dyDescent="0.2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ht="12.75" customHeight="1" x14ac:dyDescent="0.2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ht="12.75" customHeight="1" x14ac:dyDescent="0.2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ht="12.75" customHeight="1" x14ac:dyDescent="0.2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ht="12.75" customHeight="1" x14ac:dyDescent="0.2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ht="12.75" customHeight="1" x14ac:dyDescent="0.2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ht="12.75" customHeight="1" x14ac:dyDescent="0.2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ht="12.75" customHeight="1" x14ac:dyDescent="0.2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ht="12.75" customHeight="1" x14ac:dyDescent="0.2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ht="12.75" customHeight="1" x14ac:dyDescent="0.2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ht="12.75" customHeight="1" x14ac:dyDescent="0.2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ht="12.75" customHeight="1" x14ac:dyDescent="0.2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ht="12.75" customHeight="1" x14ac:dyDescent="0.2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ht="12.75" customHeight="1" x14ac:dyDescent="0.2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ht="12.75" customHeight="1" x14ac:dyDescent="0.2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ht="12.75" customHeight="1" x14ac:dyDescent="0.2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ht="12.75" customHeight="1" x14ac:dyDescent="0.2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ht="12.75" customHeight="1" x14ac:dyDescent="0.2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ht="12.75" customHeight="1" x14ac:dyDescent="0.2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ht="12.75" customHeight="1" x14ac:dyDescent="0.2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ht="12.75" customHeight="1" x14ac:dyDescent="0.2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ht="12.75" customHeight="1" x14ac:dyDescent="0.2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ht="12.75" customHeight="1" x14ac:dyDescent="0.2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ht="12.75" customHeight="1" x14ac:dyDescent="0.2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ht="12.75" customHeight="1" x14ac:dyDescent="0.2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ht="12.75" customHeight="1" x14ac:dyDescent="0.2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ht="12.75" customHeight="1" x14ac:dyDescent="0.2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ht="12.75" customHeight="1" x14ac:dyDescent="0.2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ht="12.75" customHeight="1" x14ac:dyDescent="0.2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ht="12.75" customHeight="1" x14ac:dyDescent="0.2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ht="12.75" customHeight="1" x14ac:dyDescent="0.2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ht="12.75" customHeight="1" x14ac:dyDescent="0.2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ht="12.75" customHeight="1" x14ac:dyDescent="0.2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ht="12.75" customHeight="1" x14ac:dyDescent="0.2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ht="12.75" customHeight="1" x14ac:dyDescent="0.2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ht="12.75" customHeight="1" x14ac:dyDescent="0.2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ht="12.75" customHeight="1" x14ac:dyDescent="0.2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ht="12.75" customHeight="1" x14ac:dyDescent="0.2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ht="12.75" customHeight="1" x14ac:dyDescent="0.2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ht="12.75" customHeight="1" x14ac:dyDescent="0.2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ht="12.75" customHeight="1" x14ac:dyDescent="0.2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ht="12.75" customHeight="1" x14ac:dyDescent="0.2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ht="12.75" customHeight="1" x14ac:dyDescent="0.2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ht="12.75" customHeight="1" x14ac:dyDescent="0.2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ht="12.75" customHeight="1" x14ac:dyDescent="0.2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ht="12.75" customHeight="1" x14ac:dyDescent="0.2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ht="12.75" customHeight="1" x14ac:dyDescent="0.2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ht="12.75" customHeight="1" x14ac:dyDescent="0.2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ht="12.75" customHeight="1" x14ac:dyDescent="0.2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ht="12.75" customHeight="1" x14ac:dyDescent="0.2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ht="12.75" customHeight="1" x14ac:dyDescent="0.2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ht="12.75" customHeight="1" x14ac:dyDescent="0.2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ht="12.75" customHeight="1" x14ac:dyDescent="0.2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ht="12.75" customHeight="1" x14ac:dyDescent="0.2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ht="12.75" customHeight="1" x14ac:dyDescent="0.2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ht="12.75" customHeight="1" x14ac:dyDescent="0.2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ht="12.75" customHeight="1" x14ac:dyDescent="0.2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ht="12.75" customHeight="1" x14ac:dyDescent="0.2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ht="12.75" customHeight="1" x14ac:dyDescent="0.2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ht="12.75" customHeight="1" x14ac:dyDescent="0.2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ht="12.75" customHeight="1" x14ac:dyDescent="0.2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ht="12.75" customHeight="1" x14ac:dyDescent="0.2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ht="12.75" customHeight="1" x14ac:dyDescent="0.2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ht="12.75" customHeight="1" x14ac:dyDescent="0.2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ht="12.75" customHeight="1" x14ac:dyDescent="0.2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ht="12.75" customHeight="1" x14ac:dyDescent="0.2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ht="12.75" customHeight="1" x14ac:dyDescent="0.2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ht="12.75" customHeight="1" x14ac:dyDescent="0.2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ht="12.75" customHeight="1" x14ac:dyDescent="0.2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ht="12.75" customHeight="1" x14ac:dyDescent="0.2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ht="12.75" customHeight="1" x14ac:dyDescent="0.2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ht="12.75" customHeight="1" x14ac:dyDescent="0.2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ht="12.75" customHeight="1" x14ac:dyDescent="0.2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ht="12.75" customHeight="1" x14ac:dyDescent="0.2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ht="12.75" customHeight="1" x14ac:dyDescent="0.2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ht="12.75" customHeight="1" x14ac:dyDescent="0.2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ht="12.75" customHeight="1" x14ac:dyDescent="0.2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ht="12.75" customHeight="1" x14ac:dyDescent="0.2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ht="12.75" customHeight="1" x14ac:dyDescent="0.2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ht="12.75" customHeight="1" x14ac:dyDescent="0.2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ht="12.75" customHeight="1" x14ac:dyDescent="0.2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ht="12.75" customHeight="1" x14ac:dyDescent="0.2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ht="12.75" customHeight="1" x14ac:dyDescent="0.2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ht="12.75" customHeight="1" x14ac:dyDescent="0.2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ht="12.75" customHeight="1" x14ac:dyDescent="0.2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ht="12.75" customHeight="1" x14ac:dyDescent="0.2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ht="12.75" customHeight="1" x14ac:dyDescent="0.2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ht="12.75" customHeight="1" x14ac:dyDescent="0.2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ht="12.75" customHeight="1" x14ac:dyDescent="0.2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ht="12.75" customHeight="1" x14ac:dyDescent="0.2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ht="12.75" customHeight="1" x14ac:dyDescent="0.2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ht="12.75" customHeight="1" x14ac:dyDescent="0.2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ht="12.75" customHeight="1" x14ac:dyDescent="0.2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ht="12.75" customHeight="1" x14ac:dyDescent="0.2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ht="12.75" customHeight="1" x14ac:dyDescent="0.2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ht="12.75" customHeight="1" x14ac:dyDescent="0.2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ht="12.75" customHeight="1" x14ac:dyDescent="0.2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ht="12.75" customHeight="1" x14ac:dyDescent="0.2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ht="12.75" customHeight="1" x14ac:dyDescent="0.2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ht="12.75" customHeight="1" x14ac:dyDescent="0.2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ht="12.75" customHeight="1" x14ac:dyDescent="0.2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ht="12.75" customHeight="1" x14ac:dyDescent="0.2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ht="12.75" customHeight="1" x14ac:dyDescent="0.2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ht="12.75" customHeight="1" x14ac:dyDescent="0.2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ht="12.75" customHeight="1" x14ac:dyDescent="0.2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ht="12.75" customHeight="1" x14ac:dyDescent="0.2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ht="12.75" customHeight="1" x14ac:dyDescent="0.2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ht="12.75" customHeight="1" x14ac:dyDescent="0.2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ht="12.75" customHeight="1" x14ac:dyDescent="0.2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ht="12.75" customHeight="1" x14ac:dyDescent="0.2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ht="12.75" customHeight="1" x14ac:dyDescent="0.2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ht="12.75" customHeight="1" x14ac:dyDescent="0.2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ht="12.75" customHeight="1" x14ac:dyDescent="0.2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ht="12.75" customHeight="1" x14ac:dyDescent="0.2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ht="12.75" customHeight="1" x14ac:dyDescent="0.2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ht="12.75" customHeight="1" x14ac:dyDescent="0.2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ht="12.75" customHeight="1" x14ac:dyDescent="0.2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ht="12.75" customHeight="1" x14ac:dyDescent="0.2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ht="12.75" customHeight="1" x14ac:dyDescent="0.2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ht="12.75" customHeight="1" x14ac:dyDescent="0.2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ht="12.75" customHeight="1" x14ac:dyDescent="0.2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ht="12.75" customHeight="1" x14ac:dyDescent="0.2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ht="12.75" customHeight="1" x14ac:dyDescent="0.2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ht="12.75" customHeight="1" x14ac:dyDescent="0.2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ht="12.75" customHeight="1" x14ac:dyDescent="0.2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ht="12.75" customHeight="1" x14ac:dyDescent="0.2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ht="12.75" customHeight="1" x14ac:dyDescent="0.2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ht="12.75" customHeight="1" x14ac:dyDescent="0.2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ht="12.75" customHeight="1" x14ac:dyDescent="0.2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ht="12.75" customHeight="1" x14ac:dyDescent="0.2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ht="12.75" customHeight="1" x14ac:dyDescent="0.2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ht="12.75" customHeight="1" x14ac:dyDescent="0.2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ht="12.75" customHeight="1" x14ac:dyDescent="0.2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ht="12.75" customHeight="1" x14ac:dyDescent="0.2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ht="12.75" customHeight="1" x14ac:dyDescent="0.2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ht="12.75" customHeight="1" x14ac:dyDescent="0.2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ht="12.75" customHeight="1" x14ac:dyDescent="0.2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ht="12.75" customHeight="1" x14ac:dyDescent="0.2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ht="12.75" customHeight="1" x14ac:dyDescent="0.2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ht="12.75" customHeight="1" x14ac:dyDescent="0.2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ht="12.75" customHeight="1" x14ac:dyDescent="0.2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ht="12.75" customHeight="1" x14ac:dyDescent="0.2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ht="12.75" customHeight="1" x14ac:dyDescent="0.2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ht="12.75" customHeight="1" x14ac:dyDescent="0.2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ht="12.75" customHeight="1" x14ac:dyDescent="0.2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ht="12.75" customHeight="1" x14ac:dyDescent="0.2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ht="12.75" customHeight="1" x14ac:dyDescent="0.2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ht="12.75" customHeight="1" x14ac:dyDescent="0.2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ht="12.75" customHeight="1" x14ac:dyDescent="0.2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ht="12.75" customHeight="1" x14ac:dyDescent="0.2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ht="12.75" customHeight="1" x14ac:dyDescent="0.2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ht="12.75" customHeight="1" x14ac:dyDescent="0.2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ht="12.75" customHeight="1" x14ac:dyDescent="0.2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ht="12.75" customHeight="1" x14ac:dyDescent="0.2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ht="12.75" customHeight="1" x14ac:dyDescent="0.2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ht="12.75" customHeight="1" x14ac:dyDescent="0.2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ht="12.75" customHeight="1" x14ac:dyDescent="0.2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ht="12.75" customHeight="1" x14ac:dyDescent="0.2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ht="12.75" customHeight="1" x14ac:dyDescent="0.2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ht="12.75" customHeight="1" x14ac:dyDescent="0.2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ht="12.75" customHeight="1" x14ac:dyDescent="0.2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ht="12.75" customHeight="1" x14ac:dyDescent="0.2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ht="12.75" customHeight="1" x14ac:dyDescent="0.2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ht="12.75" customHeight="1" x14ac:dyDescent="0.2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ht="12.75" customHeight="1" x14ac:dyDescent="0.2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ht="12.75" customHeight="1" x14ac:dyDescent="0.2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ht="12.75" customHeight="1" x14ac:dyDescent="0.2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ht="12.75" customHeight="1" x14ac:dyDescent="0.2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ht="12.75" customHeight="1" x14ac:dyDescent="0.2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ht="12.75" customHeight="1" x14ac:dyDescent="0.2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ht="12.75" customHeight="1" x14ac:dyDescent="0.2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ht="12.75" customHeight="1" x14ac:dyDescent="0.2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ht="12.75" customHeight="1" x14ac:dyDescent="0.2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ht="12.75" customHeight="1" x14ac:dyDescent="0.2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ht="12.75" customHeight="1" x14ac:dyDescent="0.2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ht="12.75" customHeight="1" x14ac:dyDescent="0.2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ht="12.75" customHeight="1" x14ac:dyDescent="0.2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ht="12.75" customHeight="1" x14ac:dyDescent="0.2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ht="12.75" customHeight="1" x14ac:dyDescent="0.2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ht="12.75" customHeight="1" x14ac:dyDescent="0.2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ht="12.75" customHeight="1" x14ac:dyDescent="0.2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ht="12.75" customHeight="1" x14ac:dyDescent="0.2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ht="12.75" customHeight="1" x14ac:dyDescent="0.2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ht="12.75" customHeight="1" x14ac:dyDescent="0.2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ht="12.75" customHeight="1" x14ac:dyDescent="0.2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ht="12.75" customHeight="1" x14ac:dyDescent="0.2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ht="12.75" customHeight="1" x14ac:dyDescent="0.2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ht="12.75" customHeight="1" x14ac:dyDescent="0.2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ht="12.75" customHeight="1" x14ac:dyDescent="0.2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ht="12.75" customHeight="1" x14ac:dyDescent="0.2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ht="12.75" customHeight="1" x14ac:dyDescent="0.2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ht="12.75" customHeight="1" x14ac:dyDescent="0.2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ht="12.75" customHeight="1" x14ac:dyDescent="0.2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ht="12.75" customHeight="1" x14ac:dyDescent="0.2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ht="12.75" customHeight="1" x14ac:dyDescent="0.2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ht="12.75" customHeight="1" x14ac:dyDescent="0.2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ht="12.75" customHeight="1" x14ac:dyDescent="0.2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ht="12.75" customHeight="1" x14ac:dyDescent="0.2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ht="12.75" customHeight="1" x14ac:dyDescent="0.2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ht="12.75" customHeight="1" x14ac:dyDescent="0.2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ht="12.75" customHeight="1" x14ac:dyDescent="0.2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ht="12.75" customHeight="1" x14ac:dyDescent="0.2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ht="12.75" customHeight="1" x14ac:dyDescent="0.2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ht="12.75" customHeight="1" x14ac:dyDescent="0.2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ht="12.75" customHeight="1" x14ac:dyDescent="0.2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ht="12.75" customHeight="1" x14ac:dyDescent="0.2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ht="12.75" customHeight="1" x14ac:dyDescent="0.2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ht="12.75" customHeight="1" x14ac:dyDescent="0.2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ht="12.75" customHeight="1" x14ac:dyDescent="0.2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ht="12.75" customHeight="1" x14ac:dyDescent="0.2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ht="12.75" customHeight="1" x14ac:dyDescent="0.2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ht="12.75" customHeight="1" x14ac:dyDescent="0.2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ht="12.75" customHeight="1" x14ac:dyDescent="0.2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ht="12.75" customHeight="1" x14ac:dyDescent="0.2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ht="12.75" customHeight="1" x14ac:dyDescent="0.2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ht="12.75" customHeight="1" x14ac:dyDescent="0.2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ht="12.75" customHeight="1" x14ac:dyDescent="0.2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ht="12.75" customHeight="1" x14ac:dyDescent="0.2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ht="12.75" customHeight="1" x14ac:dyDescent="0.2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ht="12.75" customHeight="1" x14ac:dyDescent="0.2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ht="12.75" customHeight="1" x14ac:dyDescent="0.2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ht="12.75" customHeight="1" x14ac:dyDescent="0.2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ht="12.75" customHeight="1" x14ac:dyDescent="0.2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ht="12.75" customHeight="1" x14ac:dyDescent="0.2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ht="12.75" customHeight="1" x14ac:dyDescent="0.2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ht="12.75" customHeight="1" x14ac:dyDescent="0.2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ht="12.75" customHeight="1" x14ac:dyDescent="0.2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ht="12.75" customHeight="1" x14ac:dyDescent="0.2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ht="12.75" customHeight="1" x14ac:dyDescent="0.2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ht="12.75" customHeight="1" x14ac:dyDescent="0.2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ht="12.75" customHeight="1" x14ac:dyDescent="0.2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ht="12.75" customHeight="1" x14ac:dyDescent="0.2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ht="12.75" customHeight="1" x14ac:dyDescent="0.2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ht="12.75" customHeight="1" x14ac:dyDescent="0.2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ht="12.75" customHeight="1" x14ac:dyDescent="0.2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ht="12.75" customHeight="1" x14ac:dyDescent="0.2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ht="12.75" customHeight="1" x14ac:dyDescent="0.2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ht="12.75" customHeight="1" x14ac:dyDescent="0.2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ht="12.75" customHeight="1" x14ac:dyDescent="0.2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ht="12.75" customHeight="1" x14ac:dyDescent="0.2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ht="12.75" customHeight="1" x14ac:dyDescent="0.2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ht="12.75" customHeight="1" x14ac:dyDescent="0.2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ht="12.75" customHeight="1" x14ac:dyDescent="0.2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ht="12.75" customHeight="1" x14ac:dyDescent="0.2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ht="12.75" customHeight="1" x14ac:dyDescent="0.2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ht="12.75" customHeight="1" x14ac:dyDescent="0.2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ht="12.75" customHeight="1" x14ac:dyDescent="0.2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ht="12.75" customHeight="1" x14ac:dyDescent="0.2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ht="12.75" customHeight="1" x14ac:dyDescent="0.2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ht="12.75" customHeight="1" x14ac:dyDescent="0.2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ht="12.75" customHeight="1" x14ac:dyDescent="0.2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ht="12.75" customHeight="1" x14ac:dyDescent="0.2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ht="12.75" customHeight="1" x14ac:dyDescent="0.2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ht="12.75" customHeight="1" x14ac:dyDescent="0.2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ht="12.75" customHeight="1" x14ac:dyDescent="0.2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ht="12.75" customHeight="1" x14ac:dyDescent="0.2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ht="12.75" customHeight="1" x14ac:dyDescent="0.2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ht="12.75" customHeight="1" x14ac:dyDescent="0.2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ht="12.75" customHeight="1" x14ac:dyDescent="0.2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ht="12.75" customHeight="1" x14ac:dyDescent="0.2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ht="12.75" customHeight="1" x14ac:dyDescent="0.2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ht="12.75" customHeight="1" x14ac:dyDescent="0.2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ht="12.75" customHeight="1" x14ac:dyDescent="0.2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ht="12.75" customHeight="1" x14ac:dyDescent="0.2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ht="12.75" customHeight="1" x14ac:dyDescent="0.2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ht="12.75" customHeight="1" x14ac:dyDescent="0.2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ht="12.75" customHeight="1" x14ac:dyDescent="0.2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ht="12.75" customHeight="1" x14ac:dyDescent="0.2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ht="12.75" customHeight="1" x14ac:dyDescent="0.2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ht="12.75" customHeight="1" x14ac:dyDescent="0.2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ht="12.75" customHeight="1" x14ac:dyDescent="0.2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ht="12.75" customHeight="1" x14ac:dyDescent="0.2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ht="12.75" customHeight="1" x14ac:dyDescent="0.2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ht="12.75" customHeight="1" x14ac:dyDescent="0.2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ht="12.75" customHeight="1" x14ac:dyDescent="0.2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ht="12.75" customHeight="1" x14ac:dyDescent="0.2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ht="12.75" customHeight="1" x14ac:dyDescent="0.2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ht="12.75" customHeight="1" x14ac:dyDescent="0.2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ht="12.75" customHeight="1" x14ac:dyDescent="0.2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ht="12.75" customHeight="1" x14ac:dyDescent="0.2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ht="12.75" customHeight="1" x14ac:dyDescent="0.2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ht="12.75" customHeight="1" x14ac:dyDescent="0.2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ht="12.75" customHeight="1" x14ac:dyDescent="0.2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ht="12.75" customHeight="1" x14ac:dyDescent="0.2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ht="12.75" customHeight="1" x14ac:dyDescent="0.2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ht="12.75" customHeight="1" x14ac:dyDescent="0.2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ht="12.75" customHeight="1" x14ac:dyDescent="0.2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ht="12.75" customHeight="1" x14ac:dyDescent="0.2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ht="12.75" customHeight="1" x14ac:dyDescent="0.2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ht="12.75" customHeight="1" x14ac:dyDescent="0.2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ht="12.75" customHeight="1" x14ac:dyDescent="0.2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ht="12.75" customHeight="1" x14ac:dyDescent="0.2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ht="12.75" customHeight="1" x14ac:dyDescent="0.2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ht="12.75" customHeight="1" x14ac:dyDescent="0.2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ht="12.75" customHeight="1" x14ac:dyDescent="0.2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ht="12.75" customHeight="1" x14ac:dyDescent="0.2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ht="12.75" customHeight="1" x14ac:dyDescent="0.2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ht="12.75" customHeight="1" x14ac:dyDescent="0.2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ht="12.75" customHeight="1" x14ac:dyDescent="0.2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ht="12.75" customHeight="1" x14ac:dyDescent="0.2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ht="12.75" customHeight="1" x14ac:dyDescent="0.2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ht="12.75" customHeight="1" x14ac:dyDescent="0.2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ht="12.75" customHeight="1" x14ac:dyDescent="0.2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ht="12.75" customHeight="1" x14ac:dyDescent="0.2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ht="12.75" customHeight="1" x14ac:dyDescent="0.2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ht="12.75" customHeight="1" x14ac:dyDescent="0.2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ht="12.75" customHeight="1" x14ac:dyDescent="0.2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ht="12.75" customHeight="1" x14ac:dyDescent="0.2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ht="12.75" customHeight="1" x14ac:dyDescent="0.2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ht="12.75" customHeight="1" x14ac:dyDescent="0.2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ht="12.75" customHeight="1" x14ac:dyDescent="0.2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ht="12.75" customHeight="1" x14ac:dyDescent="0.2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ht="12.75" customHeight="1" x14ac:dyDescent="0.2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ht="12.75" customHeight="1" x14ac:dyDescent="0.2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ht="12.75" customHeight="1" x14ac:dyDescent="0.2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ht="12.75" customHeight="1" x14ac:dyDescent="0.2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ht="12.75" customHeight="1" x14ac:dyDescent="0.2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ht="12.75" customHeight="1" x14ac:dyDescent="0.2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ht="12.75" customHeight="1" x14ac:dyDescent="0.2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ht="12.75" customHeight="1" x14ac:dyDescent="0.2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ht="12.75" customHeight="1" x14ac:dyDescent="0.2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ht="12.75" customHeight="1" x14ac:dyDescent="0.2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ht="12.75" customHeight="1" x14ac:dyDescent="0.2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ht="12.75" customHeight="1" x14ac:dyDescent="0.2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ht="12.75" customHeight="1" x14ac:dyDescent="0.2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ht="12.75" customHeight="1" x14ac:dyDescent="0.2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ht="12.75" customHeight="1" x14ac:dyDescent="0.2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ht="12.75" customHeight="1" x14ac:dyDescent="0.2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ht="12.75" customHeight="1" x14ac:dyDescent="0.2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ht="12.75" customHeight="1" x14ac:dyDescent="0.2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ht="12.75" customHeight="1" x14ac:dyDescent="0.2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ht="12.75" customHeight="1" x14ac:dyDescent="0.2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ht="12.75" customHeight="1" x14ac:dyDescent="0.2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ht="12.75" customHeight="1" x14ac:dyDescent="0.2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ht="12.75" customHeight="1" x14ac:dyDescent="0.2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ht="12.75" customHeight="1" x14ac:dyDescent="0.2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ht="12.75" customHeight="1" x14ac:dyDescent="0.2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ht="12.75" customHeight="1" x14ac:dyDescent="0.2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ht="12.75" customHeight="1" x14ac:dyDescent="0.2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ht="12.75" customHeight="1" x14ac:dyDescent="0.2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ht="12.75" customHeight="1" x14ac:dyDescent="0.2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ht="12.75" customHeight="1" x14ac:dyDescent="0.2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ht="12.75" customHeight="1" x14ac:dyDescent="0.2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ht="12.75" customHeight="1" x14ac:dyDescent="0.2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ht="12.75" customHeight="1" x14ac:dyDescent="0.2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ht="12.75" customHeight="1" x14ac:dyDescent="0.2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ht="12.75" customHeight="1" x14ac:dyDescent="0.2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ht="12.75" customHeight="1" x14ac:dyDescent="0.2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ht="12.75" customHeight="1" x14ac:dyDescent="0.2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ht="12.75" customHeight="1" x14ac:dyDescent="0.2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ht="12.75" customHeight="1" x14ac:dyDescent="0.2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ht="12.75" customHeight="1" x14ac:dyDescent="0.2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ht="12.75" customHeight="1" x14ac:dyDescent="0.2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ht="12.75" customHeight="1" x14ac:dyDescent="0.2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ht="12.75" customHeight="1" x14ac:dyDescent="0.2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ht="12.75" customHeight="1" x14ac:dyDescent="0.2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ht="12.75" customHeight="1" x14ac:dyDescent="0.2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ht="12.75" customHeight="1" x14ac:dyDescent="0.2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ht="12.75" customHeight="1" x14ac:dyDescent="0.2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ht="12.75" customHeight="1" x14ac:dyDescent="0.2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ht="12.75" customHeight="1" x14ac:dyDescent="0.2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ht="12.75" customHeight="1" x14ac:dyDescent="0.2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ht="12.75" customHeight="1" x14ac:dyDescent="0.2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ht="12.75" customHeight="1" x14ac:dyDescent="0.2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ht="12.75" customHeight="1" x14ac:dyDescent="0.2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ht="12.75" customHeight="1" x14ac:dyDescent="0.2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ht="12.75" customHeight="1" x14ac:dyDescent="0.2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ht="12.75" customHeight="1" x14ac:dyDescent="0.2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ht="12.75" customHeight="1" x14ac:dyDescent="0.2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ht="12.75" customHeight="1" x14ac:dyDescent="0.2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ht="12.75" customHeight="1" x14ac:dyDescent="0.2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ht="12.75" customHeight="1" x14ac:dyDescent="0.2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ht="12.75" customHeight="1" x14ac:dyDescent="0.2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ht="12.75" customHeight="1" x14ac:dyDescent="0.2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ht="12.75" customHeight="1" x14ac:dyDescent="0.2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ht="12.75" customHeight="1" x14ac:dyDescent="0.2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ht="12.75" customHeight="1" x14ac:dyDescent="0.2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ht="12.75" customHeight="1" x14ac:dyDescent="0.2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ht="12.75" customHeight="1" x14ac:dyDescent="0.2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ht="12.75" customHeight="1" x14ac:dyDescent="0.2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ht="12.75" customHeight="1" x14ac:dyDescent="0.2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ht="12.75" customHeight="1" x14ac:dyDescent="0.2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ht="12.75" customHeight="1" x14ac:dyDescent="0.2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ht="12.75" customHeight="1" x14ac:dyDescent="0.2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ht="12.75" customHeight="1" x14ac:dyDescent="0.2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ht="12.75" customHeight="1" x14ac:dyDescent="0.2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ht="12.75" customHeight="1" x14ac:dyDescent="0.2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ht="12.75" customHeight="1" x14ac:dyDescent="0.2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ht="12.75" customHeight="1" x14ac:dyDescent="0.2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ht="12.75" customHeight="1" x14ac:dyDescent="0.2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ht="12.75" customHeight="1" x14ac:dyDescent="0.2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ht="12.75" customHeight="1" x14ac:dyDescent="0.2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ht="12.75" customHeight="1" x14ac:dyDescent="0.2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ht="12.75" customHeight="1" x14ac:dyDescent="0.2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ht="12.75" customHeight="1" x14ac:dyDescent="0.2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ht="12.75" customHeight="1" x14ac:dyDescent="0.2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ht="12.75" customHeight="1" x14ac:dyDescent="0.2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ht="12.75" customHeight="1" x14ac:dyDescent="0.2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ht="12.75" customHeight="1" x14ac:dyDescent="0.2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ht="12.75" customHeight="1" x14ac:dyDescent="0.2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ht="12.75" customHeight="1" x14ac:dyDescent="0.2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ht="12.75" customHeight="1" x14ac:dyDescent="0.2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ht="12.75" customHeight="1" x14ac:dyDescent="0.2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ht="12.75" customHeight="1" x14ac:dyDescent="0.2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ht="12.75" customHeight="1" x14ac:dyDescent="0.2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ht="12.75" customHeight="1" x14ac:dyDescent="0.2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ht="12.75" customHeight="1" x14ac:dyDescent="0.2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ht="12.75" customHeight="1" x14ac:dyDescent="0.2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ht="12.75" customHeight="1" x14ac:dyDescent="0.2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ht="12.75" customHeight="1" x14ac:dyDescent="0.2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ht="12.75" customHeight="1" x14ac:dyDescent="0.2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ht="12.75" customHeight="1" x14ac:dyDescent="0.2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ht="12.75" customHeight="1" x14ac:dyDescent="0.2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ht="12.75" customHeight="1" x14ac:dyDescent="0.2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ht="12.75" customHeight="1" x14ac:dyDescent="0.2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ht="12.75" customHeight="1" x14ac:dyDescent="0.2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ht="12.75" customHeight="1" x14ac:dyDescent="0.2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ht="12.75" customHeight="1" x14ac:dyDescent="0.2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ht="12.75" customHeight="1" x14ac:dyDescent="0.2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ht="12.75" customHeight="1" x14ac:dyDescent="0.2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ht="12.75" customHeight="1" x14ac:dyDescent="0.2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ht="12.75" customHeight="1" x14ac:dyDescent="0.2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ht="12.75" customHeight="1" x14ac:dyDescent="0.2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ht="12.75" customHeight="1" x14ac:dyDescent="0.2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ht="12.75" customHeight="1" x14ac:dyDescent="0.2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ht="12.75" customHeight="1" x14ac:dyDescent="0.2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ht="12.75" customHeight="1" x14ac:dyDescent="0.2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ht="12.75" customHeight="1" x14ac:dyDescent="0.2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ht="12.75" customHeight="1" x14ac:dyDescent="0.2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ht="12.75" customHeight="1" x14ac:dyDescent="0.2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ht="12.75" customHeight="1" x14ac:dyDescent="0.2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ht="12.75" customHeight="1" x14ac:dyDescent="0.2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ht="12.75" customHeight="1" x14ac:dyDescent="0.2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ht="12.75" customHeight="1" x14ac:dyDescent="0.2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ht="12.75" customHeight="1" x14ac:dyDescent="0.2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ht="12.75" customHeight="1" x14ac:dyDescent="0.2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ht="12.75" customHeight="1" x14ac:dyDescent="0.2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ht="12.75" customHeight="1" x14ac:dyDescent="0.2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ht="12.75" customHeight="1" x14ac:dyDescent="0.2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ht="12.75" customHeight="1" x14ac:dyDescent="0.2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ht="12.75" customHeight="1" x14ac:dyDescent="0.2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ht="12.75" customHeight="1" x14ac:dyDescent="0.2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ht="12.75" customHeight="1" x14ac:dyDescent="0.2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ht="12.75" customHeight="1" x14ac:dyDescent="0.2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ht="12.75" customHeight="1" x14ac:dyDescent="0.2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ht="12.75" customHeight="1" x14ac:dyDescent="0.2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ht="12.75" customHeight="1" x14ac:dyDescent="0.2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ht="12.75" customHeight="1" x14ac:dyDescent="0.2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ht="12.75" customHeight="1" x14ac:dyDescent="0.2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ht="12.75" customHeight="1" x14ac:dyDescent="0.2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ht="12.75" customHeight="1" x14ac:dyDescent="0.2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ht="12.75" customHeight="1" x14ac:dyDescent="0.2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ht="12.75" customHeight="1" x14ac:dyDescent="0.2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ht="12.75" customHeight="1" x14ac:dyDescent="0.2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ht="12.75" customHeight="1" x14ac:dyDescent="0.2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ht="12.75" customHeight="1" x14ac:dyDescent="0.2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ht="12.75" customHeight="1" x14ac:dyDescent="0.2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ht="12.75" customHeight="1" x14ac:dyDescent="0.2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ht="12.75" customHeight="1" x14ac:dyDescent="0.2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ht="12.75" customHeight="1" x14ac:dyDescent="0.2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ht="12.75" customHeight="1" x14ac:dyDescent="0.2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ht="12.75" customHeight="1" x14ac:dyDescent="0.2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ht="12.75" customHeight="1" x14ac:dyDescent="0.2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ht="12.75" customHeight="1" x14ac:dyDescent="0.2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ht="12.75" customHeight="1" x14ac:dyDescent="0.2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ht="12.75" customHeight="1" x14ac:dyDescent="0.2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ht="12.75" customHeight="1" x14ac:dyDescent="0.2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ht="12.75" customHeight="1" x14ac:dyDescent="0.2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ht="12.75" customHeight="1" x14ac:dyDescent="0.2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ht="12.75" customHeight="1" x14ac:dyDescent="0.2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ht="12.75" customHeight="1" x14ac:dyDescent="0.2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ht="12.75" customHeight="1" x14ac:dyDescent="0.2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ht="12.75" customHeight="1" x14ac:dyDescent="0.2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ht="12.75" customHeight="1" x14ac:dyDescent="0.2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ht="12.75" customHeight="1" x14ac:dyDescent="0.2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ht="12.75" customHeight="1" x14ac:dyDescent="0.2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ht="12.75" customHeight="1" x14ac:dyDescent="0.2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ht="12.75" customHeight="1" x14ac:dyDescent="0.2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ht="12.75" customHeight="1" x14ac:dyDescent="0.2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ht="12.75" customHeight="1" x14ac:dyDescent="0.2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ht="12.75" customHeight="1" x14ac:dyDescent="0.2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ht="12.75" customHeight="1" x14ac:dyDescent="0.2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ht="12.75" customHeight="1" x14ac:dyDescent="0.2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ht="12.75" customHeight="1" x14ac:dyDescent="0.2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ht="12.75" customHeight="1" x14ac:dyDescent="0.2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ht="12.75" customHeight="1" x14ac:dyDescent="0.2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ht="12.75" customHeight="1" x14ac:dyDescent="0.2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ht="12.75" customHeight="1" x14ac:dyDescent="0.2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ht="12.75" customHeight="1" x14ac:dyDescent="0.2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ht="12.75" customHeight="1" x14ac:dyDescent="0.2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ht="12.75" customHeight="1" x14ac:dyDescent="0.2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ht="12.75" customHeight="1" x14ac:dyDescent="0.2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ht="12.75" customHeight="1" x14ac:dyDescent="0.2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ht="12.75" customHeight="1" x14ac:dyDescent="0.2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ht="12.75" customHeight="1" x14ac:dyDescent="0.2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ht="12.75" customHeight="1" x14ac:dyDescent="0.2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ht="12.75" customHeight="1" x14ac:dyDescent="0.2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ht="12.75" customHeight="1" x14ac:dyDescent="0.2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ht="12.75" customHeight="1" x14ac:dyDescent="0.2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ht="12.75" customHeight="1" x14ac:dyDescent="0.2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ht="12.75" customHeight="1" x14ac:dyDescent="0.2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ht="12.75" customHeight="1" x14ac:dyDescent="0.2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ht="12.75" customHeight="1" x14ac:dyDescent="0.2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ht="12.75" customHeight="1" x14ac:dyDescent="0.2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ht="12.75" customHeight="1" x14ac:dyDescent="0.2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ht="12.75" customHeight="1" x14ac:dyDescent="0.2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ht="12.75" customHeight="1" x14ac:dyDescent="0.2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ht="12.75" customHeight="1" x14ac:dyDescent="0.2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ht="12.75" customHeight="1" x14ac:dyDescent="0.2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ht="12.75" customHeight="1" x14ac:dyDescent="0.2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ht="12.75" customHeight="1" x14ac:dyDescent="0.2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ht="12.75" customHeight="1" x14ac:dyDescent="0.2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ht="12.75" customHeight="1" x14ac:dyDescent="0.2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ht="12.75" customHeight="1" x14ac:dyDescent="0.2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ht="12.75" customHeight="1" x14ac:dyDescent="0.2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ht="12.75" customHeight="1" x14ac:dyDescent="0.2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ht="12.75" customHeight="1" x14ac:dyDescent="0.2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ht="12.75" customHeight="1" x14ac:dyDescent="0.2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ht="12.75" customHeight="1" x14ac:dyDescent="0.2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ht="12.75" customHeight="1" x14ac:dyDescent="0.2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ht="12.75" customHeight="1" x14ac:dyDescent="0.2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ht="12.75" customHeight="1" x14ac:dyDescent="0.2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ht="12.75" customHeight="1" x14ac:dyDescent="0.2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ht="12.75" customHeight="1" x14ac:dyDescent="0.2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ht="12.75" customHeight="1" x14ac:dyDescent="0.2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ht="12.75" customHeight="1" x14ac:dyDescent="0.2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ht="12.75" customHeight="1" x14ac:dyDescent="0.2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ht="12.75" customHeight="1" x14ac:dyDescent="0.2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ht="12.75" customHeight="1" x14ac:dyDescent="0.2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ht="12.75" customHeight="1" x14ac:dyDescent="0.2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ht="12.75" customHeight="1" x14ac:dyDescent="0.2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ht="12.75" customHeight="1" x14ac:dyDescent="0.2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ht="12.75" customHeight="1" x14ac:dyDescent="0.2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ht="12.75" customHeight="1" x14ac:dyDescent="0.2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ht="12.75" customHeight="1" x14ac:dyDescent="0.2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ht="12.75" customHeight="1" x14ac:dyDescent="0.2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ht="12.75" customHeight="1" x14ac:dyDescent="0.2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ht="12.75" customHeight="1" x14ac:dyDescent="0.2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ht="12.75" customHeight="1" x14ac:dyDescent="0.2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ht="12.75" customHeight="1" x14ac:dyDescent="0.2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ht="12.75" customHeight="1" x14ac:dyDescent="0.2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ht="12.75" customHeight="1" x14ac:dyDescent="0.2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ht="12.75" customHeight="1" x14ac:dyDescent="0.2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ht="12.75" customHeight="1" x14ac:dyDescent="0.2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ht="12.75" customHeight="1" x14ac:dyDescent="0.2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ht="12.75" customHeight="1" x14ac:dyDescent="0.2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ht="12.75" customHeight="1" x14ac:dyDescent="0.2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ht="12.75" customHeight="1" x14ac:dyDescent="0.2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ht="12.75" customHeight="1" x14ac:dyDescent="0.2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ht="12.75" customHeight="1" x14ac:dyDescent="0.2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ht="12.75" customHeight="1" x14ac:dyDescent="0.2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ht="12.75" customHeight="1" x14ac:dyDescent="0.2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ht="12.75" customHeight="1" x14ac:dyDescent="0.2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ht="12.75" customHeight="1" x14ac:dyDescent="0.2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ht="12.75" customHeight="1" x14ac:dyDescent="0.2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ht="12.75" customHeight="1" x14ac:dyDescent="0.2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ht="12.75" customHeight="1" x14ac:dyDescent="0.2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ht="12.75" customHeight="1" x14ac:dyDescent="0.2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ht="12.75" customHeight="1" x14ac:dyDescent="0.2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ht="12.75" customHeight="1" x14ac:dyDescent="0.2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ht="12.75" customHeight="1" x14ac:dyDescent="0.2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ht="12.75" customHeight="1" x14ac:dyDescent="0.2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ht="12.75" customHeight="1" x14ac:dyDescent="0.2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ht="12.75" customHeight="1" x14ac:dyDescent="0.2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ht="12.75" customHeight="1" x14ac:dyDescent="0.2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ht="12.75" customHeight="1" x14ac:dyDescent="0.2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ht="12.75" customHeight="1" x14ac:dyDescent="0.2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ht="12.75" customHeight="1" x14ac:dyDescent="0.2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ht="12.75" customHeight="1" x14ac:dyDescent="0.2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ht="12.75" customHeight="1" x14ac:dyDescent="0.2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ht="12.75" customHeight="1" x14ac:dyDescent="0.2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ht="12.75" customHeight="1" x14ac:dyDescent="0.2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ht="12.75" customHeight="1" x14ac:dyDescent="0.2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ht="12.75" customHeight="1" x14ac:dyDescent="0.2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ht="12.75" customHeight="1" x14ac:dyDescent="0.2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ht="12.75" customHeight="1" x14ac:dyDescent="0.2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ht="12.75" customHeight="1" x14ac:dyDescent="0.2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ht="12.75" customHeight="1" x14ac:dyDescent="0.2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ht="12.75" customHeight="1" x14ac:dyDescent="0.2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ht="12.75" customHeight="1" x14ac:dyDescent="0.2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ht="12.75" customHeight="1" x14ac:dyDescent="0.2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ht="12.75" customHeight="1" x14ac:dyDescent="0.2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ht="12.75" customHeight="1" x14ac:dyDescent="0.2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ht="12.75" customHeight="1" x14ac:dyDescent="0.2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ht="12.75" customHeight="1" x14ac:dyDescent="0.2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ht="12.75" customHeight="1" x14ac:dyDescent="0.2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ht="12.75" customHeight="1" x14ac:dyDescent="0.2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ht="12.75" customHeight="1" x14ac:dyDescent="0.2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ht="12.75" customHeight="1" x14ac:dyDescent="0.2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ht="12.75" customHeight="1" x14ac:dyDescent="0.2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ht="12.75" customHeight="1" x14ac:dyDescent="0.2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ht="12.75" customHeight="1" x14ac:dyDescent="0.2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ht="12.75" customHeight="1" x14ac:dyDescent="0.2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ht="12.75" customHeight="1" x14ac:dyDescent="0.2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ht="12.75" customHeight="1" x14ac:dyDescent="0.2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ht="12.75" customHeight="1" x14ac:dyDescent="0.2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ht="12.75" customHeight="1" x14ac:dyDescent="0.2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ht="12.75" customHeight="1" x14ac:dyDescent="0.2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ht="12.75" customHeight="1" x14ac:dyDescent="0.2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ht="12.75" customHeight="1" x14ac:dyDescent="0.2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ht="12.75" customHeight="1" x14ac:dyDescent="0.2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ht="12.75" customHeight="1" x14ac:dyDescent="0.2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ht="12.75" customHeight="1" x14ac:dyDescent="0.2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ht="12.75" customHeight="1" x14ac:dyDescent="0.2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ht="12.75" customHeight="1" x14ac:dyDescent="0.2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ht="12.75" customHeight="1" x14ac:dyDescent="0.2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ht="12.75" customHeight="1" x14ac:dyDescent="0.2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ht="12.75" customHeight="1" x14ac:dyDescent="0.2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ht="12.75" customHeight="1" x14ac:dyDescent="0.2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ht="12.75" customHeight="1" x14ac:dyDescent="0.2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ht="12.75" customHeight="1" x14ac:dyDescent="0.2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ht="12.75" customHeight="1" x14ac:dyDescent="0.2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ht="12.75" customHeight="1" x14ac:dyDescent="0.2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ht="12.75" customHeight="1" x14ac:dyDescent="0.2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ht="12.75" customHeight="1" x14ac:dyDescent="0.2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ht="12.75" customHeight="1" x14ac:dyDescent="0.2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ht="12.75" customHeight="1" x14ac:dyDescent="0.2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ht="12.75" customHeight="1" x14ac:dyDescent="0.2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ht="12.75" customHeight="1" x14ac:dyDescent="0.2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ht="12.75" customHeight="1" x14ac:dyDescent="0.2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ht="12.75" customHeight="1" x14ac:dyDescent="0.2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ht="12.75" customHeight="1" x14ac:dyDescent="0.2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ht="12.75" customHeight="1" x14ac:dyDescent="0.2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ht="12.75" customHeight="1" x14ac:dyDescent="0.2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ht="12.75" customHeight="1" x14ac:dyDescent="0.2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ht="12.75" customHeight="1" x14ac:dyDescent="0.2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ht="12.75" customHeight="1" x14ac:dyDescent="0.2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ht="12.75" customHeight="1" x14ac:dyDescent="0.2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ht="12.75" customHeight="1" x14ac:dyDescent="0.2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ht="12.75" customHeight="1" x14ac:dyDescent="0.2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ht="12.75" customHeight="1" x14ac:dyDescent="0.2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ht="12.75" customHeight="1" x14ac:dyDescent="0.2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ht="12.75" customHeight="1" x14ac:dyDescent="0.2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ht="12.75" customHeight="1" x14ac:dyDescent="0.2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ht="12.75" customHeight="1" x14ac:dyDescent="0.2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ht="12.75" customHeight="1" x14ac:dyDescent="0.2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ht="12.75" customHeight="1" x14ac:dyDescent="0.2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ht="12.75" customHeight="1" x14ac:dyDescent="0.2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ht="12.75" customHeight="1" x14ac:dyDescent="0.2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ht="12.75" customHeight="1" x14ac:dyDescent="0.2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ht="12.75" customHeight="1" x14ac:dyDescent="0.2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ht="12.75" customHeight="1" x14ac:dyDescent="0.2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ht="12.75" customHeight="1" x14ac:dyDescent="0.2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ht="12.75" customHeight="1" x14ac:dyDescent="0.2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ht="12.75" customHeight="1" x14ac:dyDescent="0.2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ht="12.75" customHeight="1" x14ac:dyDescent="0.2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ht="12.75" customHeight="1" x14ac:dyDescent="0.2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ht="12.75" customHeight="1" x14ac:dyDescent="0.2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ht="12.75" customHeight="1" x14ac:dyDescent="0.2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ht="12.75" customHeight="1" x14ac:dyDescent="0.2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ht="12.75" customHeight="1" x14ac:dyDescent="0.2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ht="12.75" customHeight="1" x14ac:dyDescent="0.2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ht="12.75" customHeight="1" x14ac:dyDescent="0.2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ht="12.75" customHeight="1" x14ac:dyDescent="0.2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ht="12.75" customHeight="1" x14ac:dyDescent="0.2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ht="12.75" customHeight="1" x14ac:dyDescent="0.2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ht="12.75" customHeight="1" x14ac:dyDescent="0.2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ht="12.75" customHeight="1" x14ac:dyDescent="0.2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ht="12.75" customHeight="1" x14ac:dyDescent="0.2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ht="12.75" customHeight="1" x14ac:dyDescent="0.2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ht="12.75" customHeight="1" x14ac:dyDescent="0.2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ht="12.75" customHeight="1" x14ac:dyDescent="0.2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ht="12.75" customHeight="1" x14ac:dyDescent="0.2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ht="12.75" customHeight="1" x14ac:dyDescent="0.2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ht="12.75" customHeight="1" x14ac:dyDescent="0.2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ht="12.75" customHeight="1" x14ac:dyDescent="0.2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ht="12.75" customHeight="1" x14ac:dyDescent="0.2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ht="12.75" customHeight="1" x14ac:dyDescent="0.2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ht="12.75" customHeight="1" x14ac:dyDescent="0.2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ht="12.75" customHeight="1" x14ac:dyDescent="0.2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ht="12.75" customHeight="1" x14ac:dyDescent="0.2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ht="12.75" customHeight="1" x14ac:dyDescent="0.2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ht="12.75" customHeight="1" x14ac:dyDescent="0.2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ht="12.75" customHeight="1" x14ac:dyDescent="0.2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ht="12.75" customHeight="1" x14ac:dyDescent="0.2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ht="12.75" customHeight="1" x14ac:dyDescent="0.2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ht="12.75" customHeight="1" x14ac:dyDescent="0.2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ht="12.75" customHeight="1" x14ac:dyDescent="0.2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ht="12.75" customHeight="1" x14ac:dyDescent="0.2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ht="12.75" customHeight="1" x14ac:dyDescent="0.2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ht="12.75" customHeight="1" x14ac:dyDescent="0.2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ht="12.75" customHeight="1" x14ac:dyDescent="0.2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ht="12.75" customHeight="1" x14ac:dyDescent="0.2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ht="12.75" customHeight="1" x14ac:dyDescent="0.2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ht="12.75" customHeight="1" x14ac:dyDescent="0.2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ht="12.75" customHeight="1" x14ac:dyDescent="0.2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ht="12.75" customHeight="1" x14ac:dyDescent="0.2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ht="12.75" customHeight="1" x14ac:dyDescent="0.2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ht="12.75" customHeight="1" x14ac:dyDescent="0.2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ht="12.75" customHeight="1" x14ac:dyDescent="0.2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ht="12.75" customHeight="1" x14ac:dyDescent="0.2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ht="12.75" customHeight="1" x14ac:dyDescent="0.2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ht="12.75" customHeight="1" x14ac:dyDescent="0.2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ht="12.75" customHeight="1" x14ac:dyDescent="0.2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ht="12.75" customHeight="1" x14ac:dyDescent="0.2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ht="12.75" customHeight="1" x14ac:dyDescent="0.2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ht="12.75" customHeight="1" x14ac:dyDescent="0.2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ht="12.75" customHeight="1" x14ac:dyDescent="0.2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ht="12.75" customHeight="1" x14ac:dyDescent="0.2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ht="12.75" customHeight="1" x14ac:dyDescent="0.2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ht="12.75" customHeight="1" x14ac:dyDescent="0.2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ht="12.75" customHeight="1" x14ac:dyDescent="0.2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ht="12.75" customHeight="1" x14ac:dyDescent="0.2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ht="12.75" customHeight="1" x14ac:dyDescent="0.2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ht="12.75" customHeight="1" x14ac:dyDescent="0.2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ht="12.75" customHeight="1" x14ac:dyDescent="0.2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ht="12.75" customHeight="1" x14ac:dyDescent="0.2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ht="12.75" customHeight="1" x14ac:dyDescent="0.2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ht="12.75" customHeight="1" x14ac:dyDescent="0.2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ht="12.75" customHeight="1" x14ac:dyDescent="0.2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ht="12.75" customHeight="1" x14ac:dyDescent="0.2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ht="12.75" customHeight="1" x14ac:dyDescent="0.2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ht="12.75" customHeight="1" x14ac:dyDescent="0.2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ht="12.75" customHeight="1" x14ac:dyDescent="0.2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ht="12.75" customHeight="1" x14ac:dyDescent="0.2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ht="12.75" customHeight="1" x14ac:dyDescent="0.2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ht="12.75" customHeight="1" x14ac:dyDescent="0.2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ht="12.75" customHeight="1" x14ac:dyDescent="0.2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ht="12.75" customHeight="1" x14ac:dyDescent="0.2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ht="12.75" customHeight="1" x14ac:dyDescent="0.2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ht="12.75" customHeight="1" x14ac:dyDescent="0.2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ht="12.75" customHeight="1" x14ac:dyDescent="0.2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ht="12.75" customHeight="1" x14ac:dyDescent="0.2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ht="12.75" customHeight="1" x14ac:dyDescent="0.2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ht="12.75" customHeight="1" x14ac:dyDescent="0.2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ht="12.75" customHeight="1" x14ac:dyDescent="0.2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ht="12.75" customHeight="1" x14ac:dyDescent="0.2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ht="12.75" customHeight="1" x14ac:dyDescent="0.2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ht="12.75" customHeight="1" x14ac:dyDescent="0.2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ht="12.75" customHeight="1" x14ac:dyDescent="0.2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ht="12.75" customHeight="1" x14ac:dyDescent="0.2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ht="12.75" customHeight="1" x14ac:dyDescent="0.2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ht="12.75" customHeight="1" x14ac:dyDescent="0.2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ht="12.75" customHeight="1" x14ac:dyDescent="0.2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ht="12.75" customHeight="1" x14ac:dyDescent="0.2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ht="12.75" customHeight="1" x14ac:dyDescent="0.2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ht="12.75" customHeight="1" x14ac:dyDescent="0.2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ht="12.75" customHeight="1" x14ac:dyDescent="0.2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ht="12.75" customHeight="1" x14ac:dyDescent="0.2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ht="12.75" customHeight="1" x14ac:dyDescent="0.2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ht="12.75" customHeight="1" x14ac:dyDescent="0.2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ht="12.75" customHeight="1" x14ac:dyDescent="0.2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ht="12.75" customHeight="1" x14ac:dyDescent="0.2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ht="12.75" customHeight="1" x14ac:dyDescent="0.2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ht="12.75" customHeight="1" x14ac:dyDescent="0.2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ht="12.75" customHeight="1" x14ac:dyDescent="0.2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ht="12.75" customHeight="1" x14ac:dyDescent="0.2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ht="12.75" customHeight="1" x14ac:dyDescent="0.2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ht="12.75" customHeight="1" x14ac:dyDescent="0.2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ht="12.75" customHeight="1" x14ac:dyDescent="0.2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ht="12.75" customHeight="1" x14ac:dyDescent="0.2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ht="12.75" customHeight="1" x14ac:dyDescent="0.2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ht="12.75" customHeight="1" x14ac:dyDescent="0.2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ht="12.75" customHeight="1" x14ac:dyDescent="0.2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ht="12.75" customHeight="1" x14ac:dyDescent="0.2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ht="12.75" customHeight="1" x14ac:dyDescent="0.2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ht="12.75" customHeight="1" x14ac:dyDescent="0.2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ht="12.75" customHeight="1" x14ac:dyDescent="0.2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ht="12.75" customHeight="1" x14ac:dyDescent="0.2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ht="12.75" customHeight="1" x14ac:dyDescent="0.2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ht="12.75" customHeight="1" x14ac:dyDescent="0.2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ht="12.75" customHeight="1" x14ac:dyDescent="0.2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ht="12.75" customHeight="1" x14ac:dyDescent="0.2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ht="12.75" customHeight="1" x14ac:dyDescent="0.2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ht="12.75" customHeight="1" x14ac:dyDescent="0.2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ht="12.75" customHeight="1" x14ac:dyDescent="0.2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ht="12.75" customHeight="1" x14ac:dyDescent="0.2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ht="12.75" customHeight="1" x14ac:dyDescent="0.2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ht="12.75" customHeight="1" x14ac:dyDescent="0.2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ht="12.75" customHeight="1" x14ac:dyDescent="0.2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ht="12.75" customHeight="1" x14ac:dyDescent="0.2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ht="12.75" customHeight="1" x14ac:dyDescent="0.2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ht="12.75" customHeight="1" x14ac:dyDescent="0.2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ht="12.75" customHeight="1" x14ac:dyDescent="0.2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ht="12.75" customHeight="1" x14ac:dyDescent="0.2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ht="12.75" customHeight="1" x14ac:dyDescent="0.2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ht="12.75" customHeight="1" x14ac:dyDescent="0.2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ht="12.75" customHeight="1" x14ac:dyDescent="0.2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ht="12.75" customHeight="1" x14ac:dyDescent="0.2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ht="12.75" customHeight="1" x14ac:dyDescent="0.2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ht="12.75" customHeight="1" x14ac:dyDescent="0.2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ht="12.75" customHeight="1" x14ac:dyDescent="0.2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ht="12.75" customHeight="1" x14ac:dyDescent="0.2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ht="12.75" customHeight="1" x14ac:dyDescent="0.2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ht="12.75" customHeight="1" x14ac:dyDescent="0.2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ht="12.75" customHeight="1" x14ac:dyDescent="0.2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ht="12.75" customHeight="1" x14ac:dyDescent="0.2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ht="12.75" customHeight="1" x14ac:dyDescent="0.2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ht="12.75" customHeight="1" x14ac:dyDescent="0.2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ht="12.75" customHeight="1" x14ac:dyDescent="0.2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ht="12.75" customHeight="1" x14ac:dyDescent="0.2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ht="12.75" customHeight="1" x14ac:dyDescent="0.2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ht="12.75" customHeight="1" x14ac:dyDescent="0.2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ht="12.75" customHeight="1" x14ac:dyDescent="0.2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ht="12.75" customHeight="1" x14ac:dyDescent="0.2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ht="12.75" customHeight="1" x14ac:dyDescent="0.2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ht="12.75" customHeight="1" x14ac:dyDescent="0.2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ht="12.75" customHeight="1" x14ac:dyDescent="0.2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ht="12.75" customHeight="1" x14ac:dyDescent="0.2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ht="12.75" customHeight="1" x14ac:dyDescent="0.2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ht="12.75" customHeight="1" x14ac:dyDescent="0.2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ht="12.75" customHeight="1" x14ac:dyDescent="0.2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ht="12.75" customHeight="1" x14ac:dyDescent="0.2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ht="12.75" customHeight="1" x14ac:dyDescent="0.2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ht="12.75" customHeight="1" x14ac:dyDescent="0.2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ht="12.75" customHeight="1" x14ac:dyDescent="0.2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ht="12.75" customHeight="1" x14ac:dyDescent="0.2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ht="12.75" customHeight="1" x14ac:dyDescent="0.2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ht="12.75" customHeight="1" x14ac:dyDescent="0.2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ht="12.75" customHeight="1" x14ac:dyDescent="0.2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ht="12.75" customHeight="1" x14ac:dyDescent="0.2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ht="12.75" customHeight="1" x14ac:dyDescent="0.2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ht="12.75" customHeight="1" x14ac:dyDescent="0.2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ht="12.75" customHeight="1" x14ac:dyDescent="0.2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ht="12.75" customHeight="1" x14ac:dyDescent="0.2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ht="12.75" customHeight="1" x14ac:dyDescent="0.2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ht="12.75" customHeight="1" x14ac:dyDescent="0.2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ht="12.75" customHeight="1" x14ac:dyDescent="0.2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ht="12.75" customHeight="1" x14ac:dyDescent="0.2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ht="12.75" customHeight="1" x14ac:dyDescent="0.2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ht="12.75" customHeight="1" x14ac:dyDescent="0.2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ht="12.75" customHeight="1" x14ac:dyDescent="0.2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ht="12.75" customHeight="1" x14ac:dyDescent="0.2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ht="12.75" customHeight="1" x14ac:dyDescent="0.2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ht="12.75" customHeight="1" x14ac:dyDescent="0.2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ht="12.75" customHeight="1" x14ac:dyDescent="0.2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ht="12.75" customHeight="1" x14ac:dyDescent="0.2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ht="12.75" customHeight="1" x14ac:dyDescent="0.2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ht="12.75" customHeight="1" x14ac:dyDescent="0.2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ht="12.75" customHeight="1" x14ac:dyDescent="0.2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ht="12.75" customHeight="1" x14ac:dyDescent="0.2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ht="12.75" customHeight="1" x14ac:dyDescent="0.2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ht="12.75" customHeight="1" x14ac:dyDescent="0.2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ht="12.75" customHeight="1" x14ac:dyDescent="0.2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ht="12.75" customHeight="1" x14ac:dyDescent="0.2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ht="12.75" customHeight="1" x14ac:dyDescent="0.2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ht="12.75" customHeight="1" x14ac:dyDescent="0.2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ht="12.75" customHeight="1" x14ac:dyDescent="0.2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ht="12.75" customHeight="1" x14ac:dyDescent="0.2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ht="12.75" customHeight="1" x14ac:dyDescent="0.2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ht="12.75" customHeight="1" x14ac:dyDescent="0.2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ht="12.75" customHeight="1" x14ac:dyDescent="0.2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ht="12.75" customHeight="1" x14ac:dyDescent="0.2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ht="12.75" customHeight="1" x14ac:dyDescent="0.2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ht="12.75" customHeight="1" x14ac:dyDescent="0.2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ht="12.75" customHeight="1" x14ac:dyDescent="0.2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ht="12.75" customHeight="1" x14ac:dyDescent="0.2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ht="12.75" customHeight="1" x14ac:dyDescent="0.2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ht="12.75" customHeight="1" x14ac:dyDescent="0.2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ht="12.75" customHeight="1" x14ac:dyDescent="0.2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ht="12.75" customHeight="1" x14ac:dyDescent="0.2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ht="12.75" customHeight="1" x14ac:dyDescent="0.2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ht="12.75" customHeight="1" x14ac:dyDescent="0.2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ht="12.75" customHeight="1" x14ac:dyDescent="0.2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ht="12.75" customHeight="1" x14ac:dyDescent="0.2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ht="12.75" customHeight="1" x14ac:dyDescent="0.2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ht="12.75" customHeight="1" x14ac:dyDescent="0.2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ht="12.75" customHeight="1" x14ac:dyDescent="0.2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ht="12.75" customHeight="1" x14ac:dyDescent="0.2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ht="12.75" customHeight="1" x14ac:dyDescent="0.2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ht="12.75" customHeight="1" x14ac:dyDescent="0.2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ht="12.75" customHeight="1" x14ac:dyDescent="0.2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ht="12.75" customHeight="1" x14ac:dyDescent="0.2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ht="12.75" customHeight="1" x14ac:dyDescent="0.2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ht="12.75" customHeight="1" x14ac:dyDescent="0.2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ht="12.75" customHeight="1" x14ac:dyDescent="0.2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ht="12.75" customHeight="1" x14ac:dyDescent="0.2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ht="12.75" customHeight="1" x14ac:dyDescent="0.2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ht="12.75" customHeight="1" x14ac:dyDescent="0.2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ht="12.75" customHeight="1" x14ac:dyDescent="0.2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ht="12.75" customHeight="1" x14ac:dyDescent="0.2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ht="12.75" customHeight="1" x14ac:dyDescent="0.2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ht="12.75" customHeight="1" x14ac:dyDescent="0.2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ht="12.75" customHeight="1" x14ac:dyDescent="0.2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ht="12.75" customHeight="1" x14ac:dyDescent="0.2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ht="12.75" customHeight="1" x14ac:dyDescent="0.2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ht="12.75" customHeight="1" x14ac:dyDescent="0.2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ht="12.75" customHeight="1" x14ac:dyDescent="0.2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ht="12.75" customHeight="1" x14ac:dyDescent="0.2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ht="12.75" customHeight="1" x14ac:dyDescent="0.2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ht="12.75" customHeight="1" x14ac:dyDescent="0.2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ht="12.75" customHeight="1" x14ac:dyDescent="0.2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ht="12.75" customHeight="1" x14ac:dyDescent="0.2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ht="12.75" customHeight="1" x14ac:dyDescent="0.2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ht="12.75" customHeight="1" x14ac:dyDescent="0.2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ht="12.75" customHeight="1" x14ac:dyDescent="0.2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ht="12.75" customHeight="1" x14ac:dyDescent="0.2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ht="12.75" customHeight="1" x14ac:dyDescent="0.2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ht="12.75" customHeight="1" x14ac:dyDescent="0.2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ht="12.75" customHeight="1" x14ac:dyDescent="0.2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ht="12.75" customHeight="1" x14ac:dyDescent="0.2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ht="12.75" customHeight="1" x14ac:dyDescent="0.2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ht="12.75" customHeight="1" x14ac:dyDescent="0.2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ht="12.75" customHeight="1" x14ac:dyDescent="0.2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ht="12.75" customHeight="1" x14ac:dyDescent="0.2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ht="12.75" customHeight="1" x14ac:dyDescent="0.2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ht="12.75" customHeight="1" x14ac:dyDescent="0.2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ht="12.75" customHeight="1" x14ac:dyDescent="0.2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ht="12.75" customHeight="1" x14ac:dyDescent="0.2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ht="12.75" customHeight="1" x14ac:dyDescent="0.2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ht="12.75" customHeight="1" x14ac:dyDescent="0.2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ht="12.75" customHeight="1" x14ac:dyDescent="0.2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ht="12.75" customHeight="1" x14ac:dyDescent="0.2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ht="12.75" customHeight="1" x14ac:dyDescent="0.2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ht="12.75" customHeight="1" x14ac:dyDescent="0.2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ht="12.75" customHeight="1" x14ac:dyDescent="0.2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ht="12.75" customHeight="1" x14ac:dyDescent="0.2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ht="12.75" customHeight="1" x14ac:dyDescent="0.2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ht="12.75" customHeight="1" x14ac:dyDescent="0.2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ht="12.75" customHeight="1" x14ac:dyDescent="0.2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ht="12.75" customHeight="1" x14ac:dyDescent="0.2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ht="12.75" customHeight="1" x14ac:dyDescent="0.2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ht="12.75" customHeight="1" x14ac:dyDescent="0.2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ht="12.75" customHeight="1" x14ac:dyDescent="0.2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ht="12.75" customHeight="1" x14ac:dyDescent="0.2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ht="12.75" customHeight="1" x14ac:dyDescent="0.2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ht="12.75" customHeight="1" x14ac:dyDescent="0.2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ht="12.75" customHeight="1" x14ac:dyDescent="0.2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ht="12.75" customHeight="1" x14ac:dyDescent="0.2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ht="12.75" customHeight="1" x14ac:dyDescent="0.2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ht="12.75" customHeight="1" x14ac:dyDescent="0.2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ht="12.75" customHeight="1" x14ac:dyDescent="0.2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ht="12.75" customHeight="1" x14ac:dyDescent="0.2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ht="12.75" customHeight="1" x14ac:dyDescent="0.2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ht="12.75" customHeight="1" x14ac:dyDescent="0.2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ht="12.75" customHeight="1" x14ac:dyDescent="0.2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ht="12.75" customHeight="1" x14ac:dyDescent="0.2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ht="12.75" customHeight="1" x14ac:dyDescent="0.2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ht="12.75" customHeight="1" x14ac:dyDescent="0.2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ht="12.75" customHeight="1" x14ac:dyDescent="0.2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ht="12.75" customHeight="1" x14ac:dyDescent="0.2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ht="12.75" customHeight="1" x14ac:dyDescent="0.2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ht="12.75" customHeight="1" x14ac:dyDescent="0.2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ht="12.75" customHeight="1" x14ac:dyDescent="0.2">
      <c r="F1322" s="1"/>
      <c r="G1322" s="1"/>
      <c r="J1322" s="1"/>
      <c r="K1322" s="1"/>
      <c r="L1322" s="1"/>
      <c r="R1322" s="1"/>
      <c r="AC1322" s="1"/>
      <c r="AE1322" s="1"/>
      <c r="AG1322" s="1"/>
    </row>
    <row r="1323" spans="6:33" ht="12.75" customHeight="1" x14ac:dyDescent="0.2">
      <c r="F1323" s="1"/>
      <c r="G1323" s="1"/>
      <c r="J1323" s="1"/>
      <c r="K1323" s="1"/>
      <c r="L1323" s="1"/>
      <c r="R1323" s="1"/>
      <c r="AC1323" s="1"/>
      <c r="AE1323" s="1"/>
      <c r="AG1323" s="1"/>
    </row>
    <row r="1324" spans="6:33" ht="12.75" customHeight="1" x14ac:dyDescent="0.2">
      <c r="F1324" s="1"/>
      <c r="G1324" s="1"/>
      <c r="J1324" s="1"/>
      <c r="K1324" s="1"/>
      <c r="L1324" s="1"/>
      <c r="R1324" s="1"/>
      <c r="AC1324" s="1"/>
      <c r="AE1324" s="1"/>
      <c r="AG1324" s="1"/>
    </row>
    <row r="1325" spans="6:33" ht="12.75" customHeight="1" x14ac:dyDescent="0.2">
      <c r="F1325" s="1"/>
      <c r="G1325" s="1"/>
      <c r="J1325" s="1"/>
      <c r="K1325" s="1"/>
      <c r="L1325" s="1"/>
      <c r="R1325" s="1"/>
      <c r="AC1325" s="1"/>
      <c r="AE1325" s="1"/>
      <c r="AG1325" s="1"/>
    </row>
    <row r="1326" spans="6:33" ht="12.75" customHeight="1" x14ac:dyDescent="0.2">
      <c r="F1326" s="1"/>
      <c r="G1326" s="1"/>
      <c r="J1326" s="1"/>
      <c r="K1326" s="1"/>
      <c r="L1326" s="1"/>
      <c r="R1326" s="1"/>
      <c r="AC1326" s="1"/>
      <c r="AE1326" s="1"/>
      <c r="AG1326" s="1"/>
    </row>
    <row r="1327" spans="6:33" ht="12.75" customHeight="1" x14ac:dyDescent="0.2">
      <c r="F1327" s="1"/>
      <c r="G1327" s="1"/>
      <c r="J1327" s="1"/>
      <c r="K1327" s="1"/>
      <c r="L1327" s="1"/>
      <c r="R1327" s="1"/>
      <c r="AC1327" s="1"/>
      <c r="AE1327" s="1"/>
      <c r="AG1327" s="1"/>
    </row>
    <row r="1328" spans="6:33" ht="12.75" customHeight="1" x14ac:dyDescent="0.2">
      <c r="F1328" s="1"/>
      <c r="G1328" s="1"/>
      <c r="J1328" s="1"/>
      <c r="K1328" s="1"/>
      <c r="L1328" s="1"/>
      <c r="R1328" s="1"/>
      <c r="AC1328" s="1"/>
      <c r="AE1328" s="1"/>
      <c r="AG1328" s="1"/>
    </row>
    <row r="1329" spans="6:33" ht="12.75" customHeight="1" x14ac:dyDescent="0.2">
      <c r="F1329" s="1"/>
      <c r="G1329" s="1"/>
      <c r="J1329" s="1"/>
      <c r="K1329" s="1"/>
      <c r="L1329" s="1"/>
      <c r="R1329" s="1"/>
      <c r="AC1329" s="1"/>
      <c r="AE1329" s="1"/>
      <c r="AG1329" s="1"/>
    </row>
    <row r="1330" spans="6:33" ht="12.75" customHeight="1" x14ac:dyDescent="0.2">
      <c r="F1330" s="1"/>
      <c r="G1330" s="1"/>
      <c r="J1330" s="1"/>
      <c r="K1330" s="1"/>
      <c r="L1330" s="1"/>
      <c r="R1330" s="1"/>
      <c r="AC1330" s="1"/>
      <c r="AE1330" s="1"/>
      <c r="AG1330" s="1"/>
    </row>
    <row r="1331" spans="6:33" ht="12.75" customHeight="1" x14ac:dyDescent="0.2">
      <c r="F1331" s="1"/>
      <c r="G1331" s="1"/>
      <c r="J1331" s="1"/>
      <c r="K1331" s="1"/>
      <c r="L1331" s="1"/>
      <c r="R1331" s="1"/>
      <c r="AC1331" s="1"/>
      <c r="AE1331" s="1"/>
      <c r="AG1331" s="1"/>
    </row>
    <row r="1332" spans="6:33" ht="12.75" customHeight="1" x14ac:dyDescent="0.2">
      <c r="F1332" s="1"/>
      <c r="G1332" s="1"/>
      <c r="J1332" s="1"/>
      <c r="K1332" s="1"/>
      <c r="L1332" s="1"/>
      <c r="R1332" s="1"/>
      <c r="AC1332" s="1"/>
      <c r="AE1332" s="1"/>
      <c r="AG1332" s="1"/>
    </row>
    <row r="1333" spans="6:33" ht="12.75" customHeight="1" x14ac:dyDescent="0.2">
      <c r="F1333" s="1"/>
      <c r="G1333" s="1"/>
      <c r="J1333" s="1"/>
      <c r="K1333" s="1"/>
      <c r="L1333" s="1"/>
      <c r="R1333" s="1"/>
      <c r="AC1333" s="1"/>
      <c r="AE1333" s="1"/>
      <c r="AG1333" s="1"/>
    </row>
    <row r="1334" spans="6:33" ht="12.75" customHeight="1" x14ac:dyDescent="0.2">
      <c r="F1334" s="1"/>
      <c r="G1334" s="1"/>
      <c r="J1334" s="1"/>
      <c r="K1334" s="1"/>
      <c r="L1334" s="1"/>
      <c r="R1334" s="1"/>
      <c r="AC1334" s="1"/>
      <c r="AE1334" s="1"/>
      <c r="AG1334" s="1"/>
    </row>
    <row r="1335" spans="6:33" ht="12.75" customHeight="1" x14ac:dyDescent="0.2">
      <c r="F1335" s="1"/>
      <c r="G1335" s="1"/>
      <c r="J1335" s="1"/>
      <c r="K1335" s="1"/>
      <c r="L1335" s="1"/>
      <c r="R1335" s="1"/>
      <c r="AC1335" s="1"/>
      <c r="AE1335" s="1"/>
      <c r="AG1335" s="1"/>
    </row>
    <row r="1336" spans="6:33" ht="12.75" customHeight="1" x14ac:dyDescent="0.2">
      <c r="F1336" s="1"/>
      <c r="G1336" s="1"/>
      <c r="J1336" s="1"/>
      <c r="K1336" s="1"/>
      <c r="L1336" s="1"/>
      <c r="R1336" s="1"/>
      <c r="AC1336" s="1"/>
      <c r="AE1336" s="1"/>
      <c r="AG1336" s="1"/>
    </row>
    <row r="1337" spans="6:33" ht="12.75" customHeight="1" x14ac:dyDescent="0.2">
      <c r="F1337" s="1"/>
      <c r="G1337" s="1"/>
      <c r="J1337" s="1"/>
      <c r="K1337" s="1"/>
      <c r="L1337" s="1"/>
      <c r="R1337" s="1"/>
      <c r="AC1337" s="1"/>
      <c r="AE1337" s="1"/>
      <c r="AG1337" s="1"/>
    </row>
    <row r="1338" spans="6:33" ht="12.75" customHeight="1" x14ac:dyDescent="0.2">
      <c r="F1338" s="1"/>
      <c r="G1338" s="1"/>
      <c r="J1338" s="1"/>
      <c r="K1338" s="1"/>
      <c r="L1338" s="1"/>
      <c r="R1338" s="1"/>
      <c r="AC1338" s="1"/>
      <c r="AE1338" s="1"/>
      <c r="AG1338" s="1"/>
    </row>
    <row r="1339" spans="6:33" ht="12.75" customHeight="1" x14ac:dyDescent="0.2">
      <c r="F1339" s="1"/>
      <c r="G1339" s="1"/>
      <c r="J1339" s="1"/>
      <c r="K1339" s="1"/>
      <c r="L1339" s="1"/>
      <c r="R1339" s="1"/>
      <c r="AC1339" s="1"/>
      <c r="AE1339" s="1"/>
      <c r="AG1339" s="1"/>
    </row>
    <row r="1340" spans="6:33" ht="12.75" customHeight="1" x14ac:dyDescent="0.2">
      <c r="F1340" s="1"/>
      <c r="G1340" s="1"/>
      <c r="J1340" s="1"/>
      <c r="K1340" s="1"/>
      <c r="L1340" s="1"/>
      <c r="R1340" s="1"/>
      <c r="AC1340" s="1"/>
      <c r="AE1340" s="1"/>
      <c r="AG1340" s="1"/>
    </row>
    <row r="1341" spans="6:33" ht="12.75" customHeight="1" x14ac:dyDescent="0.2">
      <c r="F1341" s="1"/>
      <c r="G1341" s="1"/>
      <c r="J1341" s="1"/>
      <c r="K1341" s="1"/>
      <c r="L1341" s="1"/>
      <c r="R1341" s="1"/>
      <c r="AC1341" s="1"/>
      <c r="AE1341" s="1"/>
      <c r="AG1341" s="1"/>
    </row>
    <row r="1342" spans="6:33" ht="12.75" customHeight="1" x14ac:dyDescent="0.2">
      <c r="F1342" s="1"/>
      <c r="G1342" s="1"/>
      <c r="J1342" s="1"/>
      <c r="K1342" s="1"/>
      <c r="L1342" s="1"/>
      <c r="R1342" s="1"/>
      <c r="AC1342" s="1"/>
      <c r="AE1342" s="1"/>
      <c r="AG1342" s="1"/>
    </row>
    <row r="1343" spans="6:33" ht="12.75" customHeight="1" x14ac:dyDescent="0.2">
      <c r="F1343" s="1"/>
      <c r="G1343" s="1"/>
      <c r="J1343" s="1"/>
      <c r="K1343" s="1"/>
      <c r="L1343" s="1"/>
      <c r="R1343" s="1"/>
      <c r="AC1343" s="1"/>
      <c r="AE1343" s="1"/>
      <c r="AG1343" s="1"/>
    </row>
    <row r="1344" spans="6:33" ht="12.75" customHeight="1" x14ac:dyDescent="0.2">
      <c r="F1344" s="1"/>
      <c r="G1344" s="1"/>
      <c r="J1344" s="1"/>
      <c r="K1344" s="1"/>
      <c r="L1344" s="1"/>
      <c r="R1344" s="1"/>
      <c r="AC1344" s="1"/>
      <c r="AE1344" s="1"/>
      <c r="AG1344" s="1"/>
    </row>
    <row r="1345" spans="6:33" ht="12.75" customHeight="1" x14ac:dyDescent="0.2">
      <c r="F1345" s="1"/>
      <c r="G1345" s="1"/>
      <c r="J1345" s="1"/>
      <c r="K1345" s="1"/>
      <c r="L1345" s="1"/>
      <c r="R1345" s="1"/>
      <c r="AC1345" s="1"/>
      <c r="AE1345" s="1"/>
      <c r="AG1345" s="1"/>
    </row>
    <row r="1346" spans="6:33" ht="12.75" customHeight="1" x14ac:dyDescent="0.2">
      <c r="F1346" s="1"/>
      <c r="G1346" s="1"/>
      <c r="J1346" s="1"/>
      <c r="K1346" s="1"/>
      <c r="L1346" s="1"/>
      <c r="R1346" s="1"/>
      <c r="AC1346" s="1"/>
      <c r="AE1346" s="1"/>
      <c r="AG1346" s="1"/>
    </row>
  </sheetData>
  <mergeCells count="3">
    <mergeCell ref="A1:AJ1"/>
    <mergeCell ref="A2:AJ2"/>
    <mergeCell ref="A3:AJ3"/>
  </mergeCells>
  <conditionalFormatting sqref="H7:AV8 H51:AV51">
    <cfRule type="cellIs" dxfId="8" priority="2" operator="lessThan">
      <formula>0</formula>
    </cfRule>
  </conditionalFormatting>
  <conditionalFormatting sqref="H9:AV50">
    <cfRule type="cellIs" dxfId="7" priority="1" operator="lessThan">
      <formula>0</formula>
    </cfRule>
  </conditionalFormatting>
  <pageMargins left="0" right="0" top="0" bottom="0" header="0" footer="0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322"/>
  <sheetViews>
    <sheetView topLeftCell="A19" workbookViewId="0">
      <selection activeCell="F29" sqref="F29:I33"/>
    </sheetView>
  </sheetViews>
  <sheetFormatPr defaultColWidth="6.85546875" defaultRowHeight="12.75" x14ac:dyDescent="0.2"/>
  <cols>
    <col min="1" max="1" width="12.85546875" bestFit="1" customWidth="1"/>
    <col min="2" max="2" width="11.42578125" bestFit="1" customWidth="1"/>
    <col min="3" max="3" width="11.85546875" bestFit="1" customWidth="1"/>
    <col min="4" max="4" width="18.42578125" bestFit="1" customWidth="1"/>
    <col min="5" max="5" width="22.28515625" bestFit="1" customWidth="1"/>
    <col min="6" max="6" width="15.7109375" customWidth="1"/>
    <col min="7" max="7" width="13.7109375" bestFit="1" customWidth="1"/>
    <col min="8" max="8" width="24.42578125" bestFit="1" customWidth="1"/>
    <col min="9" max="9" width="39.42578125" bestFit="1" customWidth="1"/>
    <col min="10" max="10" width="22.5703125" bestFit="1" customWidth="1"/>
    <col min="11" max="11" width="22.85546875" bestFit="1" customWidth="1"/>
    <col min="12" max="12" width="26.85546875" bestFit="1" customWidth="1"/>
    <col min="13" max="13" width="19" bestFit="1" customWidth="1"/>
    <col min="14" max="14" width="24.5703125" bestFit="1" customWidth="1"/>
    <col min="15" max="15" width="12.28515625" bestFit="1" customWidth="1"/>
    <col min="16" max="16" width="17.28515625" customWidth="1"/>
    <col min="17" max="17" width="18.85546875" bestFit="1" customWidth="1"/>
    <col min="18" max="18" width="18.7109375" bestFit="1" customWidth="1"/>
    <col min="19" max="19" width="27.140625" bestFit="1" customWidth="1"/>
    <col min="20" max="20" width="27.28515625" bestFit="1" customWidth="1"/>
    <col min="21" max="21" width="15.42578125" bestFit="1" customWidth="1"/>
    <col min="22" max="22" width="13.2851562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8515625" bestFit="1" customWidth="1"/>
    <col min="31" max="31" width="36.42578125" bestFit="1" customWidth="1"/>
    <col min="32" max="32" width="34.28515625" bestFit="1" customWidth="1"/>
    <col min="33" max="33" width="38.5703125" bestFit="1" customWidth="1"/>
    <col min="34" max="34" width="27.28515625" bestFit="1" customWidth="1"/>
    <col min="35" max="35" width="25.42578125" bestFit="1" customWidth="1"/>
    <col min="36" max="36" width="25.85546875" bestFit="1" customWidth="1"/>
    <col min="37" max="37" width="17.42578125" bestFit="1" customWidth="1"/>
    <col min="38" max="38" width="14.7109375" bestFit="1" customWidth="1"/>
    <col min="39" max="39" width="14.28515625" bestFit="1" customWidth="1"/>
    <col min="40" max="40" width="47.85546875" bestFit="1" customWidth="1"/>
    <col min="41" max="41" width="48" bestFit="1" customWidth="1"/>
    <col min="42" max="42" width="23.28515625" bestFit="1" customWidth="1"/>
    <col min="43" max="43" width="16.85546875" bestFit="1" customWidth="1"/>
    <col min="44" max="44" width="10.7109375" bestFit="1" customWidth="1"/>
    <col min="45" max="45" width="13.7109375" bestFit="1" customWidth="1"/>
    <col min="46" max="46" width="10.7109375" bestFit="1" customWidth="1"/>
    <col min="47" max="47" width="13.7109375" bestFit="1" customWidth="1"/>
    <col min="48" max="48" width="11.28515625" customWidth="1"/>
    <col min="49" max="49" width="19.5703125" bestFit="1" customWidth="1"/>
  </cols>
  <sheetData>
    <row r="1" spans="1:49" ht="12.75" customHeight="1" x14ac:dyDescent="0.2">
      <c r="A1" s="19" t="e">
        <f ca="1">MID(CELL("filename"),SEARCH("_C",CELL("filename"))+1,FIND(".",CELL("filename")) - SEARCH("_C",CELL("filename")))</f>
        <v>#VALUE!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9" ht="12.75" customHeight="1" x14ac:dyDescent="0.2">
      <c r="A2" s="19" t="str">
        <f ca="1">RIGHT(CELL("filename"),LEN(CELL("filename"))-FIND("]",CELL("filename")))</f>
        <v>Active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9" ht="12.75" customHeight="1" x14ac:dyDescent="0.2">
      <c r="A3" s="19" t="str">
        <f ca="1">CONCATENATE("For The Period Ended ", MID(CELL("filename"), SEARCH("._",CELL("filename"))+2,SEARCH(".xlsx",CELL("filename")) - SEARCH("._",CELL("filename"))-2))</f>
        <v>For The Period Ended 2025-03-31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49" ht="12.75" customHeight="1" x14ac:dyDescent="0.2">
      <c r="A4" t="s">
        <v>31</v>
      </c>
      <c r="B4" s="4">
        <f>IF(D7 = "ZACK HASANOV", 0, COUNTA(A7:A10015))</f>
        <v>18</v>
      </c>
    </row>
    <row r="5" spans="1:49" ht="12.75" customHeight="1" x14ac:dyDescent="0.2">
      <c r="B5" s="4"/>
    </row>
    <row r="6" spans="1:49" ht="12.75" customHeight="1" x14ac:dyDescent="0.2">
      <c r="A6" s="5" t="s">
        <v>0</v>
      </c>
      <c r="B6" s="6" t="s">
        <v>1</v>
      </c>
      <c r="C6" s="6" t="s">
        <v>42</v>
      </c>
      <c r="D6" s="6" t="s">
        <v>2</v>
      </c>
      <c r="E6" s="6" t="s">
        <v>49</v>
      </c>
      <c r="F6" s="6" t="s">
        <v>3</v>
      </c>
      <c r="G6" s="6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32</v>
      </c>
      <c r="O6" s="7" t="s">
        <v>33</v>
      </c>
      <c r="P6" s="7" t="s">
        <v>34</v>
      </c>
      <c r="Q6" s="7" t="s">
        <v>35</v>
      </c>
      <c r="R6" s="7" t="s">
        <v>11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7" t="s">
        <v>36</v>
      </c>
      <c r="Y6" s="7" t="s">
        <v>37</v>
      </c>
      <c r="Z6" s="7" t="s">
        <v>38</v>
      </c>
      <c r="AA6" s="7" t="s">
        <v>39</v>
      </c>
      <c r="AB6" s="7" t="s">
        <v>40</v>
      </c>
      <c r="AC6" s="7" t="s">
        <v>41</v>
      </c>
      <c r="AD6" s="7" t="s">
        <v>17</v>
      </c>
      <c r="AE6" s="7" t="s">
        <v>18</v>
      </c>
      <c r="AF6" s="7" t="s">
        <v>19</v>
      </c>
      <c r="AG6" s="7" t="s">
        <v>20</v>
      </c>
      <c r="AH6" s="7" t="s">
        <v>21</v>
      </c>
      <c r="AI6" s="7" t="s">
        <v>22</v>
      </c>
      <c r="AJ6" s="7" t="s">
        <v>23</v>
      </c>
      <c r="AK6" s="7" t="s">
        <v>29</v>
      </c>
      <c r="AL6" s="7" t="s">
        <v>24</v>
      </c>
      <c r="AM6" s="7" t="s">
        <v>25</v>
      </c>
      <c r="AN6" s="7" t="s">
        <v>26</v>
      </c>
      <c r="AO6" s="7" t="s">
        <v>27</v>
      </c>
      <c r="AP6" s="8" t="s">
        <v>28</v>
      </c>
      <c r="AQ6" s="7" t="s">
        <v>43</v>
      </c>
      <c r="AR6" s="7" t="s">
        <v>44</v>
      </c>
      <c r="AS6" s="7" t="s">
        <v>45</v>
      </c>
      <c r="AT6" s="7" t="s">
        <v>46</v>
      </c>
      <c r="AU6" s="7" t="s">
        <v>47</v>
      </c>
      <c r="AV6" s="7" t="s">
        <v>48</v>
      </c>
      <c r="AW6" s="10" t="s">
        <v>50</v>
      </c>
    </row>
    <row r="7" spans="1:49" ht="12.75" customHeight="1" x14ac:dyDescent="0.2">
      <c r="A7" t="s">
        <v>51</v>
      </c>
      <c r="B7" t="s">
        <v>52</v>
      </c>
      <c r="C7" t="s">
        <v>53</v>
      </c>
      <c r="D7" t="s">
        <v>54</v>
      </c>
      <c r="E7" t="s">
        <v>54</v>
      </c>
      <c r="F7" t="s">
        <v>55</v>
      </c>
      <c r="G7" s="2" t="s">
        <v>56</v>
      </c>
      <c r="H7" s="14">
        <v>1386800</v>
      </c>
      <c r="I7" s="14">
        <v>138412.82</v>
      </c>
      <c r="J7" s="14">
        <f>Table132810[[#This Row],[Adjusted Contract Price]]-Table132810[[#This Row],[Base Contract]]-Table132810[[#This Row],[Approved Change Orders]]</f>
        <v>0</v>
      </c>
      <c r="K7" s="14"/>
      <c r="L7" s="14">
        <v>1525212.82</v>
      </c>
      <c r="M7" s="14">
        <v>1092176</v>
      </c>
      <c r="N7" s="14">
        <v>1097168</v>
      </c>
      <c r="O7" s="14">
        <v>93510.05</v>
      </c>
      <c r="P7" s="14">
        <f>Table132810[[#This Row],[Base Contract]]-Table132810[[#This Row],[QU Original Budget]]</f>
        <v>289632</v>
      </c>
      <c r="Q7" s="14">
        <f>Table132810[[#This Row],[Approved Change Orders]]-Table132810[[#This Row],[CO Change Order Budget]]</f>
        <v>44902.770000000004</v>
      </c>
      <c r="R7" s="14">
        <v>1190678.05</v>
      </c>
      <c r="S7" s="14">
        <f>Table132810[[#This Row],[Total Direct Budget]]-Table132810[[#This Row],[Estimated Total Direct Costs]]</f>
        <v>98502.050000000047</v>
      </c>
      <c r="T7" s="14">
        <f>+Table132810[[#This Row],[Adjusted Contract Price]]-Table132810[[#This Row],[Total Direct Budget]]</f>
        <v>334534.77</v>
      </c>
      <c r="U7" s="14">
        <f>+Table132810[[#This Row],[Adjusted Contract Price]]-Table132810[[#This Row],[Estimated Total Direct Costs]]</f>
        <v>433036.82000000007</v>
      </c>
      <c r="V7" s="15">
        <f>IF(Table132810[[#This Row],[Adjusted Contract Price]]=0,0,+Table132810[[#This Row],[Budgeted Gross Profit (Loss)]]/Table132810[[#This Row],[Adjusted Contract Price]])</f>
        <v>0.21933645299414675</v>
      </c>
      <c r="W7" s="15">
        <f>IF(Table132810[[#This Row],[Adjusted Contract Price]]=0,0,+Table132810[[#This Row],[Estimated Gross Profit (Loss)]]/Table132810[[#This Row],[Adjusted Contract Price]])</f>
        <v>0.28391894843894638</v>
      </c>
      <c r="X7" s="15">
        <v>0.780663</v>
      </c>
      <c r="Y7" s="15">
        <f>Table132810[[#This Row],[Current GP %]]-Table132810[[#This Row],[Prior Month1 GP]]</f>
        <v>-0.49674405156105361</v>
      </c>
      <c r="Z7" s="15">
        <v>0.780663</v>
      </c>
      <c r="AA7" s="15">
        <f>Table132810[[#This Row],[Current GP %]]-Table132810[[#This Row],[Prior Month2 GP]]</f>
        <v>-0.49674405156105361</v>
      </c>
      <c r="AB7" s="15">
        <v>0.780663</v>
      </c>
      <c r="AC7" s="15">
        <f>Table132810[[#This Row],[Current GP %]]-Table132810[[#This Row],[Prior Month3 GP]]</f>
        <v>-0.49674405156105361</v>
      </c>
      <c r="AD7" s="14">
        <v>1092176</v>
      </c>
      <c r="AE7" s="16">
        <f>IF(Table132810[[#This Row],[Estimated Total Direct Costs]]=0,0,+Table132810[[#This Row],[Direct Cost To Date]]/Table132810[[#This Row],[Estimated Total Direct Costs]])</f>
        <v>1</v>
      </c>
      <c r="AF7" s="14">
        <f>+Table132810[[#This Row],[Estimated Gross Profit (Loss)]]*Table132810[[#This Row],[% Complete]]</f>
        <v>433036.82000000007</v>
      </c>
      <c r="AG7" s="14"/>
      <c r="AH7" s="14">
        <f>+Table132810[[#This Row],[Total Gross Profit Recognized To Date]]-Table132810[[#This Row],[Gross Profit Recognized Prior Years]]</f>
        <v>433036.82000000007</v>
      </c>
      <c r="AI7" s="14">
        <v>1525212.82</v>
      </c>
      <c r="AJ7" s="14">
        <f>Table132810[[#This Row],[Adjusted Contract Price]]-Table132810[[#This Row],[Total Amount Billed To Date]]</f>
        <v>0</v>
      </c>
      <c r="AK7" s="14">
        <v>0</v>
      </c>
      <c r="AL7" s="15">
        <f>IF(Table132810[[#This Row],[Total Amount Billed To Date]]=0,0,+Table132810[[#This Row],[Current Retainage Amount]]/Table132810[[#This Row],[Total Amount Billed To Date]])</f>
        <v>0</v>
      </c>
      <c r="AM7" s="14">
        <v>1525212.82</v>
      </c>
      <c r="AN7" s="14">
        <f>Table132810[[#This Row],[Cash Received]]-Table132810[[#This Row],[Direct Cost To Date]]</f>
        <v>433036.82000000007</v>
      </c>
      <c r="AO7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7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7" s="14">
        <v>0</v>
      </c>
      <c r="AR7" s="14">
        <v>0</v>
      </c>
      <c r="AS7" s="14">
        <v>0</v>
      </c>
      <c r="AT7" s="14">
        <v>1525212.82</v>
      </c>
      <c r="AU7" s="14">
        <v>0</v>
      </c>
      <c r="AV7" s="14">
        <v>0</v>
      </c>
      <c r="AW7" s="9">
        <v>45175</v>
      </c>
    </row>
    <row r="8" spans="1:49" ht="12.75" customHeight="1" x14ac:dyDescent="0.2">
      <c r="A8" t="s">
        <v>61</v>
      </c>
      <c r="B8" t="s">
        <v>62</v>
      </c>
      <c r="C8" t="s">
        <v>53</v>
      </c>
      <c r="D8" t="s">
        <v>54</v>
      </c>
      <c r="E8" t="s">
        <v>54</v>
      </c>
      <c r="F8" t="s">
        <v>55</v>
      </c>
      <c r="G8" s="2" t="s">
        <v>56</v>
      </c>
      <c r="H8" s="14">
        <v>270080</v>
      </c>
      <c r="I8" s="14">
        <v>0</v>
      </c>
      <c r="J8" s="14">
        <f>Table132810[[#This Row],[Adjusted Contract Price]]-Table132810[[#This Row],[Base Contract]]-Table132810[[#This Row],[Approved Change Orders]]</f>
        <v>0</v>
      </c>
      <c r="K8" s="14"/>
      <c r="L8" s="14">
        <v>270080</v>
      </c>
      <c r="M8" s="14">
        <v>229213.54</v>
      </c>
      <c r="N8" s="14">
        <v>216670.4</v>
      </c>
      <c r="O8" s="14">
        <v>0</v>
      </c>
      <c r="P8" s="14">
        <f>Table132810[[#This Row],[Base Contract]]-Table132810[[#This Row],[QU Original Budget]]</f>
        <v>53409.600000000006</v>
      </c>
      <c r="Q8" s="14">
        <f>Table132810[[#This Row],[Approved Change Orders]]-Table132810[[#This Row],[CO Change Order Budget]]</f>
        <v>0</v>
      </c>
      <c r="R8" s="14">
        <v>216670.4</v>
      </c>
      <c r="S8" s="14">
        <f>Table132810[[#This Row],[Total Direct Budget]]-Table132810[[#This Row],[Estimated Total Direct Costs]]</f>
        <v>-12543.140000000014</v>
      </c>
      <c r="T8" s="14">
        <f>+Table132810[[#This Row],[Adjusted Contract Price]]-Table132810[[#This Row],[Total Direct Budget]]</f>
        <v>53409.600000000006</v>
      </c>
      <c r="U8" s="14">
        <f>+Table132810[[#This Row],[Adjusted Contract Price]]-Table132810[[#This Row],[Estimated Total Direct Costs]]</f>
        <v>40866.459999999992</v>
      </c>
      <c r="V8" s="15">
        <f>IF(Table132810[[#This Row],[Adjusted Contract Price]]=0,0,+Table132810[[#This Row],[Budgeted Gross Profit (Loss)]]/Table132810[[#This Row],[Adjusted Contract Price]])</f>
        <v>0.1977547393364929</v>
      </c>
      <c r="W8" s="15">
        <f>IF(Table132810[[#This Row],[Adjusted Contract Price]]=0,0,+Table132810[[#This Row],[Estimated Gross Profit (Loss)]]/Table132810[[#This Row],[Adjusted Contract Price]])</f>
        <v>0.15131242594786726</v>
      </c>
      <c r="X8" s="15">
        <v>0.80224499999999999</v>
      </c>
      <c r="Y8" s="15">
        <f>Table132810[[#This Row],[Current GP %]]-Table132810[[#This Row],[Prior Month1 GP]]</f>
        <v>-0.65093257405213278</v>
      </c>
      <c r="Z8" s="15">
        <v>0.80224499999999999</v>
      </c>
      <c r="AA8" s="15">
        <f>Table132810[[#This Row],[Current GP %]]-Table132810[[#This Row],[Prior Month2 GP]]</f>
        <v>-0.65093257405213278</v>
      </c>
      <c r="AB8" s="15">
        <v>0.80224499999999999</v>
      </c>
      <c r="AC8" s="15">
        <f>Table132810[[#This Row],[Current GP %]]-Table132810[[#This Row],[Prior Month3 GP]]</f>
        <v>-0.65093257405213278</v>
      </c>
      <c r="AD8" s="14">
        <v>229213.54</v>
      </c>
      <c r="AE8" s="16">
        <f>IF(Table132810[[#This Row],[Estimated Total Direct Costs]]=0,0,+Table132810[[#This Row],[Direct Cost To Date]]/Table132810[[#This Row],[Estimated Total Direct Costs]])</f>
        <v>1</v>
      </c>
      <c r="AF8" s="14">
        <f>+Table132810[[#This Row],[Estimated Gross Profit (Loss)]]*Table132810[[#This Row],[% Complete]]</f>
        <v>40866.459999999992</v>
      </c>
      <c r="AG8" s="14"/>
      <c r="AH8" s="14">
        <f>+Table132810[[#This Row],[Total Gross Profit Recognized To Date]]-Table132810[[#This Row],[Gross Profit Recognized Prior Years]]</f>
        <v>40866.459999999992</v>
      </c>
      <c r="AI8" s="14">
        <v>270080</v>
      </c>
      <c r="AJ8" s="14">
        <f>Table132810[[#This Row],[Adjusted Contract Price]]-Table132810[[#This Row],[Total Amount Billed To Date]]</f>
        <v>0</v>
      </c>
      <c r="AK8" s="14">
        <v>0</v>
      </c>
      <c r="AL8" s="15">
        <f>IF(Table132810[[#This Row],[Total Amount Billed To Date]]=0,0,+Table132810[[#This Row],[Current Retainage Amount]]/Table132810[[#This Row],[Total Amount Billed To Date]])</f>
        <v>0</v>
      </c>
      <c r="AM8" s="14">
        <v>270080</v>
      </c>
      <c r="AN8" s="14">
        <f>Table132810[[#This Row],[Cash Received]]-Table132810[[#This Row],[Direct Cost To Date]]</f>
        <v>40866.459999999992</v>
      </c>
      <c r="AO8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8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8" s="14">
        <v>0</v>
      </c>
      <c r="AR8" s="14">
        <v>0</v>
      </c>
      <c r="AS8" s="14">
        <v>0</v>
      </c>
      <c r="AT8" s="14">
        <v>270080</v>
      </c>
      <c r="AU8" s="14">
        <v>0</v>
      </c>
      <c r="AV8" s="14">
        <v>0</v>
      </c>
      <c r="AW8" s="9">
        <v>45175</v>
      </c>
    </row>
    <row r="9" spans="1:49" ht="12.75" customHeight="1" x14ac:dyDescent="0.2">
      <c r="A9" t="s">
        <v>63</v>
      </c>
      <c r="B9" t="s">
        <v>64</v>
      </c>
      <c r="C9" t="s">
        <v>65</v>
      </c>
      <c r="D9" t="s">
        <v>54</v>
      </c>
      <c r="E9" t="s">
        <v>54</v>
      </c>
      <c r="F9" t="s">
        <v>55</v>
      </c>
      <c r="G9" s="2" t="s">
        <v>56</v>
      </c>
      <c r="H9" s="14">
        <v>920079</v>
      </c>
      <c r="I9" s="14">
        <v>22237.439999999999</v>
      </c>
      <c r="J9" s="14">
        <f>Table132810[[#This Row],[Adjusted Contract Price]]-Table132810[[#This Row],[Base Contract]]-Table132810[[#This Row],[Approved Change Orders]]</f>
        <v>-5.4569682106375694E-11</v>
      </c>
      <c r="K9" s="14"/>
      <c r="L9" s="14">
        <v>942316.44</v>
      </c>
      <c r="M9" s="14">
        <v>692639.17</v>
      </c>
      <c r="N9" s="14">
        <v>736063.2</v>
      </c>
      <c r="O9" s="14">
        <v>0</v>
      </c>
      <c r="P9" s="14">
        <f>Table132810[[#This Row],[Base Contract]]-Table132810[[#This Row],[QU Original Budget]]</f>
        <v>184015.80000000005</v>
      </c>
      <c r="Q9" s="14">
        <f>Table132810[[#This Row],[Approved Change Orders]]-Table132810[[#This Row],[CO Change Order Budget]]</f>
        <v>22237.439999999999</v>
      </c>
      <c r="R9" s="14">
        <v>736063.2</v>
      </c>
      <c r="S9" s="14">
        <f>Table132810[[#This Row],[Total Direct Budget]]-Table132810[[#This Row],[Estimated Total Direct Costs]]</f>
        <v>43424.029999999912</v>
      </c>
      <c r="T9" s="14">
        <f>+Table132810[[#This Row],[Adjusted Contract Price]]-Table132810[[#This Row],[Total Direct Budget]]</f>
        <v>206253.24</v>
      </c>
      <c r="U9" s="14">
        <f>+Table132810[[#This Row],[Adjusted Contract Price]]-Table132810[[#This Row],[Estimated Total Direct Costs]]</f>
        <v>249677.2699999999</v>
      </c>
      <c r="V9" s="15">
        <f>IF(Table132810[[#This Row],[Adjusted Contract Price]]=0,0,+Table132810[[#This Row],[Budgeted Gross Profit (Loss)]]/Table132810[[#This Row],[Adjusted Contract Price]])</f>
        <v>0.21887895747632294</v>
      </c>
      <c r="W9" s="15">
        <f>IF(Table132810[[#This Row],[Adjusted Contract Price]]=0,0,+Table132810[[#This Row],[Estimated Gross Profit (Loss)]]/Table132810[[#This Row],[Adjusted Contract Price]])</f>
        <v>0.26496117376451578</v>
      </c>
      <c r="X9" s="15">
        <v>0.78112099999999995</v>
      </c>
      <c r="Y9" s="15">
        <f>Table132810[[#This Row],[Current GP %]]-Table132810[[#This Row],[Prior Month1 GP]]</f>
        <v>-0.51615982623548418</v>
      </c>
      <c r="Z9" s="15">
        <v>0.78112099999999995</v>
      </c>
      <c r="AA9" s="15">
        <f>Table132810[[#This Row],[Current GP %]]-Table132810[[#This Row],[Prior Month2 GP]]</f>
        <v>-0.51615982623548418</v>
      </c>
      <c r="AB9" s="15">
        <v>0.78112099999999995</v>
      </c>
      <c r="AC9" s="15">
        <f>Table132810[[#This Row],[Current GP %]]-Table132810[[#This Row],[Prior Month3 GP]]</f>
        <v>-0.51615982623548418</v>
      </c>
      <c r="AD9" s="14">
        <v>692639.17</v>
      </c>
      <c r="AE9" s="16">
        <f>IF(Table132810[[#This Row],[Estimated Total Direct Costs]]=0,0,+Table132810[[#This Row],[Direct Cost To Date]]/Table132810[[#This Row],[Estimated Total Direct Costs]])</f>
        <v>1</v>
      </c>
      <c r="AF9" s="14">
        <f>+Table132810[[#This Row],[Estimated Gross Profit (Loss)]]*Table132810[[#This Row],[% Complete]]</f>
        <v>249677.2699999999</v>
      </c>
      <c r="AG9" s="14"/>
      <c r="AH9" s="14">
        <f>+Table132810[[#This Row],[Total Gross Profit Recognized To Date]]-Table132810[[#This Row],[Gross Profit Recognized Prior Years]]</f>
        <v>249677.2699999999</v>
      </c>
      <c r="AI9" s="14">
        <v>942316.44</v>
      </c>
      <c r="AJ9" s="14">
        <f>Table132810[[#This Row],[Adjusted Contract Price]]-Table132810[[#This Row],[Total Amount Billed To Date]]</f>
        <v>0</v>
      </c>
      <c r="AK9" s="14">
        <v>0</v>
      </c>
      <c r="AL9" s="15">
        <f>IF(Table132810[[#This Row],[Total Amount Billed To Date]]=0,0,+Table132810[[#This Row],[Current Retainage Amount]]/Table132810[[#This Row],[Total Amount Billed To Date]])</f>
        <v>0</v>
      </c>
      <c r="AM9" s="14">
        <v>942316.44</v>
      </c>
      <c r="AN9" s="14">
        <f>Table132810[[#This Row],[Cash Received]]-Table132810[[#This Row],[Direct Cost To Date]]</f>
        <v>249677.2699999999</v>
      </c>
      <c r="AO9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9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9" s="14">
        <v>0</v>
      </c>
      <c r="AR9" s="14">
        <v>0</v>
      </c>
      <c r="AS9" s="14">
        <v>0</v>
      </c>
      <c r="AT9" s="14">
        <v>942316.44</v>
      </c>
      <c r="AU9" s="14">
        <v>6889.54</v>
      </c>
      <c r="AV9" s="14">
        <v>0</v>
      </c>
      <c r="AW9" s="9">
        <v>45734</v>
      </c>
    </row>
    <row r="10" spans="1:49" ht="12.75" customHeight="1" x14ac:dyDescent="0.2">
      <c r="A10" t="s">
        <v>66</v>
      </c>
      <c r="B10" t="s">
        <v>67</v>
      </c>
      <c r="C10" t="s">
        <v>68</v>
      </c>
      <c r="D10" t="s">
        <v>54</v>
      </c>
      <c r="E10" t="s">
        <v>54</v>
      </c>
      <c r="F10" t="s">
        <v>55</v>
      </c>
      <c r="G10" s="2" t="s">
        <v>56</v>
      </c>
      <c r="H10" s="14">
        <v>83725</v>
      </c>
      <c r="I10" s="14">
        <v>0</v>
      </c>
      <c r="J10" s="14">
        <f>Table132810[[#This Row],[Adjusted Contract Price]]-Table132810[[#This Row],[Base Contract]]-Table132810[[#This Row],[Approved Change Orders]]</f>
        <v>0</v>
      </c>
      <c r="K10" s="14"/>
      <c r="L10" s="14">
        <v>83725</v>
      </c>
      <c r="M10" s="14">
        <v>61242.879999999997</v>
      </c>
      <c r="N10" s="14">
        <v>0</v>
      </c>
      <c r="O10" s="14">
        <v>0</v>
      </c>
      <c r="P10" s="14">
        <f>Table132810[[#This Row],[Base Contract]]-Table132810[[#This Row],[QU Original Budget]]</f>
        <v>83725</v>
      </c>
      <c r="Q10" s="14">
        <f>Table132810[[#This Row],[Approved Change Orders]]-Table132810[[#This Row],[CO Change Order Budget]]</f>
        <v>0</v>
      </c>
      <c r="R10" s="14">
        <v>0</v>
      </c>
      <c r="S10" s="14">
        <f>Table132810[[#This Row],[Total Direct Budget]]-Table132810[[#This Row],[Estimated Total Direct Costs]]</f>
        <v>-61242.879999999997</v>
      </c>
      <c r="T10" s="14">
        <f>+Table132810[[#This Row],[Adjusted Contract Price]]-Table132810[[#This Row],[Total Direct Budget]]</f>
        <v>83725</v>
      </c>
      <c r="U10" s="14">
        <f>+Table132810[[#This Row],[Adjusted Contract Price]]-Table132810[[#This Row],[Estimated Total Direct Costs]]</f>
        <v>22482.120000000003</v>
      </c>
      <c r="V10" s="15">
        <f>IF(Table132810[[#This Row],[Adjusted Contract Price]]=0,0,+Table132810[[#This Row],[Budgeted Gross Profit (Loss)]]/Table132810[[#This Row],[Adjusted Contract Price]])</f>
        <v>1</v>
      </c>
      <c r="W10" s="15">
        <f>IF(Table132810[[#This Row],[Adjusted Contract Price]]=0,0,+Table132810[[#This Row],[Estimated Gross Profit (Loss)]]/Table132810[[#This Row],[Adjusted Contract Price]])</f>
        <v>0.26852338011346671</v>
      </c>
      <c r="X10" s="15">
        <v>0</v>
      </c>
      <c r="Y10" s="15">
        <f>Table132810[[#This Row],[Current GP %]]-Table132810[[#This Row],[Prior Month1 GP]]</f>
        <v>0.26852338011346671</v>
      </c>
      <c r="Z10" s="15">
        <v>0</v>
      </c>
      <c r="AA10" s="15">
        <f>Table132810[[#This Row],[Current GP %]]-Table132810[[#This Row],[Prior Month2 GP]]</f>
        <v>0.26852338011346671</v>
      </c>
      <c r="AB10" s="15">
        <v>0</v>
      </c>
      <c r="AC10" s="15">
        <f>Table132810[[#This Row],[Current GP %]]-Table132810[[#This Row],[Prior Month3 GP]]</f>
        <v>0.26852338011346671</v>
      </c>
      <c r="AD10" s="14">
        <v>61242.879999999997</v>
      </c>
      <c r="AE10" s="16">
        <f>IF(Table132810[[#This Row],[Estimated Total Direct Costs]]=0,0,+Table132810[[#This Row],[Direct Cost To Date]]/Table132810[[#This Row],[Estimated Total Direct Costs]])</f>
        <v>1</v>
      </c>
      <c r="AF10" s="14">
        <f>+Table132810[[#This Row],[Estimated Gross Profit (Loss)]]*Table132810[[#This Row],[% Complete]]</f>
        <v>22482.120000000003</v>
      </c>
      <c r="AG10" s="14"/>
      <c r="AH10" s="14">
        <f>+Table132810[[#This Row],[Total Gross Profit Recognized To Date]]-Table132810[[#This Row],[Gross Profit Recognized Prior Years]]</f>
        <v>22482.120000000003</v>
      </c>
      <c r="AI10" s="14">
        <v>83725</v>
      </c>
      <c r="AJ10" s="14">
        <f>Table132810[[#This Row],[Adjusted Contract Price]]-Table132810[[#This Row],[Total Amount Billed To Date]]</f>
        <v>0</v>
      </c>
      <c r="AK10" s="14">
        <v>0</v>
      </c>
      <c r="AL10" s="15">
        <f>IF(Table132810[[#This Row],[Total Amount Billed To Date]]=0,0,+Table132810[[#This Row],[Current Retainage Amount]]/Table132810[[#This Row],[Total Amount Billed To Date]])</f>
        <v>0</v>
      </c>
      <c r="AM10" s="14">
        <v>83725</v>
      </c>
      <c r="AN10" s="14">
        <f>Table132810[[#This Row],[Cash Received]]-Table132810[[#This Row],[Direct Cost To Date]]</f>
        <v>22482.120000000003</v>
      </c>
      <c r="AO10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0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0" s="14">
        <v>0</v>
      </c>
      <c r="AR10" s="14">
        <v>0</v>
      </c>
      <c r="AS10" s="14">
        <v>0</v>
      </c>
      <c r="AT10" s="14">
        <v>83725</v>
      </c>
      <c r="AU10" s="14">
        <v>0</v>
      </c>
      <c r="AV10" s="14">
        <v>0</v>
      </c>
      <c r="AW10" s="9">
        <v>45356</v>
      </c>
    </row>
    <row r="11" spans="1:49" ht="12.75" customHeight="1" x14ac:dyDescent="0.2">
      <c r="A11" t="s">
        <v>69</v>
      </c>
      <c r="B11" t="s">
        <v>70</v>
      </c>
      <c r="C11" t="s">
        <v>71</v>
      </c>
      <c r="D11" t="s">
        <v>54</v>
      </c>
      <c r="E11" t="s">
        <v>54</v>
      </c>
      <c r="F11" t="s">
        <v>55</v>
      </c>
      <c r="G11" s="2" t="s">
        <v>56</v>
      </c>
      <c r="H11" s="14">
        <v>150000</v>
      </c>
      <c r="I11" s="14">
        <v>20300</v>
      </c>
      <c r="J11" s="14">
        <f>Table132810[[#This Row],[Adjusted Contract Price]]-Table132810[[#This Row],[Base Contract]]-Table132810[[#This Row],[Approved Change Orders]]</f>
        <v>0</v>
      </c>
      <c r="K11" s="14"/>
      <c r="L11" s="14">
        <v>170300</v>
      </c>
      <c r="M11" s="14">
        <v>74344.100000000006</v>
      </c>
      <c r="N11" s="14">
        <v>0</v>
      </c>
      <c r="O11" s="14">
        <v>15100</v>
      </c>
      <c r="P11" s="14">
        <f>Table132810[[#This Row],[Base Contract]]-Table132810[[#This Row],[QU Original Budget]]</f>
        <v>150000</v>
      </c>
      <c r="Q11" s="14">
        <f>Table132810[[#This Row],[Approved Change Orders]]-Table132810[[#This Row],[CO Change Order Budget]]</f>
        <v>5200</v>
      </c>
      <c r="R11" s="14">
        <v>15100</v>
      </c>
      <c r="S11" s="14">
        <f>Table132810[[#This Row],[Total Direct Budget]]-Table132810[[#This Row],[Estimated Total Direct Costs]]</f>
        <v>-59244.100000000006</v>
      </c>
      <c r="T11" s="14">
        <f>+Table132810[[#This Row],[Adjusted Contract Price]]-Table132810[[#This Row],[Total Direct Budget]]</f>
        <v>155200</v>
      </c>
      <c r="U11" s="14">
        <f>+Table132810[[#This Row],[Adjusted Contract Price]]-Table132810[[#This Row],[Estimated Total Direct Costs]]</f>
        <v>95955.9</v>
      </c>
      <c r="V11" s="15">
        <f>IF(Table132810[[#This Row],[Adjusted Contract Price]]=0,0,+Table132810[[#This Row],[Budgeted Gross Profit (Loss)]]/Table132810[[#This Row],[Adjusted Contract Price]])</f>
        <v>0.91133294186729297</v>
      </c>
      <c r="W11" s="15">
        <f>IF(Table132810[[#This Row],[Adjusted Contract Price]]=0,0,+Table132810[[#This Row],[Estimated Gross Profit (Loss)]]/Table132810[[#This Row],[Adjusted Contract Price]])</f>
        <v>0.56345214327657067</v>
      </c>
      <c r="X11" s="15">
        <v>8.8666999999999996E-2</v>
      </c>
      <c r="Y11" s="15">
        <f>Table132810[[#This Row],[Current GP %]]-Table132810[[#This Row],[Prior Month1 GP]]</f>
        <v>0.47478514327657068</v>
      </c>
      <c r="Z11" s="15">
        <v>8.8666999999999996E-2</v>
      </c>
      <c r="AA11" s="15">
        <f>Table132810[[#This Row],[Current GP %]]-Table132810[[#This Row],[Prior Month2 GP]]</f>
        <v>0.47478514327657068</v>
      </c>
      <c r="AB11" s="15">
        <v>8.8666999999999996E-2</v>
      </c>
      <c r="AC11" s="15">
        <f>Table132810[[#This Row],[Current GP %]]-Table132810[[#This Row],[Prior Month3 GP]]</f>
        <v>0.47478514327657068</v>
      </c>
      <c r="AD11" s="14">
        <v>74344.100000000006</v>
      </c>
      <c r="AE11" s="16">
        <f>IF(Table132810[[#This Row],[Estimated Total Direct Costs]]=0,0,+Table132810[[#This Row],[Direct Cost To Date]]/Table132810[[#This Row],[Estimated Total Direct Costs]])</f>
        <v>1</v>
      </c>
      <c r="AF11" s="14">
        <f>+Table132810[[#This Row],[Estimated Gross Profit (Loss)]]*Table132810[[#This Row],[% Complete]]</f>
        <v>95955.9</v>
      </c>
      <c r="AG11" s="14"/>
      <c r="AH11" s="14">
        <f>+Table132810[[#This Row],[Total Gross Profit Recognized To Date]]-Table132810[[#This Row],[Gross Profit Recognized Prior Years]]</f>
        <v>95955.9</v>
      </c>
      <c r="AI11" s="14">
        <v>170300</v>
      </c>
      <c r="AJ11" s="14">
        <f>Table132810[[#This Row],[Adjusted Contract Price]]-Table132810[[#This Row],[Total Amount Billed To Date]]</f>
        <v>0</v>
      </c>
      <c r="AK11" s="14">
        <v>0</v>
      </c>
      <c r="AL11" s="15">
        <f>IF(Table132810[[#This Row],[Total Amount Billed To Date]]=0,0,+Table132810[[#This Row],[Current Retainage Amount]]/Table132810[[#This Row],[Total Amount Billed To Date]])</f>
        <v>0</v>
      </c>
      <c r="AM11" s="14">
        <v>170300</v>
      </c>
      <c r="AN11" s="14">
        <f>Table132810[[#This Row],[Cash Received]]-Table132810[[#This Row],[Direct Cost To Date]]</f>
        <v>95955.9</v>
      </c>
      <c r="AO11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1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1" s="14">
        <v>0</v>
      </c>
      <c r="AR11" s="14">
        <v>0</v>
      </c>
      <c r="AS11" s="14">
        <v>0</v>
      </c>
      <c r="AT11" s="14">
        <v>170300</v>
      </c>
      <c r="AU11" s="14">
        <v>0</v>
      </c>
      <c r="AV11" s="14">
        <v>0</v>
      </c>
      <c r="AW11" s="9">
        <v>45734</v>
      </c>
    </row>
    <row r="12" spans="1:49" ht="12.75" customHeight="1" x14ac:dyDescent="0.2">
      <c r="A12" t="s">
        <v>72</v>
      </c>
      <c r="B12" t="s">
        <v>73</v>
      </c>
      <c r="C12" t="s">
        <v>74</v>
      </c>
      <c r="D12" t="s">
        <v>54</v>
      </c>
      <c r="E12" t="s">
        <v>54</v>
      </c>
      <c r="F12" t="s">
        <v>55</v>
      </c>
      <c r="G12" s="2" t="s">
        <v>56</v>
      </c>
      <c r="H12" s="14">
        <v>418500</v>
      </c>
      <c r="I12" s="14">
        <v>-13050</v>
      </c>
      <c r="J12" s="14">
        <f>Table132810[[#This Row],[Adjusted Contract Price]]-Table132810[[#This Row],[Base Contract]]-Table132810[[#This Row],[Approved Change Orders]]</f>
        <v>0</v>
      </c>
      <c r="K12" s="14"/>
      <c r="L12" s="14">
        <v>405450</v>
      </c>
      <c r="M12" s="14">
        <v>197359.43</v>
      </c>
      <c r="N12" s="14">
        <v>334800</v>
      </c>
      <c r="O12" s="14">
        <v>-135538</v>
      </c>
      <c r="P12" s="14">
        <f>Table132810[[#This Row],[Base Contract]]-Table132810[[#This Row],[QU Original Budget]]</f>
        <v>83700</v>
      </c>
      <c r="Q12" s="14">
        <f>Table132810[[#This Row],[Approved Change Orders]]-Table132810[[#This Row],[CO Change Order Budget]]</f>
        <v>122488</v>
      </c>
      <c r="R12" s="14">
        <v>199262</v>
      </c>
      <c r="S12" s="14">
        <f>Table132810[[#This Row],[Total Direct Budget]]-Table132810[[#This Row],[Estimated Total Direct Costs]]</f>
        <v>1902.570000000007</v>
      </c>
      <c r="T12" s="14">
        <f>+Table132810[[#This Row],[Adjusted Contract Price]]-Table132810[[#This Row],[Total Direct Budget]]</f>
        <v>206188</v>
      </c>
      <c r="U12" s="14">
        <f>+Table132810[[#This Row],[Adjusted Contract Price]]-Table132810[[#This Row],[Estimated Total Direct Costs]]</f>
        <v>208090.57</v>
      </c>
      <c r="V12" s="15">
        <f>IF(Table132810[[#This Row],[Adjusted Contract Price]]=0,0,+Table132810[[#This Row],[Budgeted Gross Profit (Loss)]]/Table132810[[#This Row],[Adjusted Contract Price]])</f>
        <v>0.50854112714268096</v>
      </c>
      <c r="W12" s="15">
        <f>IF(Table132810[[#This Row],[Adjusted Contract Price]]=0,0,+Table132810[[#This Row],[Estimated Gross Profit (Loss)]]/Table132810[[#This Row],[Adjusted Contract Price]])</f>
        <v>0.5132336169688001</v>
      </c>
      <c r="X12" s="15">
        <v>0.49145800000000001</v>
      </c>
      <c r="Y12" s="15">
        <f>Table132810[[#This Row],[Current GP %]]-Table132810[[#This Row],[Prior Month1 GP]]</f>
        <v>2.1775616968800093E-2</v>
      </c>
      <c r="Z12" s="15">
        <v>0.49145800000000001</v>
      </c>
      <c r="AA12" s="15">
        <f>Table132810[[#This Row],[Current GP %]]-Table132810[[#This Row],[Prior Month2 GP]]</f>
        <v>2.1775616968800093E-2</v>
      </c>
      <c r="AB12" s="15">
        <v>0.49145800000000001</v>
      </c>
      <c r="AC12" s="15">
        <f>Table132810[[#This Row],[Current GP %]]-Table132810[[#This Row],[Prior Month3 GP]]</f>
        <v>2.1775616968800093E-2</v>
      </c>
      <c r="AD12" s="14">
        <v>197359.43</v>
      </c>
      <c r="AE12" s="16">
        <f>IF(Table132810[[#This Row],[Estimated Total Direct Costs]]=0,0,+Table132810[[#This Row],[Direct Cost To Date]]/Table132810[[#This Row],[Estimated Total Direct Costs]])</f>
        <v>1</v>
      </c>
      <c r="AF12" s="14">
        <f>+Table132810[[#This Row],[Estimated Gross Profit (Loss)]]*Table132810[[#This Row],[% Complete]]</f>
        <v>208090.57</v>
      </c>
      <c r="AG12" s="14"/>
      <c r="AH12" s="14">
        <f>+Table132810[[#This Row],[Total Gross Profit Recognized To Date]]-Table132810[[#This Row],[Gross Profit Recognized Prior Years]]</f>
        <v>208090.57</v>
      </c>
      <c r="AI12" s="14">
        <v>405450</v>
      </c>
      <c r="AJ12" s="14">
        <f>Table132810[[#This Row],[Adjusted Contract Price]]-Table132810[[#This Row],[Total Amount Billed To Date]]</f>
        <v>0</v>
      </c>
      <c r="AK12" s="14">
        <v>0</v>
      </c>
      <c r="AL12" s="15">
        <f>IF(Table132810[[#This Row],[Total Amount Billed To Date]]=0,0,+Table132810[[#This Row],[Current Retainage Amount]]/Table132810[[#This Row],[Total Amount Billed To Date]])</f>
        <v>0</v>
      </c>
      <c r="AM12" s="14">
        <v>405450</v>
      </c>
      <c r="AN12" s="14">
        <f>Table132810[[#This Row],[Cash Received]]-Table132810[[#This Row],[Direct Cost To Date]]</f>
        <v>208090.57</v>
      </c>
      <c r="AO12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2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2" s="14">
        <v>0</v>
      </c>
      <c r="AR12" s="14">
        <v>4860</v>
      </c>
      <c r="AS12" s="14">
        <v>0</v>
      </c>
      <c r="AT12" s="14">
        <v>405450</v>
      </c>
      <c r="AU12" s="14">
        <v>0</v>
      </c>
      <c r="AV12" s="14">
        <v>0</v>
      </c>
      <c r="AW12" s="9">
        <v>45734</v>
      </c>
    </row>
    <row r="13" spans="1:49" ht="12.75" customHeight="1" x14ac:dyDescent="0.2">
      <c r="A13" t="s">
        <v>83</v>
      </c>
      <c r="B13" t="s">
        <v>84</v>
      </c>
      <c r="C13" t="s">
        <v>85</v>
      </c>
      <c r="D13" t="s">
        <v>54</v>
      </c>
      <c r="E13" t="s">
        <v>54</v>
      </c>
      <c r="F13" t="s">
        <v>78</v>
      </c>
      <c r="G13" s="2" t="s">
        <v>56</v>
      </c>
      <c r="H13" s="14">
        <v>52500</v>
      </c>
      <c r="I13" s="14">
        <v>12400</v>
      </c>
      <c r="J13" s="14">
        <f>Table132810[[#This Row],[Adjusted Contract Price]]-Table132810[[#This Row],[Base Contract]]-Table132810[[#This Row],[Approved Change Orders]]</f>
        <v>0</v>
      </c>
      <c r="K13" s="14"/>
      <c r="L13" s="14">
        <v>64900</v>
      </c>
      <c r="M13" s="14">
        <v>22247</v>
      </c>
      <c r="N13" s="14">
        <v>0</v>
      </c>
      <c r="O13" s="14">
        <v>0</v>
      </c>
      <c r="P13" s="14">
        <f>Table132810[[#This Row],[Base Contract]]-Table132810[[#This Row],[QU Original Budget]]</f>
        <v>52500</v>
      </c>
      <c r="Q13" s="14">
        <f>Table132810[[#This Row],[Approved Change Orders]]-Table132810[[#This Row],[CO Change Order Budget]]</f>
        <v>12400</v>
      </c>
      <c r="R13" s="14">
        <v>0</v>
      </c>
      <c r="S13" s="14">
        <f>Table132810[[#This Row],[Total Direct Budget]]-Table132810[[#This Row],[Estimated Total Direct Costs]]</f>
        <v>-22247</v>
      </c>
      <c r="T13" s="14">
        <f>+Table132810[[#This Row],[Adjusted Contract Price]]-Table132810[[#This Row],[Total Direct Budget]]</f>
        <v>64900</v>
      </c>
      <c r="U13" s="14">
        <f>+Table132810[[#This Row],[Adjusted Contract Price]]-Table132810[[#This Row],[Estimated Total Direct Costs]]</f>
        <v>42653</v>
      </c>
      <c r="V13" s="15">
        <f>IF(Table132810[[#This Row],[Adjusted Contract Price]]=0,0,+Table132810[[#This Row],[Budgeted Gross Profit (Loss)]]/Table132810[[#This Row],[Adjusted Contract Price]])</f>
        <v>1</v>
      </c>
      <c r="W13" s="15">
        <f>IF(Table132810[[#This Row],[Adjusted Contract Price]]=0,0,+Table132810[[#This Row],[Estimated Gross Profit (Loss)]]/Table132810[[#This Row],[Adjusted Contract Price]])</f>
        <v>0.65721109399075506</v>
      </c>
      <c r="X13" s="15">
        <v>0</v>
      </c>
      <c r="Y13" s="15">
        <f>Table132810[[#This Row],[Current GP %]]-Table132810[[#This Row],[Prior Month1 GP]]</f>
        <v>0.65721109399075506</v>
      </c>
      <c r="Z13" s="15">
        <v>0</v>
      </c>
      <c r="AA13" s="15">
        <f>Table132810[[#This Row],[Current GP %]]-Table132810[[#This Row],[Prior Month2 GP]]</f>
        <v>0.65721109399075506</v>
      </c>
      <c r="AB13" s="15">
        <v>0</v>
      </c>
      <c r="AC13" s="15">
        <f>Table132810[[#This Row],[Current GP %]]-Table132810[[#This Row],[Prior Month3 GP]]</f>
        <v>0.65721109399075506</v>
      </c>
      <c r="AD13" s="14">
        <v>22247</v>
      </c>
      <c r="AE13" s="16">
        <f>IF(Table132810[[#This Row],[Estimated Total Direct Costs]]=0,0,+Table132810[[#This Row],[Direct Cost To Date]]/Table132810[[#This Row],[Estimated Total Direct Costs]])</f>
        <v>1</v>
      </c>
      <c r="AF13" s="14">
        <f>+Table132810[[#This Row],[Estimated Gross Profit (Loss)]]*Table132810[[#This Row],[% Complete]]</f>
        <v>42653</v>
      </c>
      <c r="AG13" s="14"/>
      <c r="AH13" s="14">
        <f>+Table132810[[#This Row],[Total Gross Profit Recognized To Date]]-Table132810[[#This Row],[Gross Profit Recognized Prior Years]]</f>
        <v>42653</v>
      </c>
      <c r="AI13" s="14">
        <v>64900</v>
      </c>
      <c r="AJ13" s="14">
        <f>Table132810[[#This Row],[Adjusted Contract Price]]-Table132810[[#This Row],[Total Amount Billed To Date]]</f>
        <v>0</v>
      </c>
      <c r="AK13" s="14">
        <v>0</v>
      </c>
      <c r="AL13" s="15">
        <f>IF(Table132810[[#This Row],[Total Amount Billed To Date]]=0,0,+Table132810[[#This Row],[Current Retainage Amount]]/Table132810[[#This Row],[Total Amount Billed To Date]])</f>
        <v>0</v>
      </c>
      <c r="AM13" s="14">
        <v>64900</v>
      </c>
      <c r="AN13" s="14">
        <f>Table132810[[#This Row],[Cash Received]]-Table132810[[#This Row],[Direct Cost To Date]]</f>
        <v>42653</v>
      </c>
      <c r="AO13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3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3" s="14">
        <v>0</v>
      </c>
      <c r="AR13" s="14">
        <v>0</v>
      </c>
      <c r="AS13" s="14">
        <v>0</v>
      </c>
      <c r="AT13" s="14">
        <v>64900</v>
      </c>
      <c r="AU13" s="14">
        <v>0</v>
      </c>
      <c r="AV13" s="14">
        <v>0</v>
      </c>
      <c r="AW13" s="9">
        <v>45175</v>
      </c>
    </row>
    <row r="14" spans="1:49" ht="12.75" customHeight="1" x14ac:dyDescent="0.2">
      <c r="A14" t="s">
        <v>95</v>
      </c>
      <c r="B14" t="s">
        <v>96</v>
      </c>
      <c r="C14" t="s">
        <v>74</v>
      </c>
      <c r="D14" t="s">
        <v>54</v>
      </c>
      <c r="E14" t="s">
        <v>54</v>
      </c>
      <c r="F14" t="s">
        <v>55</v>
      </c>
      <c r="G14" s="2" t="s">
        <v>56</v>
      </c>
      <c r="H14" s="14">
        <v>425000</v>
      </c>
      <c r="I14" s="14">
        <v>0</v>
      </c>
      <c r="J14" s="14">
        <f>Table132810[[#This Row],[Adjusted Contract Price]]-Table132810[[#This Row],[Base Contract]]-Table132810[[#This Row],[Approved Change Orders]]</f>
        <v>0</v>
      </c>
      <c r="K14" s="14"/>
      <c r="L14" s="14">
        <v>425000</v>
      </c>
      <c r="M14" s="14">
        <v>321840.71000000002</v>
      </c>
      <c r="N14" s="14">
        <v>0</v>
      </c>
      <c r="O14" s="14">
        <v>0</v>
      </c>
      <c r="P14" s="14">
        <f>Table132810[[#This Row],[Base Contract]]-Table132810[[#This Row],[QU Original Budget]]</f>
        <v>425000</v>
      </c>
      <c r="Q14" s="14">
        <f>Table132810[[#This Row],[Approved Change Orders]]-Table132810[[#This Row],[CO Change Order Budget]]</f>
        <v>0</v>
      </c>
      <c r="R14" s="14">
        <v>0</v>
      </c>
      <c r="S14" s="14">
        <f>Table132810[[#This Row],[Total Direct Budget]]-Table132810[[#This Row],[Estimated Total Direct Costs]]</f>
        <v>-321840.71000000002</v>
      </c>
      <c r="T14" s="14">
        <f>+Table132810[[#This Row],[Adjusted Contract Price]]-Table132810[[#This Row],[Total Direct Budget]]</f>
        <v>425000</v>
      </c>
      <c r="U14" s="14">
        <f>+Table132810[[#This Row],[Adjusted Contract Price]]-Table132810[[#This Row],[Estimated Total Direct Costs]]</f>
        <v>103159.28999999998</v>
      </c>
      <c r="V14" s="15">
        <f>IF(Table132810[[#This Row],[Adjusted Contract Price]]=0,0,+Table132810[[#This Row],[Budgeted Gross Profit (Loss)]]/Table132810[[#This Row],[Adjusted Contract Price]])</f>
        <v>1</v>
      </c>
      <c r="W14" s="15">
        <f>IF(Table132810[[#This Row],[Adjusted Contract Price]]=0,0,+Table132810[[#This Row],[Estimated Gross Profit (Loss)]]/Table132810[[#This Row],[Adjusted Contract Price]])</f>
        <v>0.24272774117647053</v>
      </c>
      <c r="X14" s="15">
        <v>0</v>
      </c>
      <c r="Y14" s="15">
        <f>Table132810[[#This Row],[Current GP %]]-Table132810[[#This Row],[Prior Month1 GP]]</f>
        <v>0.24272774117647053</v>
      </c>
      <c r="Z14" s="15">
        <v>0</v>
      </c>
      <c r="AA14" s="15">
        <f>Table132810[[#This Row],[Current GP %]]-Table132810[[#This Row],[Prior Month2 GP]]</f>
        <v>0.24272774117647053</v>
      </c>
      <c r="AB14" s="15">
        <v>0</v>
      </c>
      <c r="AC14" s="15">
        <f>Table132810[[#This Row],[Current GP %]]-Table132810[[#This Row],[Prior Month3 GP]]</f>
        <v>0.24272774117647053</v>
      </c>
      <c r="AD14" s="14">
        <v>321840.71000000002</v>
      </c>
      <c r="AE14" s="16">
        <f>IF(Table132810[[#This Row],[Estimated Total Direct Costs]]=0,0,+Table132810[[#This Row],[Direct Cost To Date]]/Table132810[[#This Row],[Estimated Total Direct Costs]])</f>
        <v>1</v>
      </c>
      <c r="AF14" s="14">
        <f>+Table132810[[#This Row],[Estimated Gross Profit (Loss)]]*Table132810[[#This Row],[% Complete]]</f>
        <v>103159.28999999998</v>
      </c>
      <c r="AG14" s="14"/>
      <c r="AH14" s="14">
        <f>+Table132810[[#This Row],[Total Gross Profit Recognized To Date]]-Table132810[[#This Row],[Gross Profit Recognized Prior Years]]</f>
        <v>103159.28999999998</v>
      </c>
      <c r="AI14" s="14">
        <v>425000</v>
      </c>
      <c r="AJ14" s="14">
        <f>Table132810[[#This Row],[Adjusted Contract Price]]-Table132810[[#This Row],[Total Amount Billed To Date]]</f>
        <v>0</v>
      </c>
      <c r="AK14" s="14">
        <v>0</v>
      </c>
      <c r="AL14" s="15">
        <f>IF(Table132810[[#This Row],[Total Amount Billed To Date]]=0,0,+Table132810[[#This Row],[Current Retainage Amount]]/Table132810[[#This Row],[Total Amount Billed To Date]])</f>
        <v>0</v>
      </c>
      <c r="AM14" s="14">
        <v>425000</v>
      </c>
      <c r="AN14" s="14">
        <f>Table132810[[#This Row],[Cash Received]]-Table132810[[#This Row],[Direct Cost To Date]]</f>
        <v>103159.28999999998</v>
      </c>
      <c r="AO14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4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4" s="14">
        <v>0</v>
      </c>
      <c r="AR14" s="14">
        <v>0</v>
      </c>
      <c r="AS14" s="14">
        <v>0</v>
      </c>
      <c r="AT14" s="14">
        <v>425000</v>
      </c>
      <c r="AU14" s="14">
        <v>0</v>
      </c>
      <c r="AV14" s="14">
        <v>0</v>
      </c>
      <c r="AW14" s="9">
        <v>45175</v>
      </c>
    </row>
    <row r="15" spans="1:49" ht="12.75" customHeight="1" x14ac:dyDescent="0.2">
      <c r="A15" t="s">
        <v>97</v>
      </c>
      <c r="B15" t="s">
        <v>98</v>
      </c>
      <c r="C15" t="s">
        <v>54</v>
      </c>
      <c r="D15" t="s">
        <v>54</v>
      </c>
      <c r="E15" t="s">
        <v>54</v>
      </c>
      <c r="F15" t="s">
        <v>99</v>
      </c>
      <c r="G15" s="2" t="s">
        <v>56</v>
      </c>
      <c r="H15" s="14">
        <v>91980</v>
      </c>
      <c r="I15" s="14">
        <v>9500</v>
      </c>
      <c r="J15" s="14">
        <f>Table132810[[#This Row],[Adjusted Contract Price]]-Table132810[[#This Row],[Base Contract]]-Table132810[[#This Row],[Approved Change Orders]]</f>
        <v>0</v>
      </c>
      <c r="K15" s="14"/>
      <c r="L15" s="14">
        <v>101480</v>
      </c>
      <c r="M15" s="14">
        <v>48804.98</v>
      </c>
      <c r="N15" s="14">
        <v>0</v>
      </c>
      <c r="O15" s="14">
        <v>0</v>
      </c>
      <c r="P15" s="14">
        <f>Table132810[[#This Row],[Base Contract]]-Table132810[[#This Row],[QU Original Budget]]</f>
        <v>91980</v>
      </c>
      <c r="Q15" s="14">
        <f>Table132810[[#This Row],[Approved Change Orders]]-Table132810[[#This Row],[CO Change Order Budget]]</f>
        <v>9500</v>
      </c>
      <c r="R15" s="14">
        <v>0</v>
      </c>
      <c r="S15" s="14">
        <f>Table132810[[#This Row],[Total Direct Budget]]-Table132810[[#This Row],[Estimated Total Direct Costs]]</f>
        <v>-48804.98</v>
      </c>
      <c r="T15" s="14">
        <f>+Table132810[[#This Row],[Adjusted Contract Price]]-Table132810[[#This Row],[Total Direct Budget]]</f>
        <v>101480</v>
      </c>
      <c r="U15" s="14">
        <f>+Table132810[[#This Row],[Adjusted Contract Price]]-Table132810[[#This Row],[Estimated Total Direct Costs]]</f>
        <v>52675.02</v>
      </c>
      <c r="V15" s="15">
        <f>IF(Table132810[[#This Row],[Adjusted Contract Price]]=0,0,+Table132810[[#This Row],[Budgeted Gross Profit (Loss)]]/Table132810[[#This Row],[Adjusted Contract Price]])</f>
        <v>1</v>
      </c>
      <c r="W15" s="15">
        <f>IF(Table132810[[#This Row],[Adjusted Contract Price]]=0,0,+Table132810[[#This Row],[Estimated Gross Profit (Loss)]]/Table132810[[#This Row],[Adjusted Contract Price]])</f>
        <v>0.51906799369333856</v>
      </c>
      <c r="X15" s="15">
        <v>0</v>
      </c>
      <c r="Y15" s="15">
        <f>Table132810[[#This Row],[Current GP %]]-Table132810[[#This Row],[Prior Month1 GP]]</f>
        <v>0.51906799369333856</v>
      </c>
      <c r="Z15" s="15">
        <v>0</v>
      </c>
      <c r="AA15" s="15">
        <f>Table132810[[#This Row],[Current GP %]]-Table132810[[#This Row],[Prior Month2 GP]]</f>
        <v>0.51906799369333856</v>
      </c>
      <c r="AB15" s="15">
        <v>0</v>
      </c>
      <c r="AC15" s="15">
        <f>Table132810[[#This Row],[Current GP %]]-Table132810[[#This Row],[Prior Month3 GP]]</f>
        <v>0.51906799369333856</v>
      </c>
      <c r="AD15" s="14">
        <v>48804.98</v>
      </c>
      <c r="AE15" s="16">
        <f>IF(Table132810[[#This Row],[Estimated Total Direct Costs]]=0,0,+Table132810[[#This Row],[Direct Cost To Date]]/Table132810[[#This Row],[Estimated Total Direct Costs]])</f>
        <v>1</v>
      </c>
      <c r="AF15" s="14">
        <f>+Table132810[[#This Row],[Estimated Gross Profit (Loss)]]*Table132810[[#This Row],[% Complete]]</f>
        <v>52675.02</v>
      </c>
      <c r="AG15" s="14"/>
      <c r="AH15" s="14">
        <f>+Table132810[[#This Row],[Total Gross Profit Recognized To Date]]-Table132810[[#This Row],[Gross Profit Recognized Prior Years]]</f>
        <v>52675.02</v>
      </c>
      <c r="AI15" s="14">
        <v>101480</v>
      </c>
      <c r="AJ15" s="14">
        <f>Table132810[[#This Row],[Adjusted Contract Price]]-Table132810[[#This Row],[Total Amount Billed To Date]]</f>
        <v>0</v>
      </c>
      <c r="AK15" s="14">
        <v>0</v>
      </c>
      <c r="AL15" s="15">
        <f>IF(Table132810[[#This Row],[Total Amount Billed To Date]]=0,0,+Table132810[[#This Row],[Current Retainage Amount]]/Table132810[[#This Row],[Total Amount Billed To Date]])</f>
        <v>0</v>
      </c>
      <c r="AM15" s="14">
        <v>101480</v>
      </c>
      <c r="AN15" s="14">
        <f>Table132810[[#This Row],[Cash Received]]-Table132810[[#This Row],[Direct Cost To Date]]</f>
        <v>52675.02</v>
      </c>
      <c r="AO15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5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5" s="14">
        <v>0</v>
      </c>
      <c r="AR15" s="14">
        <v>0</v>
      </c>
      <c r="AS15" s="14">
        <v>0</v>
      </c>
      <c r="AT15" s="14">
        <v>101480</v>
      </c>
      <c r="AU15" s="14">
        <v>0</v>
      </c>
      <c r="AV15" s="14">
        <v>0</v>
      </c>
      <c r="AW15" s="9">
        <v>44561</v>
      </c>
    </row>
    <row r="16" spans="1:49" ht="12.75" customHeight="1" x14ac:dyDescent="0.2">
      <c r="A16" t="s">
        <v>100</v>
      </c>
      <c r="B16" t="s">
        <v>101</v>
      </c>
      <c r="C16" t="s">
        <v>102</v>
      </c>
      <c r="D16" t="s">
        <v>54</v>
      </c>
      <c r="E16" t="s">
        <v>54</v>
      </c>
      <c r="F16" t="s">
        <v>55</v>
      </c>
      <c r="G16" s="2" t="s">
        <v>56</v>
      </c>
      <c r="H16" s="14">
        <v>352000</v>
      </c>
      <c r="I16" s="14">
        <v>33812.04</v>
      </c>
      <c r="J16" s="14">
        <f>Table132810[[#This Row],[Adjusted Contract Price]]-Table132810[[#This Row],[Base Contract]]-Table132810[[#This Row],[Approved Change Orders]]</f>
        <v>0</v>
      </c>
      <c r="K16" s="14"/>
      <c r="L16" s="14">
        <v>385812.04</v>
      </c>
      <c r="M16" s="14">
        <v>219653.46</v>
      </c>
      <c r="N16" s="14">
        <v>287820</v>
      </c>
      <c r="O16" s="14">
        <v>24384.98</v>
      </c>
      <c r="P16" s="14">
        <f>Table132810[[#This Row],[Base Contract]]-Table132810[[#This Row],[QU Original Budget]]</f>
        <v>64180</v>
      </c>
      <c r="Q16" s="14">
        <f>Table132810[[#This Row],[Approved Change Orders]]-Table132810[[#This Row],[CO Change Order Budget]]</f>
        <v>9427.0600000000013</v>
      </c>
      <c r="R16" s="14">
        <v>312204.98</v>
      </c>
      <c r="S16" s="14">
        <f>Table132810[[#This Row],[Total Direct Budget]]-Table132810[[#This Row],[Estimated Total Direct Costs]]</f>
        <v>92551.51999999999</v>
      </c>
      <c r="T16" s="14">
        <f>+Table132810[[#This Row],[Adjusted Contract Price]]-Table132810[[#This Row],[Total Direct Budget]]</f>
        <v>73607.06</v>
      </c>
      <c r="U16" s="14">
        <f>+Table132810[[#This Row],[Adjusted Contract Price]]-Table132810[[#This Row],[Estimated Total Direct Costs]]</f>
        <v>166158.57999999999</v>
      </c>
      <c r="V16" s="15">
        <f>IF(Table132810[[#This Row],[Adjusted Contract Price]]=0,0,+Table132810[[#This Row],[Budgeted Gross Profit (Loss)]]/Table132810[[#This Row],[Adjusted Contract Price]])</f>
        <v>0.19078476659256149</v>
      </c>
      <c r="W16" s="15">
        <f>IF(Table132810[[#This Row],[Adjusted Contract Price]]=0,0,+Table132810[[#This Row],[Estimated Gross Profit (Loss)]]/Table132810[[#This Row],[Adjusted Contract Price]])</f>
        <v>0.43067235537802295</v>
      </c>
      <c r="X16" s="15">
        <v>0.80921500000000002</v>
      </c>
      <c r="Y16" s="15">
        <f>Table132810[[#This Row],[Current GP %]]-Table132810[[#This Row],[Prior Month1 GP]]</f>
        <v>-0.37854264462197706</v>
      </c>
      <c r="Z16" s="15">
        <v>0.80921500000000002</v>
      </c>
      <c r="AA16" s="15">
        <f>Table132810[[#This Row],[Current GP %]]-Table132810[[#This Row],[Prior Month2 GP]]</f>
        <v>-0.37854264462197706</v>
      </c>
      <c r="AB16" s="15">
        <v>0.80921500000000002</v>
      </c>
      <c r="AC16" s="15">
        <f>Table132810[[#This Row],[Current GP %]]-Table132810[[#This Row],[Prior Month3 GP]]</f>
        <v>-0.37854264462197706</v>
      </c>
      <c r="AD16" s="14">
        <v>219653.46</v>
      </c>
      <c r="AE16" s="16">
        <f>IF(Table132810[[#This Row],[Estimated Total Direct Costs]]=0,0,+Table132810[[#This Row],[Direct Cost To Date]]/Table132810[[#This Row],[Estimated Total Direct Costs]])</f>
        <v>1</v>
      </c>
      <c r="AF16" s="14">
        <f>+Table132810[[#This Row],[Estimated Gross Profit (Loss)]]*Table132810[[#This Row],[% Complete]]</f>
        <v>166158.57999999999</v>
      </c>
      <c r="AG16" s="14"/>
      <c r="AH16" s="14">
        <f>+Table132810[[#This Row],[Total Gross Profit Recognized To Date]]-Table132810[[#This Row],[Gross Profit Recognized Prior Years]]</f>
        <v>166158.57999999999</v>
      </c>
      <c r="AI16" s="14">
        <v>385812.04</v>
      </c>
      <c r="AJ16" s="14">
        <f>Table132810[[#This Row],[Adjusted Contract Price]]-Table132810[[#This Row],[Total Amount Billed To Date]]</f>
        <v>0</v>
      </c>
      <c r="AK16" s="14">
        <v>0</v>
      </c>
      <c r="AL16" s="15">
        <f>IF(Table132810[[#This Row],[Total Amount Billed To Date]]=0,0,+Table132810[[#This Row],[Current Retainage Amount]]/Table132810[[#This Row],[Total Amount Billed To Date]])</f>
        <v>0</v>
      </c>
      <c r="AM16" s="14">
        <v>385812.04</v>
      </c>
      <c r="AN16" s="14">
        <f>Table132810[[#This Row],[Cash Received]]-Table132810[[#This Row],[Direct Cost To Date]]</f>
        <v>166158.57999999999</v>
      </c>
      <c r="AO16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6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6" s="14">
        <v>0</v>
      </c>
      <c r="AR16" s="14">
        <v>0</v>
      </c>
      <c r="AS16" s="14">
        <v>0</v>
      </c>
      <c r="AT16" s="14">
        <v>385812.04</v>
      </c>
      <c r="AU16" s="14">
        <v>10458.67</v>
      </c>
      <c r="AV16" s="14">
        <v>0</v>
      </c>
      <c r="AW16" s="9">
        <v>45175</v>
      </c>
    </row>
    <row r="17" spans="1:49" ht="12.75" customHeight="1" x14ac:dyDescent="0.2">
      <c r="A17" t="s">
        <v>103</v>
      </c>
      <c r="B17" t="s">
        <v>104</v>
      </c>
      <c r="C17" t="s">
        <v>105</v>
      </c>
      <c r="D17" t="s">
        <v>54</v>
      </c>
      <c r="E17" t="s">
        <v>54</v>
      </c>
      <c r="F17" t="s">
        <v>78</v>
      </c>
      <c r="G17" s="2" t="s">
        <v>56</v>
      </c>
      <c r="H17" s="14">
        <v>30000</v>
      </c>
      <c r="I17" s="14">
        <v>0</v>
      </c>
      <c r="J17" s="14">
        <f>Table132810[[#This Row],[Adjusted Contract Price]]-Table132810[[#This Row],[Base Contract]]-Table132810[[#This Row],[Approved Change Orders]]</f>
        <v>0</v>
      </c>
      <c r="K17" s="14"/>
      <c r="L17" s="14">
        <v>30000</v>
      </c>
      <c r="M17" s="14">
        <v>15209.84</v>
      </c>
      <c r="N17" s="14">
        <v>21000</v>
      </c>
      <c r="O17" s="14">
        <v>0</v>
      </c>
      <c r="P17" s="14">
        <f>Table132810[[#This Row],[Base Contract]]-Table132810[[#This Row],[QU Original Budget]]</f>
        <v>9000</v>
      </c>
      <c r="Q17" s="14">
        <f>Table132810[[#This Row],[Approved Change Orders]]-Table132810[[#This Row],[CO Change Order Budget]]</f>
        <v>0</v>
      </c>
      <c r="R17" s="14">
        <v>21000</v>
      </c>
      <c r="S17" s="14">
        <f>Table132810[[#This Row],[Total Direct Budget]]-Table132810[[#This Row],[Estimated Total Direct Costs]]</f>
        <v>5790.16</v>
      </c>
      <c r="T17" s="14">
        <f>+Table132810[[#This Row],[Adjusted Contract Price]]-Table132810[[#This Row],[Total Direct Budget]]</f>
        <v>9000</v>
      </c>
      <c r="U17" s="14">
        <f>+Table132810[[#This Row],[Adjusted Contract Price]]-Table132810[[#This Row],[Estimated Total Direct Costs]]</f>
        <v>14790.16</v>
      </c>
      <c r="V17" s="15">
        <f>IF(Table132810[[#This Row],[Adjusted Contract Price]]=0,0,+Table132810[[#This Row],[Budgeted Gross Profit (Loss)]]/Table132810[[#This Row],[Adjusted Contract Price]])</f>
        <v>0.3</v>
      </c>
      <c r="W17" s="15">
        <f>IF(Table132810[[#This Row],[Adjusted Contract Price]]=0,0,+Table132810[[#This Row],[Estimated Gross Profit (Loss)]]/Table132810[[#This Row],[Adjusted Contract Price]])</f>
        <v>0.49300533333333335</v>
      </c>
      <c r="X17" s="15">
        <v>0.7</v>
      </c>
      <c r="Y17" s="15">
        <f>Table132810[[#This Row],[Current GP %]]-Table132810[[#This Row],[Prior Month1 GP]]</f>
        <v>-0.2069946666666666</v>
      </c>
      <c r="Z17" s="15">
        <v>0.7</v>
      </c>
      <c r="AA17" s="15">
        <f>Table132810[[#This Row],[Current GP %]]-Table132810[[#This Row],[Prior Month2 GP]]</f>
        <v>-0.2069946666666666</v>
      </c>
      <c r="AB17" s="15">
        <v>0.7</v>
      </c>
      <c r="AC17" s="15">
        <f>Table132810[[#This Row],[Current GP %]]-Table132810[[#This Row],[Prior Month3 GP]]</f>
        <v>-0.2069946666666666</v>
      </c>
      <c r="AD17" s="14">
        <v>15209.84</v>
      </c>
      <c r="AE17" s="16">
        <f>IF(Table132810[[#This Row],[Estimated Total Direct Costs]]=0,0,+Table132810[[#This Row],[Direct Cost To Date]]/Table132810[[#This Row],[Estimated Total Direct Costs]])</f>
        <v>1</v>
      </c>
      <c r="AF17" s="14">
        <f>+Table132810[[#This Row],[Estimated Gross Profit (Loss)]]*Table132810[[#This Row],[% Complete]]</f>
        <v>14790.16</v>
      </c>
      <c r="AG17" s="14"/>
      <c r="AH17" s="14">
        <f>+Table132810[[#This Row],[Total Gross Profit Recognized To Date]]-Table132810[[#This Row],[Gross Profit Recognized Prior Years]]</f>
        <v>14790.16</v>
      </c>
      <c r="AI17" s="14">
        <v>30000</v>
      </c>
      <c r="AJ17" s="14">
        <f>Table132810[[#This Row],[Adjusted Contract Price]]-Table132810[[#This Row],[Total Amount Billed To Date]]</f>
        <v>0</v>
      </c>
      <c r="AK17" s="14">
        <v>0</v>
      </c>
      <c r="AL17" s="15">
        <f>IF(Table132810[[#This Row],[Total Amount Billed To Date]]=0,0,+Table132810[[#This Row],[Current Retainage Amount]]/Table132810[[#This Row],[Total Amount Billed To Date]])</f>
        <v>0</v>
      </c>
      <c r="AM17" s="14">
        <v>30000</v>
      </c>
      <c r="AN17" s="14">
        <f>Table132810[[#This Row],[Cash Received]]-Table132810[[#This Row],[Direct Cost To Date]]</f>
        <v>14790.16</v>
      </c>
      <c r="AO17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7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7" s="14">
        <v>0</v>
      </c>
      <c r="AR17" s="14">
        <v>0</v>
      </c>
      <c r="AS17" s="14">
        <v>0</v>
      </c>
      <c r="AT17" s="14">
        <v>30000</v>
      </c>
      <c r="AU17" s="14">
        <v>0</v>
      </c>
      <c r="AV17" s="14">
        <v>0</v>
      </c>
      <c r="AW17" s="9">
        <v>45267</v>
      </c>
    </row>
    <row r="18" spans="1:49" ht="12.75" customHeight="1" x14ac:dyDescent="0.2">
      <c r="A18" t="s">
        <v>110</v>
      </c>
      <c r="B18" t="s">
        <v>111</v>
      </c>
      <c r="C18" t="s">
        <v>112</v>
      </c>
      <c r="D18" t="s">
        <v>54</v>
      </c>
      <c r="E18" t="s">
        <v>54</v>
      </c>
      <c r="F18" t="s">
        <v>78</v>
      </c>
      <c r="G18" s="2" t="s">
        <v>56</v>
      </c>
      <c r="H18" s="14">
        <v>133850</v>
      </c>
      <c r="I18" s="14">
        <v>400</v>
      </c>
      <c r="J18" s="14">
        <f>Table132810[[#This Row],[Adjusted Contract Price]]-Table132810[[#This Row],[Base Contract]]-Table132810[[#This Row],[Approved Change Orders]]</f>
        <v>0</v>
      </c>
      <c r="K18" s="14"/>
      <c r="L18" s="14">
        <v>134250</v>
      </c>
      <c r="M18" s="14">
        <v>21695.279999999999</v>
      </c>
      <c r="N18" s="14">
        <v>100850</v>
      </c>
      <c r="O18" s="14">
        <v>0</v>
      </c>
      <c r="P18" s="14">
        <f>Table132810[[#This Row],[Base Contract]]-Table132810[[#This Row],[QU Original Budget]]</f>
        <v>33000</v>
      </c>
      <c r="Q18" s="14">
        <f>Table132810[[#This Row],[Approved Change Orders]]-Table132810[[#This Row],[CO Change Order Budget]]</f>
        <v>400</v>
      </c>
      <c r="R18" s="14">
        <v>100850</v>
      </c>
      <c r="S18" s="14">
        <f>Table132810[[#This Row],[Total Direct Budget]]-Table132810[[#This Row],[Estimated Total Direct Costs]]</f>
        <v>79154.720000000001</v>
      </c>
      <c r="T18" s="14">
        <f>+Table132810[[#This Row],[Adjusted Contract Price]]-Table132810[[#This Row],[Total Direct Budget]]</f>
        <v>33400</v>
      </c>
      <c r="U18" s="14">
        <f>+Table132810[[#This Row],[Adjusted Contract Price]]-Table132810[[#This Row],[Estimated Total Direct Costs]]</f>
        <v>112554.72</v>
      </c>
      <c r="V18" s="15">
        <f>IF(Table132810[[#This Row],[Adjusted Contract Price]]=0,0,+Table132810[[#This Row],[Budgeted Gross Profit (Loss)]]/Table132810[[#This Row],[Adjusted Contract Price]])</f>
        <v>0.24878957169459961</v>
      </c>
      <c r="W18" s="15">
        <f>IF(Table132810[[#This Row],[Adjusted Contract Price]]=0,0,+Table132810[[#This Row],[Estimated Gross Profit (Loss)]]/Table132810[[#This Row],[Adjusted Contract Price]])</f>
        <v>0.83839642458100561</v>
      </c>
      <c r="X18" s="15">
        <v>0.75121000000000004</v>
      </c>
      <c r="Y18" s="15">
        <f>Table132810[[#This Row],[Current GP %]]-Table132810[[#This Row],[Prior Month1 GP]]</f>
        <v>8.7186424581005562E-2</v>
      </c>
      <c r="Z18" s="15">
        <v>0.75121000000000004</v>
      </c>
      <c r="AA18" s="15">
        <f>Table132810[[#This Row],[Current GP %]]-Table132810[[#This Row],[Prior Month2 GP]]</f>
        <v>8.7186424581005562E-2</v>
      </c>
      <c r="AB18" s="15">
        <v>0.75121000000000004</v>
      </c>
      <c r="AC18" s="15">
        <f>Table132810[[#This Row],[Current GP %]]-Table132810[[#This Row],[Prior Month3 GP]]</f>
        <v>8.7186424581005562E-2</v>
      </c>
      <c r="AD18" s="14">
        <v>21695.279999999999</v>
      </c>
      <c r="AE18" s="16">
        <f>IF(Table132810[[#This Row],[Estimated Total Direct Costs]]=0,0,+Table132810[[#This Row],[Direct Cost To Date]]/Table132810[[#This Row],[Estimated Total Direct Costs]])</f>
        <v>1</v>
      </c>
      <c r="AF18" s="14">
        <f>+Table132810[[#This Row],[Estimated Gross Profit (Loss)]]*Table132810[[#This Row],[% Complete]]</f>
        <v>112554.72</v>
      </c>
      <c r="AG18" s="14"/>
      <c r="AH18" s="14">
        <f>+Table132810[[#This Row],[Total Gross Profit Recognized To Date]]-Table132810[[#This Row],[Gross Profit Recognized Prior Years]]</f>
        <v>112554.72</v>
      </c>
      <c r="AI18" s="14">
        <v>134250</v>
      </c>
      <c r="AJ18" s="14">
        <f>Table132810[[#This Row],[Adjusted Contract Price]]-Table132810[[#This Row],[Total Amount Billed To Date]]</f>
        <v>0</v>
      </c>
      <c r="AK18" s="14">
        <v>0</v>
      </c>
      <c r="AL18" s="15">
        <f>IF(Table132810[[#This Row],[Total Amount Billed To Date]]=0,0,+Table132810[[#This Row],[Current Retainage Amount]]/Table132810[[#This Row],[Total Amount Billed To Date]])</f>
        <v>0</v>
      </c>
      <c r="AM18" s="14">
        <v>134250</v>
      </c>
      <c r="AN18" s="14">
        <f>Table132810[[#This Row],[Cash Received]]-Table132810[[#This Row],[Direct Cost To Date]]</f>
        <v>112554.72</v>
      </c>
      <c r="AO18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8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8" s="14">
        <v>0</v>
      </c>
      <c r="AR18" s="14">
        <v>0</v>
      </c>
      <c r="AS18" s="14">
        <v>0</v>
      </c>
      <c r="AT18" s="14">
        <v>134250</v>
      </c>
      <c r="AU18" s="14">
        <v>0</v>
      </c>
      <c r="AV18" s="14">
        <v>0</v>
      </c>
      <c r="AW18" s="9">
        <v>45267</v>
      </c>
    </row>
    <row r="19" spans="1:49" ht="12.75" customHeight="1" x14ac:dyDescent="0.2">
      <c r="A19" t="s">
        <v>117</v>
      </c>
      <c r="B19" t="s">
        <v>118</v>
      </c>
      <c r="C19" t="s">
        <v>119</v>
      </c>
      <c r="D19" t="s">
        <v>54</v>
      </c>
      <c r="E19" t="s">
        <v>54</v>
      </c>
      <c r="F19" t="s">
        <v>78</v>
      </c>
      <c r="G19" s="2" t="s">
        <v>56</v>
      </c>
      <c r="H19" s="14">
        <v>141400</v>
      </c>
      <c r="I19" s="14">
        <v>-8000</v>
      </c>
      <c r="J19" s="14">
        <f>Table132810[[#This Row],[Adjusted Contract Price]]-Table132810[[#This Row],[Base Contract]]-Table132810[[#This Row],[Approved Change Orders]]</f>
        <v>0</v>
      </c>
      <c r="K19" s="14"/>
      <c r="L19" s="14">
        <v>133400</v>
      </c>
      <c r="M19" s="14">
        <v>201907.89</v>
      </c>
      <c r="N19" s="14">
        <v>120190</v>
      </c>
      <c r="O19" s="14">
        <v>0</v>
      </c>
      <c r="P19" s="14">
        <f>Table132810[[#This Row],[Base Contract]]-Table132810[[#This Row],[QU Original Budget]]</f>
        <v>21210</v>
      </c>
      <c r="Q19" s="14">
        <f>Table132810[[#This Row],[Approved Change Orders]]-Table132810[[#This Row],[CO Change Order Budget]]</f>
        <v>-8000</v>
      </c>
      <c r="R19" s="14">
        <v>120190</v>
      </c>
      <c r="S19" s="14">
        <f>Table132810[[#This Row],[Total Direct Budget]]-Table132810[[#This Row],[Estimated Total Direct Costs]]</f>
        <v>-81717.890000000014</v>
      </c>
      <c r="T19" s="14">
        <f>+Table132810[[#This Row],[Adjusted Contract Price]]-Table132810[[#This Row],[Total Direct Budget]]</f>
        <v>13210</v>
      </c>
      <c r="U19" s="14">
        <f>+Table132810[[#This Row],[Adjusted Contract Price]]-Table132810[[#This Row],[Estimated Total Direct Costs]]</f>
        <v>-68507.890000000014</v>
      </c>
      <c r="V19" s="15">
        <f>IF(Table132810[[#This Row],[Adjusted Contract Price]]=0,0,+Table132810[[#This Row],[Budgeted Gross Profit (Loss)]]/Table132810[[#This Row],[Adjusted Contract Price]])</f>
        <v>9.9025487256371808E-2</v>
      </c>
      <c r="W19" s="15">
        <f>IF(Table132810[[#This Row],[Adjusted Contract Price]]=0,0,+Table132810[[#This Row],[Estimated Gross Profit (Loss)]]/Table132810[[#This Row],[Adjusted Contract Price]])</f>
        <v>-0.51355239880059977</v>
      </c>
      <c r="X19" s="15">
        <v>0.90097400000000005</v>
      </c>
      <c r="Y19" s="15">
        <f>Table132810[[#This Row],[Current GP %]]-Table132810[[#This Row],[Prior Month1 GP]]</f>
        <v>-1.4145263988005998</v>
      </c>
      <c r="Z19" s="15">
        <v>0.90097400000000005</v>
      </c>
      <c r="AA19" s="15">
        <f>Table132810[[#This Row],[Current GP %]]-Table132810[[#This Row],[Prior Month2 GP]]</f>
        <v>-1.4145263988005998</v>
      </c>
      <c r="AB19" s="15">
        <v>0.90097400000000005</v>
      </c>
      <c r="AC19" s="15">
        <f>Table132810[[#This Row],[Current GP %]]-Table132810[[#This Row],[Prior Month3 GP]]</f>
        <v>-1.4145263988005998</v>
      </c>
      <c r="AD19" s="14">
        <v>201907.89</v>
      </c>
      <c r="AE19" s="16">
        <f>IF(Table132810[[#This Row],[Estimated Total Direct Costs]]=0,0,+Table132810[[#This Row],[Direct Cost To Date]]/Table132810[[#This Row],[Estimated Total Direct Costs]])</f>
        <v>1</v>
      </c>
      <c r="AF19" s="14">
        <f>+Table132810[[#This Row],[Estimated Gross Profit (Loss)]]*Table132810[[#This Row],[% Complete]]</f>
        <v>-68507.890000000014</v>
      </c>
      <c r="AG19" s="14"/>
      <c r="AH19" s="14">
        <f>+Table132810[[#This Row],[Total Gross Profit Recognized To Date]]-Table132810[[#This Row],[Gross Profit Recognized Prior Years]]</f>
        <v>-68507.890000000014</v>
      </c>
      <c r="AI19" s="14">
        <v>133400</v>
      </c>
      <c r="AJ19" s="14">
        <f>Table132810[[#This Row],[Adjusted Contract Price]]-Table132810[[#This Row],[Total Amount Billed To Date]]</f>
        <v>0</v>
      </c>
      <c r="AK19" s="14">
        <v>0</v>
      </c>
      <c r="AL19" s="15">
        <f>IF(Table132810[[#This Row],[Total Amount Billed To Date]]=0,0,+Table132810[[#This Row],[Current Retainage Amount]]/Table132810[[#This Row],[Total Amount Billed To Date]])</f>
        <v>0</v>
      </c>
      <c r="AM19" s="14">
        <v>133400</v>
      </c>
      <c r="AN19" s="14">
        <f>Table132810[[#This Row],[Cash Received]]-Table132810[[#This Row],[Direct Cost To Date]]</f>
        <v>-68507.890000000014</v>
      </c>
      <c r="AO19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9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9" s="14">
        <v>0</v>
      </c>
      <c r="AR19" s="14">
        <v>0</v>
      </c>
      <c r="AS19" s="14">
        <v>0</v>
      </c>
      <c r="AT19" s="14">
        <v>133400</v>
      </c>
      <c r="AU19" s="14">
        <v>6300.34</v>
      </c>
      <c r="AV19" s="14">
        <v>0</v>
      </c>
      <c r="AW19" s="9">
        <v>45175</v>
      </c>
    </row>
    <row r="20" spans="1:49" ht="12.75" customHeight="1" x14ac:dyDescent="0.2">
      <c r="A20" t="s">
        <v>120</v>
      </c>
      <c r="B20" t="s">
        <v>121</v>
      </c>
      <c r="C20" t="s">
        <v>53</v>
      </c>
      <c r="D20" t="s">
        <v>54</v>
      </c>
      <c r="E20" t="s">
        <v>54</v>
      </c>
      <c r="F20" t="s">
        <v>78</v>
      </c>
      <c r="G20" s="2" t="s">
        <v>56</v>
      </c>
      <c r="H20" s="14">
        <v>51625</v>
      </c>
      <c r="I20" s="14">
        <v>0</v>
      </c>
      <c r="J20" s="14">
        <f>Table132810[[#This Row],[Adjusted Contract Price]]-Table132810[[#This Row],[Base Contract]]-Table132810[[#This Row],[Approved Change Orders]]</f>
        <v>-1475</v>
      </c>
      <c r="K20" s="14"/>
      <c r="L20" s="14">
        <v>50150</v>
      </c>
      <c r="M20" s="14">
        <v>19522.759999999998</v>
      </c>
      <c r="N20" s="14">
        <v>43300</v>
      </c>
      <c r="O20" s="14">
        <v>0</v>
      </c>
      <c r="P20" s="14">
        <f>Table132810[[#This Row],[Base Contract]]-Table132810[[#This Row],[QU Original Budget]]</f>
        <v>8325</v>
      </c>
      <c r="Q20" s="14">
        <f>Table132810[[#This Row],[Approved Change Orders]]-Table132810[[#This Row],[CO Change Order Budget]]</f>
        <v>0</v>
      </c>
      <c r="R20" s="14">
        <v>43300</v>
      </c>
      <c r="S20" s="14">
        <f>Table132810[[#This Row],[Total Direct Budget]]-Table132810[[#This Row],[Estimated Total Direct Costs]]</f>
        <v>23777.24</v>
      </c>
      <c r="T20" s="14">
        <f>+Table132810[[#This Row],[Adjusted Contract Price]]-Table132810[[#This Row],[Total Direct Budget]]</f>
        <v>6850</v>
      </c>
      <c r="U20" s="14">
        <f>+Table132810[[#This Row],[Adjusted Contract Price]]-Table132810[[#This Row],[Estimated Total Direct Costs]]</f>
        <v>30627.24</v>
      </c>
      <c r="V20" s="15">
        <f>IF(Table132810[[#This Row],[Adjusted Contract Price]]=0,0,+Table132810[[#This Row],[Budgeted Gross Profit (Loss)]]/Table132810[[#This Row],[Adjusted Contract Price]])</f>
        <v>0.1365902293120638</v>
      </c>
      <c r="W20" s="15">
        <f>IF(Table132810[[#This Row],[Adjusted Contract Price]]=0,0,+Table132810[[#This Row],[Estimated Gross Profit (Loss)]]/Table132810[[#This Row],[Adjusted Contract Price]])</f>
        <v>0.61071266201395813</v>
      </c>
      <c r="X20" s="15">
        <v>0.83874000000000004</v>
      </c>
      <c r="Y20" s="15">
        <f>Table132810[[#This Row],[Current GP %]]-Table132810[[#This Row],[Prior Month1 GP]]</f>
        <v>-0.22802733798604191</v>
      </c>
      <c r="Z20" s="15">
        <v>0.83874000000000004</v>
      </c>
      <c r="AA20" s="15">
        <f>Table132810[[#This Row],[Current GP %]]-Table132810[[#This Row],[Prior Month2 GP]]</f>
        <v>-0.22802733798604191</v>
      </c>
      <c r="AB20" s="15">
        <v>0.83874000000000004</v>
      </c>
      <c r="AC20" s="15">
        <f>Table132810[[#This Row],[Current GP %]]-Table132810[[#This Row],[Prior Month3 GP]]</f>
        <v>-0.22802733798604191</v>
      </c>
      <c r="AD20" s="14">
        <v>19522.759999999998</v>
      </c>
      <c r="AE20" s="16">
        <f>IF(Table132810[[#This Row],[Estimated Total Direct Costs]]=0,0,+Table132810[[#This Row],[Direct Cost To Date]]/Table132810[[#This Row],[Estimated Total Direct Costs]])</f>
        <v>1</v>
      </c>
      <c r="AF20" s="14">
        <f>+Table132810[[#This Row],[Estimated Gross Profit (Loss)]]*Table132810[[#This Row],[% Complete]]</f>
        <v>30627.24</v>
      </c>
      <c r="AG20" s="14"/>
      <c r="AH20" s="14">
        <f>+Table132810[[#This Row],[Total Gross Profit Recognized To Date]]-Table132810[[#This Row],[Gross Profit Recognized Prior Years]]</f>
        <v>30627.24</v>
      </c>
      <c r="AI20" s="14">
        <v>50150</v>
      </c>
      <c r="AJ20" s="14">
        <f>Table132810[[#This Row],[Adjusted Contract Price]]-Table132810[[#This Row],[Total Amount Billed To Date]]</f>
        <v>0</v>
      </c>
      <c r="AK20" s="14">
        <v>0</v>
      </c>
      <c r="AL20" s="15">
        <f>IF(Table132810[[#This Row],[Total Amount Billed To Date]]=0,0,+Table132810[[#This Row],[Current Retainage Amount]]/Table132810[[#This Row],[Total Amount Billed To Date]])</f>
        <v>0</v>
      </c>
      <c r="AM20" s="14">
        <v>50150</v>
      </c>
      <c r="AN20" s="14">
        <f>Table132810[[#This Row],[Cash Received]]-Table132810[[#This Row],[Direct Cost To Date]]</f>
        <v>30627.24</v>
      </c>
      <c r="AO20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0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0" s="14">
        <v>0</v>
      </c>
      <c r="AR20" s="14">
        <v>0</v>
      </c>
      <c r="AS20" s="14">
        <v>0</v>
      </c>
      <c r="AT20" s="14">
        <v>50150</v>
      </c>
      <c r="AU20" s="14">
        <v>0</v>
      </c>
      <c r="AV20" s="14">
        <v>0</v>
      </c>
      <c r="AW20" s="9">
        <v>45734</v>
      </c>
    </row>
    <row r="21" spans="1:49" ht="12.75" customHeight="1" x14ac:dyDescent="0.2">
      <c r="A21" t="s">
        <v>128</v>
      </c>
      <c r="B21" t="s">
        <v>129</v>
      </c>
      <c r="C21" t="s">
        <v>130</v>
      </c>
      <c r="D21" t="s">
        <v>54</v>
      </c>
      <c r="E21" t="s">
        <v>54</v>
      </c>
      <c r="F21" t="s">
        <v>131</v>
      </c>
      <c r="G21" s="2" t="s">
        <v>56</v>
      </c>
      <c r="H21" s="14">
        <v>855500</v>
      </c>
      <c r="I21" s="14">
        <v>0</v>
      </c>
      <c r="J21" s="14">
        <f>Table132810[[#This Row],[Adjusted Contract Price]]-Table132810[[#This Row],[Base Contract]]-Table132810[[#This Row],[Approved Change Orders]]</f>
        <v>0</v>
      </c>
      <c r="K21" s="14"/>
      <c r="L21" s="14">
        <v>855500</v>
      </c>
      <c r="M21" s="14">
        <v>489122.54</v>
      </c>
      <c r="N21" s="14">
        <v>641250</v>
      </c>
      <c r="O21" s="14">
        <v>0</v>
      </c>
      <c r="P21" s="14">
        <f>Table132810[[#This Row],[Base Contract]]-Table132810[[#This Row],[QU Original Budget]]</f>
        <v>214250</v>
      </c>
      <c r="Q21" s="14">
        <f>Table132810[[#This Row],[Approved Change Orders]]-Table132810[[#This Row],[CO Change Order Budget]]</f>
        <v>0</v>
      </c>
      <c r="R21" s="14">
        <v>641250</v>
      </c>
      <c r="S21" s="14">
        <f>Table132810[[#This Row],[Total Direct Budget]]-Table132810[[#This Row],[Estimated Total Direct Costs]]</f>
        <v>152127.46000000002</v>
      </c>
      <c r="T21" s="14">
        <f>+Table132810[[#This Row],[Adjusted Contract Price]]-Table132810[[#This Row],[Total Direct Budget]]</f>
        <v>214250</v>
      </c>
      <c r="U21" s="14">
        <f>+Table132810[[#This Row],[Adjusted Contract Price]]-Table132810[[#This Row],[Estimated Total Direct Costs]]</f>
        <v>366377.46</v>
      </c>
      <c r="V21" s="15">
        <f>IF(Table132810[[#This Row],[Adjusted Contract Price]]=0,0,+Table132810[[#This Row],[Budgeted Gross Profit (Loss)]]/Table132810[[#This Row],[Adjusted Contract Price]])</f>
        <v>0.25043834015195793</v>
      </c>
      <c r="W21" s="15">
        <f>IF(Table132810[[#This Row],[Adjusted Contract Price]]=0,0,+Table132810[[#This Row],[Estimated Gross Profit (Loss)]]/Table132810[[#This Row],[Adjusted Contract Price]])</f>
        <v>0.42826120397428408</v>
      </c>
      <c r="X21" s="15">
        <v>0.74956100000000003</v>
      </c>
      <c r="Y21" s="15">
        <f>Table132810[[#This Row],[Current GP %]]-Table132810[[#This Row],[Prior Month1 GP]]</f>
        <v>-0.32129979602571596</v>
      </c>
      <c r="Z21" s="15">
        <v>0.74956100000000003</v>
      </c>
      <c r="AA21" s="15">
        <f>Table132810[[#This Row],[Current GP %]]-Table132810[[#This Row],[Prior Month2 GP]]</f>
        <v>-0.32129979602571596</v>
      </c>
      <c r="AB21" s="15">
        <v>0.74956100000000003</v>
      </c>
      <c r="AC21" s="15">
        <f>Table132810[[#This Row],[Current GP %]]-Table132810[[#This Row],[Prior Month3 GP]]</f>
        <v>-0.32129979602571596</v>
      </c>
      <c r="AD21" s="14">
        <v>489122.54</v>
      </c>
      <c r="AE21" s="16">
        <f>IF(Table132810[[#This Row],[Estimated Total Direct Costs]]=0,0,+Table132810[[#This Row],[Direct Cost To Date]]/Table132810[[#This Row],[Estimated Total Direct Costs]])</f>
        <v>1</v>
      </c>
      <c r="AF21" s="14">
        <f>+Table132810[[#This Row],[Estimated Gross Profit (Loss)]]*Table132810[[#This Row],[% Complete]]</f>
        <v>366377.46</v>
      </c>
      <c r="AG21" s="14"/>
      <c r="AH21" s="14">
        <f>+Table132810[[#This Row],[Total Gross Profit Recognized To Date]]-Table132810[[#This Row],[Gross Profit Recognized Prior Years]]</f>
        <v>366377.46</v>
      </c>
      <c r="AI21" s="14">
        <v>855500</v>
      </c>
      <c r="AJ21" s="14">
        <f>Table132810[[#This Row],[Adjusted Contract Price]]-Table132810[[#This Row],[Total Amount Billed To Date]]</f>
        <v>0</v>
      </c>
      <c r="AK21" s="14">
        <v>0</v>
      </c>
      <c r="AL21" s="15">
        <f>IF(Table132810[[#This Row],[Total Amount Billed To Date]]=0,0,+Table132810[[#This Row],[Current Retainage Amount]]/Table132810[[#This Row],[Total Amount Billed To Date]])</f>
        <v>0</v>
      </c>
      <c r="AM21" s="14">
        <v>855500</v>
      </c>
      <c r="AN21" s="14">
        <f>Table132810[[#This Row],[Cash Received]]-Table132810[[#This Row],[Direct Cost To Date]]</f>
        <v>366377.46</v>
      </c>
      <c r="AO21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1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1" s="14">
        <v>14380.08</v>
      </c>
      <c r="AR21" s="14">
        <v>27862.5</v>
      </c>
      <c r="AS21" s="14">
        <v>0</v>
      </c>
      <c r="AT21" s="14">
        <v>855500</v>
      </c>
      <c r="AU21" s="14">
        <v>19110.03</v>
      </c>
      <c r="AV21" s="14">
        <v>0</v>
      </c>
      <c r="AW21" s="9">
        <v>45734</v>
      </c>
    </row>
    <row r="22" spans="1:49" ht="12.75" customHeight="1" x14ac:dyDescent="0.2">
      <c r="A22" t="s">
        <v>134</v>
      </c>
      <c r="B22" t="s">
        <v>135</v>
      </c>
      <c r="C22" t="s">
        <v>108</v>
      </c>
      <c r="D22" t="s">
        <v>54</v>
      </c>
      <c r="E22" t="s">
        <v>54</v>
      </c>
      <c r="F22" t="s">
        <v>78</v>
      </c>
      <c r="G22" s="2" t="s">
        <v>56</v>
      </c>
      <c r="H22" s="14">
        <v>1850000</v>
      </c>
      <c r="I22" s="14">
        <v>0</v>
      </c>
      <c r="J22" s="14">
        <f>Table132810[[#This Row],[Adjusted Contract Price]]-Table132810[[#This Row],[Base Contract]]-Table132810[[#This Row],[Approved Change Orders]]</f>
        <v>0</v>
      </c>
      <c r="K22" s="14"/>
      <c r="L22" s="14">
        <v>1850000</v>
      </c>
      <c r="M22" s="14">
        <v>1678795.86</v>
      </c>
      <c r="N22" s="14">
        <v>1354000</v>
      </c>
      <c r="O22" s="14">
        <v>0</v>
      </c>
      <c r="P22" s="14">
        <f>Table132810[[#This Row],[Base Contract]]-Table132810[[#This Row],[QU Original Budget]]</f>
        <v>496000</v>
      </c>
      <c r="Q22" s="14">
        <f>Table132810[[#This Row],[Approved Change Orders]]-Table132810[[#This Row],[CO Change Order Budget]]</f>
        <v>0</v>
      </c>
      <c r="R22" s="14">
        <v>1354000</v>
      </c>
      <c r="S22" s="14">
        <f>Table132810[[#This Row],[Total Direct Budget]]-Table132810[[#This Row],[Estimated Total Direct Costs]]</f>
        <v>-324795.8600000001</v>
      </c>
      <c r="T22" s="14">
        <f>+Table132810[[#This Row],[Adjusted Contract Price]]-Table132810[[#This Row],[Total Direct Budget]]</f>
        <v>496000</v>
      </c>
      <c r="U22" s="14">
        <f>+Table132810[[#This Row],[Adjusted Contract Price]]-Table132810[[#This Row],[Estimated Total Direct Costs]]</f>
        <v>171204.1399999999</v>
      </c>
      <c r="V22" s="15">
        <f>IF(Table132810[[#This Row],[Adjusted Contract Price]]=0,0,+Table132810[[#This Row],[Budgeted Gross Profit (Loss)]]/Table132810[[#This Row],[Adjusted Contract Price]])</f>
        <v>0.26810810810810809</v>
      </c>
      <c r="W22" s="15">
        <f>IF(Table132810[[#This Row],[Adjusted Contract Price]]=0,0,+Table132810[[#This Row],[Estimated Gross Profit (Loss)]]/Table132810[[#This Row],[Adjusted Contract Price]])</f>
        <v>9.2542778378378321E-2</v>
      </c>
      <c r="X22" s="15">
        <v>0.73189099999999996</v>
      </c>
      <c r="Y22" s="15">
        <f>Table132810[[#This Row],[Current GP %]]-Table132810[[#This Row],[Prior Month1 GP]]</f>
        <v>-0.63934822162162164</v>
      </c>
      <c r="Z22" s="15">
        <v>0.73189099999999996</v>
      </c>
      <c r="AA22" s="15">
        <f>Table132810[[#This Row],[Current GP %]]-Table132810[[#This Row],[Prior Month2 GP]]</f>
        <v>-0.63934822162162164</v>
      </c>
      <c r="AB22" s="15">
        <v>0.73189099999999996</v>
      </c>
      <c r="AC22" s="15">
        <f>Table132810[[#This Row],[Current GP %]]-Table132810[[#This Row],[Prior Month3 GP]]</f>
        <v>-0.63934822162162164</v>
      </c>
      <c r="AD22" s="14">
        <v>1678795.86</v>
      </c>
      <c r="AE22" s="16">
        <f>IF(Table132810[[#This Row],[Estimated Total Direct Costs]]=0,0,+Table132810[[#This Row],[Direct Cost To Date]]/Table132810[[#This Row],[Estimated Total Direct Costs]])</f>
        <v>1</v>
      </c>
      <c r="AF22" s="14">
        <f>+Table132810[[#This Row],[Estimated Gross Profit (Loss)]]*Table132810[[#This Row],[% Complete]]</f>
        <v>171204.1399999999</v>
      </c>
      <c r="AG22" s="14"/>
      <c r="AH22" s="14">
        <f>+Table132810[[#This Row],[Total Gross Profit Recognized To Date]]-Table132810[[#This Row],[Gross Profit Recognized Prior Years]]</f>
        <v>171204.1399999999</v>
      </c>
      <c r="AI22" s="14">
        <v>1850000</v>
      </c>
      <c r="AJ22" s="14">
        <f>Table132810[[#This Row],[Adjusted Contract Price]]-Table132810[[#This Row],[Total Amount Billed To Date]]</f>
        <v>0</v>
      </c>
      <c r="AK22" s="14">
        <v>0</v>
      </c>
      <c r="AL22" s="15">
        <f>IF(Table132810[[#This Row],[Total Amount Billed To Date]]=0,0,+Table132810[[#This Row],[Current Retainage Amount]]/Table132810[[#This Row],[Total Amount Billed To Date]])</f>
        <v>0</v>
      </c>
      <c r="AM22" s="14">
        <v>1850000</v>
      </c>
      <c r="AN22" s="14">
        <f>Table132810[[#This Row],[Cash Received]]-Table132810[[#This Row],[Direct Cost To Date]]</f>
        <v>171204.1399999999</v>
      </c>
      <c r="AO22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2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2" s="14">
        <v>0</v>
      </c>
      <c r="AR22" s="14">
        <v>0</v>
      </c>
      <c r="AS22" s="14">
        <v>0</v>
      </c>
      <c r="AT22" s="14">
        <v>1850000</v>
      </c>
      <c r="AU22" s="14">
        <v>72155.75</v>
      </c>
      <c r="AV22" s="14">
        <v>0</v>
      </c>
      <c r="AW22" s="9">
        <v>45734</v>
      </c>
    </row>
    <row r="23" spans="1:49" ht="12.75" customHeight="1" x14ac:dyDescent="0.2">
      <c r="A23" t="s">
        <v>142</v>
      </c>
      <c r="B23" t="s">
        <v>143</v>
      </c>
      <c r="C23" t="s">
        <v>108</v>
      </c>
      <c r="D23" t="s">
        <v>54</v>
      </c>
      <c r="E23" t="s">
        <v>54</v>
      </c>
      <c r="F23" t="s">
        <v>78</v>
      </c>
      <c r="G23" s="2" t="s">
        <v>56</v>
      </c>
      <c r="H23" s="14">
        <v>288000</v>
      </c>
      <c r="I23" s="14">
        <v>0</v>
      </c>
      <c r="J23" s="14">
        <f>Table132810[[#This Row],[Adjusted Contract Price]]-Table132810[[#This Row],[Base Contract]]-Table132810[[#This Row],[Approved Change Orders]]</f>
        <v>0</v>
      </c>
      <c r="K23" s="14"/>
      <c r="L23" s="14">
        <v>288000</v>
      </c>
      <c r="M23" s="14">
        <v>421130.4</v>
      </c>
      <c r="N23" s="14">
        <v>240000</v>
      </c>
      <c r="O23" s="14">
        <v>0</v>
      </c>
      <c r="P23" s="14">
        <f>Table132810[[#This Row],[Base Contract]]-Table132810[[#This Row],[QU Original Budget]]</f>
        <v>48000</v>
      </c>
      <c r="Q23" s="14">
        <f>Table132810[[#This Row],[Approved Change Orders]]-Table132810[[#This Row],[CO Change Order Budget]]</f>
        <v>0</v>
      </c>
      <c r="R23" s="14">
        <v>240000</v>
      </c>
      <c r="S23" s="14">
        <f>Table132810[[#This Row],[Total Direct Budget]]-Table132810[[#This Row],[Estimated Total Direct Costs]]</f>
        <v>-181130.40000000002</v>
      </c>
      <c r="T23" s="14">
        <f>+Table132810[[#This Row],[Adjusted Contract Price]]-Table132810[[#This Row],[Total Direct Budget]]</f>
        <v>48000</v>
      </c>
      <c r="U23" s="14">
        <f>+Table132810[[#This Row],[Adjusted Contract Price]]-Table132810[[#This Row],[Estimated Total Direct Costs]]</f>
        <v>-133130.40000000002</v>
      </c>
      <c r="V23" s="15">
        <f>IF(Table132810[[#This Row],[Adjusted Contract Price]]=0,0,+Table132810[[#This Row],[Budgeted Gross Profit (Loss)]]/Table132810[[#This Row],[Adjusted Contract Price]])</f>
        <v>0.16666666666666666</v>
      </c>
      <c r="W23" s="15">
        <f>IF(Table132810[[#This Row],[Adjusted Contract Price]]=0,0,+Table132810[[#This Row],[Estimated Gross Profit (Loss)]]/Table132810[[#This Row],[Adjusted Contract Price]])</f>
        <v>-0.46225833333333344</v>
      </c>
      <c r="X23" s="15">
        <v>0.83333299999999999</v>
      </c>
      <c r="Y23" s="15">
        <f>Table132810[[#This Row],[Current GP %]]-Table132810[[#This Row],[Prior Month1 GP]]</f>
        <v>-1.2955913333333333</v>
      </c>
      <c r="Z23" s="15">
        <v>0.83333299999999999</v>
      </c>
      <c r="AA23" s="15">
        <f>Table132810[[#This Row],[Current GP %]]-Table132810[[#This Row],[Prior Month2 GP]]</f>
        <v>-1.2955913333333333</v>
      </c>
      <c r="AB23" s="15">
        <v>0.83333299999999999</v>
      </c>
      <c r="AC23" s="15">
        <f>Table132810[[#This Row],[Current GP %]]-Table132810[[#This Row],[Prior Month3 GP]]</f>
        <v>-1.2955913333333333</v>
      </c>
      <c r="AD23" s="14">
        <v>421130.4</v>
      </c>
      <c r="AE23" s="16">
        <f>IF(Table132810[[#This Row],[Estimated Total Direct Costs]]=0,0,+Table132810[[#This Row],[Direct Cost To Date]]/Table132810[[#This Row],[Estimated Total Direct Costs]])</f>
        <v>1</v>
      </c>
      <c r="AF23" s="14">
        <f>+Table132810[[#This Row],[Estimated Gross Profit (Loss)]]*Table132810[[#This Row],[% Complete]]</f>
        <v>-133130.40000000002</v>
      </c>
      <c r="AG23" s="14"/>
      <c r="AH23" s="14">
        <f>+Table132810[[#This Row],[Total Gross Profit Recognized To Date]]-Table132810[[#This Row],[Gross Profit Recognized Prior Years]]</f>
        <v>-133130.40000000002</v>
      </c>
      <c r="AI23" s="14">
        <v>288000</v>
      </c>
      <c r="AJ23" s="14">
        <f>Table132810[[#This Row],[Adjusted Contract Price]]-Table132810[[#This Row],[Total Amount Billed To Date]]</f>
        <v>0</v>
      </c>
      <c r="AK23" s="14">
        <v>0</v>
      </c>
      <c r="AL23" s="15">
        <f>IF(Table132810[[#This Row],[Total Amount Billed To Date]]=0,0,+Table132810[[#This Row],[Current Retainage Amount]]/Table132810[[#This Row],[Total Amount Billed To Date]])</f>
        <v>0</v>
      </c>
      <c r="AM23" s="14">
        <v>288000</v>
      </c>
      <c r="AN23" s="14">
        <f>Table132810[[#This Row],[Cash Received]]-Table132810[[#This Row],[Direct Cost To Date]]</f>
        <v>-133130.40000000002</v>
      </c>
      <c r="AO23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3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3" s="14">
        <v>0</v>
      </c>
      <c r="AR23" s="14">
        <v>0</v>
      </c>
      <c r="AS23" s="14">
        <v>0</v>
      </c>
      <c r="AT23" s="14">
        <v>288000</v>
      </c>
      <c r="AU23" s="14">
        <v>0</v>
      </c>
      <c r="AV23" s="14">
        <v>0</v>
      </c>
      <c r="AW23" s="9">
        <v>45734</v>
      </c>
    </row>
    <row r="24" spans="1:49" ht="12.75" customHeight="1" x14ac:dyDescent="0.2">
      <c r="A24" t="s">
        <v>147</v>
      </c>
      <c r="B24" t="s">
        <v>148</v>
      </c>
      <c r="C24" t="s">
        <v>149</v>
      </c>
      <c r="D24" t="s">
        <v>54</v>
      </c>
      <c r="E24" t="s">
        <v>54</v>
      </c>
      <c r="F24" t="s">
        <v>78</v>
      </c>
      <c r="G24" s="2" t="s">
        <v>56</v>
      </c>
      <c r="H24" s="14">
        <v>126000</v>
      </c>
      <c r="I24" s="14">
        <v>1425</v>
      </c>
      <c r="J24" s="14">
        <f>Table132810[[#This Row],[Adjusted Contract Price]]-Table132810[[#This Row],[Base Contract]]-Table132810[[#This Row],[Approved Change Orders]]</f>
        <v>0</v>
      </c>
      <c r="K24" s="14"/>
      <c r="L24" s="14">
        <v>127425</v>
      </c>
      <c r="M24" s="14">
        <v>63404.37</v>
      </c>
      <c r="N24" s="14">
        <v>72500</v>
      </c>
      <c r="O24" s="14">
        <v>0</v>
      </c>
      <c r="P24" s="14">
        <f>Table132810[[#This Row],[Base Contract]]-Table132810[[#This Row],[QU Original Budget]]</f>
        <v>53500</v>
      </c>
      <c r="Q24" s="14">
        <f>Table132810[[#This Row],[Approved Change Orders]]-Table132810[[#This Row],[CO Change Order Budget]]</f>
        <v>1425</v>
      </c>
      <c r="R24" s="14">
        <v>72500</v>
      </c>
      <c r="S24" s="14">
        <f>Table132810[[#This Row],[Total Direct Budget]]-Table132810[[#This Row],[Estimated Total Direct Costs]]</f>
        <v>9095.6299999999974</v>
      </c>
      <c r="T24" s="14">
        <f>+Table132810[[#This Row],[Adjusted Contract Price]]-Table132810[[#This Row],[Total Direct Budget]]</f>
        <v>54925</v>
      </c>
      <c r="U24" s="14">
        <f>+Table132810[[#This Row],[Adjusted Contract Price]]-Table132810[[#This Row],[Estimated Total Direct Costs]]</f>
        <v>64020.63</v>
      </c>
      <c r="V24" s="15">
        <f>IF(Table132810[[#This Row],[Adjusted Contract Price]]=0,0,+Table132810[[#This Row],[Budgeted Gross Profit (Loss)]]/Table132810[[#This Row],[Adjusted Contract Price]])</f>
        <v>0.43103786541102607</v>
      </c>
      <c r="W24" s="15">
        <f>IF(Table132810[[#This Row],[Adjusted Contract Price]]=0,0,+Table132810[[#This Row],[Estimated Gross Profit (Loss)]]/Table132810[[#This Row],[Adjusted Contract Price]])</f>
        <v>0.50241812831077104</v>
      </c>
      <c r="X24" s="15">
        <v>0.56896199999999997</v>
      </c>
      <c r="Y24" s="15">
        <f>Table132810[[#This Row],[Current GP %]]-Table132810[[#This Row],[Prior Month1 GP]]</f>
        <v>-6.6543871689228928E-2</v>
      </c>
      <c r="Z24" s="15">
        <v>0.56896199999999997</v>
      </c>
      <c r="AA24" s="15">
        <f>Table132810[[#This Row],[Current GP %]]-Table132810[[#This Row],[Prior Month2 GP]]</f>
        <v>-6.6543871689228928E-2</v>
      </c>
      <c r="AB24" s="15">
        <v>0.56896199999999997</v>
      </c>
      <c r="AC24" s="15">
        <f>Table132810[[#This Row],[Current GP %]]-Table132810[[#This Row],[Prior Month3 GP]]</f>
        <v>-6.6543871689228928E-2</v>
      </c>
      <c r="AD24" s="14">
        <v>63404.37</v>
      </c>
      <c r="AE24" s="16">
        <f>IF(Table132810[[#This Row],[Estimated Total Direct Costs]]=0,0,+Table132810[[#This Row],[Direct Cost To Date]]/Table132810[[#This Row],[Estimated Total Direct Costs]])</f>
        <v>1</v>
      </c>
      <c r="AF24" s="14">
        <f>+Table132810[[#This Row],[Estimated Gross Profit (Loss)]]*Table132810[[#This Row],[% Complete]]</f>
        <v>64020.63</v>
      </c>
      <c r="AG24" s="14"/>
      <c r="AH24" s="14">
        <f>+Table132810[[#This Row],[Total Gross Profit Recognized To Date]]-Table132810[[#This Row],[Gross Profit Recognized Prior Years]]</f>
        <v>64020.63</v>
      </c>
      <c r="AI24" s="14">
        <v>127425</v>
      </c>
      <c r="AJ24" s="14">
        <f>Table132810[[#This Row],[Adjusted Contract Price]]-Table132810[[#This Row],[Total Amount Billed To Date]]</f>
        <v>0</v>
      </c>
      <c r="AK24" s="14">
        <v>0</v>
      </c>
      <c r="AL24" s="15">
        <f>IF(Table132810[[#This Row],[Total Amount Billed To Date]]=0,0,+Table132810[[#This Row],[Current Retainage Amount]]/Table132810[[#This Row],[Total Amount Billed To Date]])</f>
        <v>0</v>
      </c>
      <c r="AM24" s="14">
        <v>127425</v>
      </c>
      <c r="AN24" s="14">
        <f>Table132810[[#This Row],[Cash Received]]-Table132810[[#This Row],[Direct Cost To Date]]</f>
        <v>64020.63</v>
      </c>
      <c r="AO24" s="14">
        <f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4" s="14">
        <f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4" s="14">
        <v>4623.03</v>
      </c>
      <c r="AR24" s="14">
        <v>1425</v>
      </c>
      <c r="AS24" s="14">
        <v>0</v>
      </c>
      <c r="AT24" s="14">
        <v>127425</v>
      </c>
      <c r="AU24" s="14">
        <v>0</v>
      </c>
      <c r="AV24" s="14">
        <v>0</v>
      </c>
      <c r="AW24" s="9">
        <v>45734</v>
      </c>
    </row>
    <row r="25" spans="1:49" ht="12.75" customHeight="1" x14ac:dyDescent="0.2">
      <c r="F25" s="1"/>
      <c r="G25" s="1"/>
      <c r="J25" s="1"/>
      <c r="K25" s="1"/>
      <c r="L25" s="1"/>
      <c r="R25" s="1"/>
      <c r="AC25" s="1"/>
      <c r="AE25" s="1"/>
      <c r="AG25" s="1"/>
    </row>
    <row r="26" spans="1:49" ht="12.75" customHeight="1" x14ac:dyDescent="0.2">
      <c r="F26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9" ht="12.75" customHeight="1" x14ac:dyDescent="0.2">
      <c r="F27" s="1"/>
      <c r="G27" s="1"/>
      <c r="J27" s="1"/>
      <c r="K27" s="1"/>
      <c r="L27" s="1"/>
      <c r="R27" s="1"/>
      <c r="AC27" s="1"/>
      <c r="AE27" s="1"/>
      <c r="AG27" s="1"/>
    </row>
    <row r="28" spans="1:49" ht="12.75" customHeight="1" x14ac:dyDescent="0.2">
      <c r="F28" s="1"/>
      <c r="G28" s="1"/>
      <c r="J28" s="1"/>
      <c r="K28" s="1"/>
      <c r="L28" s="1"/>
      <c r="R28" s="1"/>
      <c r="AC28" s="1"/>
      <c r="AE28" s="1"/>
      <c r="AG28" s="1"/>
    </row>
    <row r="29" spans="1:49" ht="12.75" customHeight="1" x14ac:dyDescent="0.2">
      <c r="F29" t="s">
        <v>180</v>
      </c>
      <c r="G29" s="18" t="s">
        <v>3</v>
      </c>
      <c r="H29" s="18" t="s">
        <v>27</v>
      </c>
      <c r="J29" s="1"/>
      <c r="K29" s="1"/>
      <c r="L29" s="1"/>
      <c r="R29" s="1"/>
      <c r="AC29" s="1"/>
      <c r="AE29" s="1"/>
      <c r="AG29" s="1"/>
    </row>
    <row r="30" spans="1:49" ht="12.75" customHeight="1" x14ac:dyDescent="0.2">
      <c r="G30" s="17" t="s">
        <v>55</v>
      </c>
      <c r="H30" t="s">
        <v>181</v>
      </c>
      <c r="J30" s="1"/>
      <c r="K30" s="1"/>
      <c r="L30" s="1"/>
      <c r="R30" s="1"/>
      <c r="AC30" s="1"/>
      <c r="AE30" s="1"/>
      <c r="AG30" s="1"/>
    </row>
    <row r="31" spans="1:49" ht="12.75" customHeight="1" x14ac:dyDescent="0.2">
      <c r="G31" t="s">
        <v>116</v>
      </c>
      <c r="H31" t="s">
        <v>181</v>
      </c>
      <c r="J31" s="1"/>
      <c r="K31" s="1"/>
      <c r="L31" s="1"/>
      <c r="R31" s="1"/>
      <c r="AC31" s="1"/>
      <c r="AE31" s="1"/>
      <c r="AG31" s="1"/>
    </row>
    <row r="32" spans="1:49" ht="12.75" customHeight="1" x14ac:dyDescent="0.2">
      <c r="G32" s="1" t="s">
        <v>78</v>
      </c>
      <c r="H32" t="s">
        <v>181</v>
      </c>
      <c r="J32" s="1"/>
      <c r="K32" s="1"/>
      <c r="L32" s="1"/>
      <c r="R32" s="1"/>
      <c r="AC32" s="1"/>
      <c r="AE32" s="1"/>
      <c r="AG32" s="1"/>
    </row>
    <row r="33" spans="6:33" ht="12.75" customHeight="1" x14ac:dyDescent="0.2">
      <c r="G33" s="1" t="s">
        <v>131</v>
      </c>
      <c r="H33" t="s">
        <v>181</v>
      </c>
      <c r="J33" s="1"/>
      <c r="K33" s="1"/>
      <c r="L33" s="1"/>
      <c r="R33" s="1"/>
      <c r="AC33" s="1"/>
      <c r="AE33" s="1"/>
      <c r="AG33" s="1"/>
    </row>
    <row r="34" spans="6:33" ht="12.75" customHeight="1" x14ac:dyDescent="0.2">
      <c r="F34" s="1"/>
      <c r="G34" s="1"/>
      <c r="J34" s="1"/>
      <c r="K34" s="1"/>
      <c r="L34" s="1"/>
      <c r="R34" s="1"/>
      <c r="AC34" s="1"/>
      <c r="AE34" s="1"/>
      <c r="AG34" s="1"/>
    </row>
    <row r="35" spans="6:33" ht="12.75" customHeight="1" x14ac:dyDescent="0.2">
      <c r="F35" s="1"/>
      <c r="G35" s="1"/>
      <c r="J35" s="1"/>
      <c r="K35" s="1"/>
      <c r="L35" s="1"/>
      <c r="R35" s="1"/>
      <c r="AC35" s="1"/>
      <c r="AE35" s="1"/>
      <c r="AG35" s="1"/>
    </row>
    <row r="36" spans="6:33" ht="12.75" customHeight="1" x14ac:dyDescent="0.2">
      <c r="F36" s="1"/>
      <c r="G36" s="1"/>
      <c r="J36" s="1"/>
      <c r="K36" s="1"/>
      <c r="L36" s="1"/>
      <c r="R36" s="1"/>
      <c r="AC36" s="1"/>
      <c r="AE36" s="1"/>
      <c r="AG36" s="1"/>
    </row>
    <row r="37" spans="6:33" ht="12.75" customHeight="1" x14ac:dyDescent="0.2">
      <c r="F37" s="1"/>
      <c r="G37" s="1"/>
      <c r="J37" s="1"/>
      <c r="K37" s="1"/>
      <c r="L37" s="1"/>
      <c r="R37" s="1"/>
      <c r="AC37" s="1"/>
      <c r="AE37" s="1"/>
      <c r="AG37" s="1"/>
    </row>
    <row r="38" spans="6:33" ht="12.75" customHeight="1" x14ac:dyDescent="0.2">
      <c r="F38" s="1"/>
      <c r="G38" s="1"/>
      <c r="J38" s="1"/>
      <c r="K38" s="1"/>
      <c r="L38" s="1"/>
      <c r="R38" s="1"/>
      <c r="AC38" s="1"/>
      <c r="AE38" s="1"/>
      <c r="AG38" s="1"/>
    </row>
    <row r="39" spans="6:33" ht="12.75" customHeight="1" x14ac:dyDescent="0.2">
      <c r="F39" s="1"/>
      <c r="G39" s="1"/>
      <c r="J39" s="1"/>
      <c r="K39" s="1"/>
      <c r="L39" s="1"/>
      <c r="R39" s="1"/>
      <c r="AC39" s="1"/>
      <c r="AE39" s="1"/>
      <c r="AG39" s="1"/>
    </row>
    <row r="40" spans="6:33" ht="12.75" customHeight="1" x14ac:dyDescent="0.2">
      <c r="F40" s="1"/>
      <c r="G40" s="1"/>
      <c r="J40" s="1"/>
      <c r="K40" s="1"/>
      <c r="L40" s="1"/>
      <c r="R40" s="1"/>
      <c r="AC40" s="1"/>
      <c r="AE40" s="1"/>
      <c r="AG40" s="1"/>
    </row>
    <row r="41" spans="6:33" ht="12.75" customHeight="1" x14ac:dyDescent="0.2">
      <c r="F41" s="1"/>
      <c r="G41" s="1"/>
      <c r="J41" s="1"/>
      <c r="K41" s="1"/>
      <c r="L41" s="1"/>
      <c r="R41" s="1"/>
      <c r="AC41" s="1"/>
      <c r="AE41" s="1"/>
      <c r="AG41" s="1"/>
    </row>
    <row r="42" spans="6:33" ht="12.75" customHeight="1" x14ac:dyDescent="0.2">
      <c r="F42" s="1"/>
      <c r="G42" s="1"/>
      <c r="J42" s="1"/>
      <c r="K42" s="1"/>
      <c r="L42" s="1"/>
      <c r="R42" s="1"/>
      <c r="AC42" s="1"/>
      <c r="AE42" s="1"/>
      <c r="AG42" s="1"/>
    </row>
    <row r="43" spans="6:33" ht="12.75" customHeight="1" x14ac:dyDescent="0.2">
      <c r="F43" s="1"/>
      <c r="G43" s="1"/>
      <c r="J43" s="1"/>
      <c r="K43" s="1"/>
      <c r="L43" s="1"/>
      <c r="R43" s="1"/>
      <c r="AC43" s="1"/>
      <c r="AE43" s="1"/>
      <c r="AG43" s="1"/>
    </row>
    <row r="44" spans="6:33" ht="12.75" customHeight="1" x14ac:dyDescent="0.2">
      <c r="F44" s="1"/>
      <c r="G44" s="1"/>
      <c r="J44" s="1"/>
      <c r="K44" s="1"/>
      <c r="L44" s="1"/>
      <c r="R44" s="1"/>
      <c r="AC44" s="1"/>
      <c r="AE44" s="1"/>
      <c r="AG44" s="1"/>
    </row>
    <row r="45" spans="6:33" ht="12.75" customHeight="1" x14ac:dyDescent="0.2">
      <c r="F45" s="1"/>
      <c r="G45" s="1"/>
      <c r="J45" s="1"/>
      <c r="K45" s="1"/>
      <c r="L45" s="1"/>
      <c r="R45" s="1"/>
      <c r="AC45" s="1"/>
      <c r="AE45" s="1"/>
      <c r="AG45" s="1"/>
    </row>
    <row r="46" spans="6:33" ht="12.75" customHeight="1" x14ac:dyDescent="0.2">
      <c r="F46" s="1"/>
      <c r="G46" s="1"/>
      <c r="J46" s="1"/>
      <c r="K46" s="1"/>
      <c r="L46" s="1"/>
      <c r="R46" s="1"/>
      <c r="AC46" s="1"/>
      <c r="AE46" s="1"/>
      <c r="AG46" s="1"/>
    </row>
    <row r="47" spans="6:33" ht="12.75" customHeight="1" x14ac:dyDescent="0.2">
      <c r="F47" s="1"/>
      <c r="G47" s="1"/>
      <c r="J47" s="1"/>
      <c r="K47" s="1"/>
      <c r="L47" s="1"/>
      <c r="R47" s="1"/>
      <c r="AC47" s="1"/>
      <c r="AE47" s="1"/>
      <c r="AG47" s="1"/>
    </row>
    <row r="48" spans="6:33" ht="12.75" customHeight="1" x14ac:dyDescent="0.2">
      <c r="F48" s="1"/>
      <c r="G48" s="1"/>
      <c r="J48" s="1"/>
      <c r="K48" s="1"/>
      <c r="L48" s="1"/>
      <c r="R48" s="1"/>
      <c r="AC48" s="1"/>
      <c r="AE48" s="1"/>
      <c r="AG48" s="1"/>
    </row>
    <row r="49" spans="6:33" ht="12.75" customHeight="1" x14ac:dyDescent="0.2">
      <c r="F49" s="1"/>
      <c r="G49" s="1"/>
      <c r="J49" s="1"/>
      <c r="K49" s="1"/>
      <c r="L49" s="1"/>
      <c r="R49" s="1"/>
      <c r="AC49" s="1"/>
      <c r="AE49" s="1"/>
      <c r="AG49" s="1"/>
    </row>
    <row r="50" spans="6:33" ht="12.75" customHeight="1" x14ac:dyDescent="0.2">
      <c r="F50" s="1"/>
      <c r="G50" s="1"/>
      <c r="J50" s="1"/>
      <c r="K50" s="1"/>
      <c r="L50" s="1"/>
      <c r="R50" s="1"/>
      <c r="AC50" s="1"/>
      <c r="AE50" s="1"/>
      <c r="AG50" s="1"/>
    </row>
    <row r="51" spans="6:33" ht="12.75" customHeight="1" x14ac:dyDescent="0.2">
      <c r="F51" s="1"/>
      <c r="G51" s="1"/>
      <c r="J51" s="1"/>
      <c r="K51" s="1"/>
      <c r="L51" s="1"/>
      <c r="R51" s="1"/>
      <c r="AC51" s="1"/>
      <c r="AE51" s="1"/>
      <c r="AG51" s="1"/>
    </row>
    <row r="52" spans="6:33" ht="12.75" customHeight="1" x14ac:dyDescent="0.2">
      <c r="F52" s="1"/>
      <c r="G52" s="1"/>
      <c r="J52" s="1"/>
      <c r="K52" s="1"/>
      <c r="L52" s="1"/>
      <c r="R52" s="1"/>
      <c r="AC52" s="1"/>
      <c r="AE52" s="1"/>
      <c r="AG52" s="1"/>
    </row>
    <row r="53" spans="6:33" ht="12.75" customHeight="1" x14ac:dyDescent="0.2">
      <c r="F53" s="1"/>
      <c r="G53" s="1"/>
      <c r="J53" s="1"/>
      <c r="K53" s="1"/>
      <c r="L53" s="1"/>
      <c r="R53" s="1"/>
      <c r="AC53" s="1"/>
      <c r="AE53" s="1"/>
      <c r="AG53" s="1"/>
    </row>
    <row r="54" spans="6:33" ht="12.75" customHeight="1" x14ac:dyDescent="0.2">
      <c r="F54" s="1"/>
      <c r="G54" s="1"/>
      <c r="J54" s="1"/>
      <c r="K54" s="1"/>
      <c r="L54" s="1"/>
      <c r="R54" s="1"/>
      <c r="AC54" s="1"/>
      <c r="AE54" s="1"/>
      <c r="AG54" s="1"/>
    </row>
    <row r="55" spans="6:33" ht="12.75" customHeight="1" x14ac:dyDescent="0.2">
      <c r="F55" s="1"/>
      <c r="G55" s="1"/>
      <c r="J55" s="1"/>
      <c r="K55" s="1"/>
      <c r="L55" s="1"/>
      <c r="R55" s="1"/>
      <c r="AC55" s="1"/>
      <c r="AE55" s="1"/>
      <c r="AG55" s="1"/>
    </row>
    <row r="56" spans="6:33" ht="12.75" customHeight="1" x14ac:dyDescent="0.2">
      <c r="F56" s="1"/>
      <c r="G56" s="1"/>
      <c r="J56" s="1"/>
      <c r="K56" s="1"/>
      <c r="L56" s="1"/>
      <c r="R56" s="1"/>
      <c r="AC56" s="1"/>
      <c r="AE56" s="1"/>
      <c r="AG56" s="1"/>
    </row>
    <row r="57" spans="6:33" ht="12.75" customHeight="1" x14ac:dyDescent="0.2">
      <c r="F57" s="1"/>
      <c r="G57" s="1"/>
      <c r="J57" s="1"/>
      <c r="K57" s="1"/>
      <c r="L57" s="1"/>
      <c r="R57" s="1"/>
      <c r="AC57" s="1"/>
      <c r="AE57" s="1"/>
      <c r="AG57" s="1"/>
    </row>
    <row r="58" spans="6:33" ht="12.75" customHeight="1" x14ac:dyDescent="0.2">
      <c r="F58" s="1"/>
      <c r="G58" s="1"/>
      <c r="J58" s="1"/>
      <c r="K58" s="1"/>
      <c r="L58" s="1"/>
      <c r="R58" s="1"/>
      <c r="AC58" s="1"/>
      <c r="AE58" s="1"/>
      <c r="AG58" s="1"/>
    </row>
    <row r="59" spans="6:33" ht="12.75" customHeight="1" x14ac:dyDescent="0.2">
      <c r="F59" s="1"/>
      <c r="G59" s="1"/>
      <c r="J59" s="1"/>
      <c r="K59" s="1"/>
      <c r="L59" s="1"/>
      <c r="R59" s="1"/>
      <c r="AC59" s="1"/>
      <c r="AE59" s="1"/>
      <c r="AG59" s="1"/>
    </row>
    <row r="60" spans="6:33" ht="12.75" customHeight="1" x14ac:dyDescent="0.2">
      <c r="F60" s="1"/>
      <c r="G60" s="1"/>
      <c r="J60" s="1"/>
      <c r="K60" s="1"/>
      <c r="L60" s="1"/>
      <c r="R60" s="1"/>
      <c r="AC60" s="1"/>
      <c r="AE60" s="1"/>
      <c r="AG60" s="1"/>
    </row>
    <row r="61" spans="6:33" ht="12.75" customHeight="1" x14ac:dyDescent="0.2">
      <c r="F61" s="1"/>
      <c r="G61" s="1"/>
      <c r="J61" s="1"/>
      <c r="K61" s="1"/>
      <c r="L61" s="1"/>
      <c r="R61" s="1"/>
      <c r="AC61" s="1"/>
      <c r="AE61" s="1"/>
      <c r="AG61" s="1"/>
    </row>
    <row r="62" spans="6:33" ht="12.75" customHeight="1" x14ac:dyDescent="0.2">
      <c r="F62" s="1"/>
      <c r="G62" s="1"/>
      <c r="J62" s="1"/>
      <c r="K62" s="1"/>
      <c r="L62" s="1"/>
      <c r="R62" s="1"/>
      <c r="AC62" s="1"/>
      <c r="AE62" s="1"/>
      <c r="AG62" s="1"/>
    </row>
    <row r="63" spans="6:33" ht="12.75" customHeight="1" x14ac:dyDescent="0.2">
      <c r="F63" s="1"/>
      <c r="G63" s="1"/>
      <c r="J63" s="1"/>
      <c r="K63" s="1"/>
      <c r="L63" s="1"/>
      <c r="R63" s="1"/>
      <c r="AC63" s="1"/>
      <c r="AE63" s="1"/>
      <c r="AG63" s="1"/>
    </row>
    <row r="64" spans="6:33" ht="12.75" customHeight="1" x14ac:dyDescent="0.2">
      <c r="F64" s="1"/>
      <c r="G64" s="1"/>
      <c r="J64" s="1"/>
      <c r="K64" s="1"/>
      <c r="L64" s="1"/>
      <c r="R64" s="1"/>
      <c r="AC64" s="1"/>
      <c r="AE64" s="1"/>
      <c r="AG64" s="1"/>
    </row>
    <row r="65" spans="6:33" ht="12.75" customHeight="1" x14ac:dyDescent="0.2">
      <c r="F65" s="1"/>
      <c r="G65" s="1"/>
      <c r="J65" s="1"/>
      <c r="K65" s="1"/>
      <c r="L65" s="1"/>
      <c r="R65" s="1"/>
      <c r="AC65" s="1"/>
      <c r="AE65" s="1"/>
      <c r="AG65" s="1"/>
    </row>
    <row r="66" spans="6:33" ht="12.75" customHeight="1" x14ac:dyDescent="0.2">
      <c r="F66" s="1"/>
      <c r="G66" s="1"/>
      <c r="J66" s="1"/>
      <c r="K66" s="1"/>
      <c r="L66" s="1"/>
      <c r="R66" s="1"/>
      <c r="AC66" s="1"/>
      <c r="AE66" s="1"/>
      <c r="AG66" s="1"/>
    </row>
    <row r="67" spans="6:33" ht="12.75" customHeight="1" x14ac:dyDescent="0.2">
      <c r="F67" s="1"/>
      <c r="G67" s="1"/>
      <c r="J67" s="1"/>
      <c r="K67" s="1"/>
      <c r="L67" s="1"/>
      <c r="R67" s="1"/>
      <c r="AC67" s="1"/>
      <c r="AE67" s="1"/>
      <c r="AG67" s="1"/>
    </row>
    <row r="68" spans="6:33" ht="12.75" customHeight="1" x14ac:dyDescent="0.2">
      <c r="F68" s="1"/>
      <c r="G68" s="1"/>
      <c r="J68" s="1"/>
      <c r="K68" s="1"/>
      <c r="L68" s="1"/>
      <c r="R68" s="1"/>
      <c r="AC68" s="1"/>
      <c r="AE68" s="1"/>
      <c r="AG68" s="1"/>
    </row>
    <row r="69" spans="6:33" ht="12.75" customHeight="1" x14ac:dyDescent="0.2">
      <c r="F69" s="1"/>
      <c r="G69" s="1"/>
      <c r="J69" s="1"/>
      <c r="K69" s="1"/>
      <c r="L69" s="1"/>
      <c r="R69" s="1"/>
      <c r="AC69" s="1"/>
      <c r="AE69" s="1"/>
      <c r="AG69" s="1"/>
    </row>
    <row r="70" spans="6:33" ht="12.75" customHeight="1" x14ac:dyDescent="0.2">
      <c r="F70" s="1"/>
      <c r="G70" s="1"/>
      <c r="J70" s="1"/>
      <c r="K70" s="1"/>
      <c r="L70" s="1"/>
      <c r="R70" s="1"/>
      <c r="AC70" s="1"/>
      <c r="AE70" s="1"/>
      <c r="AG70" s="1"/>
    </row>
    <row r="71" spans="6:33" ht="12.75" customHeight="1" x14ac:dyDescent="0.2">
      <c r="F71" s="1"/>
      <c r="G71" s="1"/>
      <c r="J71" s="1"/>
      <c r="K71" s="1"/>
      <c r="L71" s="1"/>
      <c r="R71" s="1"/>
      <c r="AC71" s="1"/>
      <c r="AE71" s="1"/>
      <c r="AG71" s="1"/>
    </row>
    <row r="72" spans="6:33" ht="12.75" customHeight="1" x14ac:dyDescent="0.2">
      <c r="F72" s="1"/>
      <c r="G72" s="1"/>
      <c r="J72" s="1"/>
      <c r="K72" s="1"/>
      <c r="L72" s="1"/>
      <c r="R72" s="1"/>
      <c r="AC72" s="1"/>
      <c r="AE72" s="1"/>
      <c r="AG72" s="1"/>
    </row>
    <row r="73" spans="6:33" ht="12.75" customHeight="1" x14ac:dyDescent="0.2">
      <c r="F73" s="1"/>
      <c r="G73" s="1"/>
      <c r="J73" s="1"/>
      <c r="K73" s="1"/>
      <c r="L73" s="1"/>
      <c r="R73" s="1"/>
      <c r="AC73" s="1"/>
      <c r="AE73" s="1"/>
      <c r="AG73" s="1"/>
    </row>
    <row r="74" spans="6:33" ht="12.75" customHeight="1" x14ac:dyDescent="0.2">
      <c r="F74" s="1"/>
      <c r="G74" s="1"/>
      <c r="J74" s="1"/>
      <c r="K74" s="1"/>
      <c r="L74" s="1"/>
      <c r="R74" s="1"/>
      <c r="AC74" s="1"/>
      <c r="AE74" s="1"/>
      <c r="AG74" s="1"/>
    </row>
    <row r="75" spans="6:33" ht="12.75" customHeight="1" x14ac:dyDescent="0.2">
      <c r="F75" s="1"/>
      <c r="G75" s="1"/>
      <c r="J75" s="1"/>
      <c r="K75" s="1"/>
      <c r="L75" s="1"/>
      <c r="R75" s="1"/>
      <c r="AC75" s="1"/>
      <c r="AE75" s="1"/>
      <c r="AG75" s="1"/>
    </row>
    <row r="76" spans="6:33" ht="12.75" customHeight="1" x14ac:dyDescent="0.2">
      <c r="F76" s="1"/>
      <c r="G76" s="1"/>
      <c r="J76" s="1"/>
      <c r="K76" s="1"/>
      <c r="L76" s="1"/>
      <c r="R76" s="1"/>
      <c r="AC76" s="1"/>
      <c r="AE76" s="1"/>
      <c r="AG76" s="1"/>
    </row>
    <row r="77" spans="6:33" ht="12.75" customHeight="1" x14ac:dyDescent="0.2">
      <c r="F77" s="1"/>
      <c r="G77" s="1"/>
      <c r="J77" s="1"/>
      <c r="K77" s="1"/>
      <c r="L77" s="1"/>
      <c r="R77" s="1"/>
      <c r="AC77" s="1"/>
      <c r="AE77" s="1"/>
      <c r="AG77" s="1"/>
    </row>
    <row r="78" spans="6:33" ht="12.75" customHeight="1" x14ac:dyDescent="0.2">
      <c r="F78" s="1"/>
      <c r="G78" s="1"/>
      <c r="J78" s="1"/>
      <c r="K78" s="1"/>
      <c r="L78" s="1"/>
      <c r="R78" s="1"/>
      <c r="AC78" s="1"/>
      <c r="AE78" s="1"/>
      <c r="AG78" s="1"/>
    </row>
    <row r="79" spans="6:33" ht="12.75" customHeight="1" x14ac:dyDescent="0.2">
      <c r="F79" s="1"/>
      <c r="G79" s="1"/>
      <c r="J79" s="1"/>
      <c r="K79" s="1"/>
      <c r="L79" s="1"/>
      <c r="R79" s="1"/>
      <c r="AC79" s="1"/>
      <c r="AE79" s="1"/>
      <c r="AG79" s="1"/>
    </row>
    <row r="80" spans="6:33" ht="12.75" customHeight="1" x14ac:dyDescent="0.2">
      <c r="F80" s="1"/>
      <c r="G80" s="1"/>
      <c r="J80" s="1"/>
      <c r="K80" s="1"/>
      <c r="L80" s="1"/>
      <c r="R80" s="1"/>
      <c r="AC80" s="1"/>
      <c r="AE80" s="1"/>
      <c r="AG80" s="1"/>
    </row>
    <row r="81" spans="6:33" ht="12.75" customHeight="1" x14ac:dyDescent="0.2">
      <c r="F81" s="1"/>
      <c r="G81" s="1"/>
      <c r="J81" s="1"/>
      <c r="K81" s="1"/>
      <c r="L81" s="1"/>
      <c r="R81" s="1"/>
      <c r="AC81" s="1"/>
      <c r="AE81" s="1"/>
      <c r="AG81" s="1"/>
    </row>
    <row r="82" spans="6:33" ht="12.75" customHeight="1" x14ac:dyDescent="0.2">
      <c r="F82" s="1"/>
      <c r="G82" s="1"/>
      <c r="J82" s="1"/>
      <c r="K82" s="1"/>
      <c r="L82" s="1"/>
      <c r="R82" s="1"/>
      <c r="AC82" s="1"/>
      <c r="AE82" s="1"/>
      <c r="AG82" s="1"/>
    </row>
    <row r="83" spans="6:33" ht="12.75" customHeight="1" x14ac:dyDescent="0.2">
      <c r="F83" s="1"/>
      <c r="G83" s="1"/>
      <c r="J83" s="1"/>
      <c r="K83" s="1"/>
      <c r="L83" s="1"/>
      <c r="R83" s="1"/>
      <c r="AC83" s="1"/>
      <c r="AE83" s="1"/>
      <c r="AG83" s="1"/>
    </row>
    <row r="84" spans="6:33" ht="12.75" customHeight="1" x14ac:dyDescent="0.2">
      <c r="F84" s="1"/>
      <c r="G84" s="1"/>
      <c r="J84" s="1"/>
      <c r="K84" s="1"/>
      <c r="L84" s="1"/>
      <c r="R84" s="1"/>
      <c r="AC84" s="1"/>
      <c r="AE84" s="1"/>
      <c r="AG84" s="1"/>
    </row>
    <row r="85" spans="6:33" ht="12.75" customHeight="1" x14ac:dyDescent="0.2">
      <c r="F85" s="1"/>
      <c r="G85" s="1"/>
      <c r="J85" s="1"/>
      <c r="K85" s="1"/>
      <c r="L85" s="1"/>
      <c r="R85" s="1"/>
      <c r="AC85" s="1"/>
      <c r="AE85" s="1"/>
      <c r="AG85" s="1"/>
    </row>
    <row r="86" spans="6:33" ht="12.75" customHeight="1" x14ac:dyDescent="0.2">
      <c r="F86" s="1"/>
      <c r="G86" s="1"/>
      <c r="J86" s="1"/>
      <c r="K86" s="1"/>
      <c r="L86" s="1"/>
      <c r="R86" s="1"/>
      <c r="AC86" s="1"/>
      <c r="AE86" s="1"/>
      <c r="AG86" s="1"/>
    </row>
    <row r="87" spans="6:33" ht="12.75" customHeight="1" x14ac:dyDescent="0.2">
      <c r="F87" s="1"/>
      <c r="G87" s="1"/>
      <c r="J87" s="1"/>
      <c r="K87" s="1"/>
      <c r="L87" s="1"/>
      <c r="R87" s="1"/>
      <c r="AC87" s="1"/>
      <c r="AE87" s="1"/>
      <c r="AG87" s="1"/>
    </row>
    <row r="88" spans="6:33" ht="12.75" customHeight="1" x14ac:dyDescent="0.2">
      <c r="F88" s="1"/>
      <c r="G88" s="1"/>
      <c r="J88" s="1"/>
      <c r="K88" s="1"/>
      <c r="L88" s="1"/>
      <c r="R88" s="1"/>
      <c r="AC88" s="1"/>
      <c r="AE88" s="1"/>
      <c r="AG88" s="1"/>
    </row>
    <row r="89" spans="6:33" ht="12.75" customHeight="1" x14ac:dyDescent="0.2">
      <c r="F89" s="1"/>
      <c r="G89" s="1"/>
      <c r="J89" s="1"/>
      <c r="K89" s="1"/>
      <c r="L89" s="1"/>
      <c r="R89" s="1"/>
      <c r="AC89" s="1"/>
      <c r="AE89" s="1"/>
      <c r="AG89" s="1"/>
    </row>
    <row r="90" spans="6:33" ht="12.75" customHeight="1" x14ac:dyDescent="0.2">
      <c r="F90" s="1"/>
      <c r="G90" s="1"/>
      <c r="J90" s="1"/>
      <c r="K90" s="1"/>
      <c r="L90" s="1"/>
      <c r="R90" s="1"/>
      <c r="AC90" s="1"/>
      <c r="AE90" s="1"/>
      <c r="AG90" s="1"/>
    </row>
    <row r="91" spans="6:33" ht="12.75" customHeight="1" x14ac:dyDescent="0.2">
      <c r="F91" s="1"/>
      <c r="G91" s="1"/>
      <c r="J91" s="1"/>
      <c r="K91" s="1"/>
      <c r="L91" s="1"/>
      <c r="R91" s="1"/>
      <c r="AC91" s="1"/>
      <c r="AE91" s="1"/>
      <c r="AG91" s="1"/>
    </row>
    <row r="92" spans="6:33" ht="12.75" customHeight="1" x14ac:dyDescent="0.2">
      <c r="F92" s="1"/>
      <c r="G92" s="1"/>
      <c r="J92" s="1"/>
      <c r="K92" s="1"/>
      <c r="L92" s="1"/>
      <c r="R92" s="1"/>
      <c r="AC92" s="1"/>
      <c r="AE92" s="1"/>
      <c r="AG92" s="1"/>
    </row>
    <row r="93" spans="6:33" ht="12.75" customHeight="1" x14ac:dyDescent="0.2">
      <c r="F93" s="1"/>
      <c r="G93" s="1"/>
      <c r="J93" s="1"/>
      <c r="K93" s="1"/>
      <c r="L93" s="1"/>
      <c r="R93" s="1"/>
      <c r="AC93" s="1"/>
      <c r="AE93" s="1"/>
      <c r="AG93" s="1"/>
    </row>
    <row r="94" spans="6:33" ht="12.75" customHeight="1" x14ac:dyDescent="0.2">
      <c r="F94" s="1"/>
      <c r="G94" s="1"/>
      <c r="J94" s="1"/>
      <c r="K94" s="1"/>
      <c r="L94" s="1"/>
      <c r="R94" s="1"/>
      <c r="AC94" s="1"/>
      <c r="AE94" s="1"/>
      <c r="AG94" s="1"/>
    </row>
    <row r="95" spans="6:33" ht="12.75" customHeight="1" x14ac:dyDescent="0.2">
      <c r="F95" s="1"/>
      <c r="G95" s="1"/>
      <c r="J95" s="1"/>
      <c r="K95" s="1"/>
      <c r="L95" s="1"/>
      <c r="R95" s="1"/>
      <c r="AC95" s="1"/>
      <c r="AE95" s="1"/>
      <c r="AG95" s="1"/>
    </row>
    <row r="96" spans="6:33" ht="12.75" customHeight="1" x14ac:dyDescent="0.2">
      <c r="F96" s="1"/>
      <c r="G96" s="1"/>
      <c r="J96" s="1"/>
      <c r="K96" s="1"/>
      <c r="L96" s="1"/>
      <c r="R96" s="1"/>
      <c r="AC96" s="1"/>
      <c r="AE96" s="1"/>
      <c r="AG96" s="1"/>
    </row>
    <row r="97" spans="6:33" ht="12.75" customHeight="1" x14ac:dyDescent="0.2">
      <c r="F97" s="1"/>
      <c r="G97" s="1"/>
      <c r="J97" s="1"/>
      <c r="K97" s="1"/>
      <c r="L97" s="1"/>
      <c r="R97" s="1"/>
      <c r="AC97" s="1"/>
      <c r="AE97" s="1"/>
      <c r="AG97" s="1"/>
    </row>
    <row r="98" spans="6:33" ht="12.75" customHeight="1" x14ac:dyDescent="0.2">
      <c r="F98" s="1"/>
      <c r="G98" s="1"/>
      <c r="J98" s="1"/>
      <c r="K98" s="1"/>
      <c r="L98" s="1"/>
      <c r="R98" s="1"/>
      <c r="AC98" s="1"/>
      <c r="AE98" s="1"/>
      <c r="AG98" s="1"/>
    </row>
    <row r="99" spans="6:33" ht="12.75" customHeight="1" x14ac:dyDescent="0.2">
      <c r="F99" s="1"/>
      <c r="G99" s="1"/>
      <c r="J99" s="1"/>
      <c r="K99" s="1"/>
      <c r="L99" s="1"/>
      <c r="R99" s="1"/>
      <c r="AC99" s="1"/>
      <c r="AE99" s="1"/>
      <c r="AG99" s="1"/>
    </row>
    <row r="100" spans="6:33" ht="12.75" customHeight="1" x14ac:dyDescent="0.2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ht="12.75" customHeight="1" x14ac:dyDescent="0.2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ht="12.75" customHeight="1" x14ac:dyDescent="0.2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ht="12.75" customHeight="1" x14ac:dyDescent="0.2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ht="12.75" customHeight="1" x14ac:dyDescent="0.2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ht="12.75" customHeight="1" x14ac:dyDescent="0.2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ht="12.75" customHeight="1" x14ac:dyDescent="0.2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ht="12.75" customHeight="1" x14ac:dyDescent="0.2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ht="12.75" customHeight="1" x14ac:dyDescent="0.2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ht="12.75" customHeight="1" x14ac:dyDescent="0.2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ht="12.75" customHeight="1" x14ac:dyDescent="0.2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ht="12.75" customHeight="1" x14ac:dyDescent="0.2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ht="12.75" customHeight="1" x14ac:dyDescent="0.2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ht="12.75" customHeight="1" x14ac:dyDescent="0.2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ht="12.75" customHeight="1" x14ac:dyDescent="0.2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ht="12.75" customHeight="1" x14ac:dyDescent="0.2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ht="12.75" customHeight="1" x14ac:dyDescent="0.2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ht="12.75" customHeight="1" x14ac:dyDescent="0.2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ht="12.75" customHeight="1" x14ac:dyDescent="0.2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ht="12.75" customHeight="1" x14ac:dyDescent="0.2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ht="12.75" customHeight="1" x14ac:dyDescent="0.2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ht="12.75" customHeight="1" x14ac:dyDescent="0.2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ht="12.75" customHeight="1" x14ac:dyDescent="0.2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ht="12.75" customHeight="1" x14ac:dyDescent="0.2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ht="12.75" customHeight="1" x14ac:dyDescent="0.2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ht="12.75" customHeight="1" x14ac:dyDescent="0.2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ht="12.75" customHeight="1" x14ac:dyDescent="0.2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ht="12.75" customHeight="1" x14ac:dyDescent="0.2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ht="12.75" customHeight="1" x14ac:dyDescent="0.2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ht="12.75" customHeight="1" x14ac:dyDescent="0.2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ht="12.75" customHeight="1" x14ac:dyDescent="0.2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ht="12.75" customHeight="1" x14ac:dyDescent="0.2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ht="12.75" customHeight="1" x14ac:dyDescent="0.2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ht="12.75" customHeight="1" x14ac:dyDescent="0.2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ht="12.75" customHeight="1" x14ac:dyDescent="0.2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ht="12.75" customHeight="1" x14ac:dyDescent="0.2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ht="12.75" customHeight="1" x14ac:dyDescent="0.2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ht="12.75" customHeight="1" x14ac:dyDescent="0.2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ht="12.75" customHeight="1" x14ac:dyDescent="0.2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ht="12.75" customHeight="1" x14ac:dyDescent="0.2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ht="12.75" customHeight="1" x14ac:dyDescent="0.2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ht="12.75" customHeight="1" x14ac:dyDescent="0.2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ht="12.75" customHeight="1" x14ac:dyDescent="0.2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ht="12.75" customHeight="1" x14ac:dyDescent="0.2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ht="12.75" customHeight="1" x14ac:dyDescent="0.2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ht="12.75" customHeight="1" x14ac:dyDescent="0.2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ht="12.75" customHeight="1" x14ac:dyDescent="0.2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ht="12.75" customHeight="1" x14ac:dyDescent="0.2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ht="12.75" customHeight="1" x14ac:dyDescent="0.2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ht="12.75" customHeight="1" x14ac:dyDescent="0.2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ht="12.75" customHeight="1" x14ac:dyDescent="0.2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ht="12.75" customHeight="1" x14ac:dyDescent="0.2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ht="12.75" customHeight="1" x14ac:dyDescent="0.2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ht="12.75" customHeight="1" x14ac:dyDescent="0.2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ht="12.75" customHeight="1" x14ac:dyDescent="0.2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ht="12.75" customHeight="1" x14ac:dyDescent="0.2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ht="12.75" customHeight="1" x14ac:dyDescent="0.2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ht="12.75" customHeight="1" x14ac:dyDescent="0.2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ht="12.75" customHeight="1" x14ac:dyDescent="0.2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ht="12.75" customHeight="1" x14ac:dyDescent="0.2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ht="12.75" customHeight="1" x14ac:dyDescent="0.2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ht="12.75" customHeight="1" x14ac:dyDescent="0.2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ht="12.75" customHeight="1" x14ac:dyDescent="0.2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ht="12.75" customHeight="1" x14ac:dyDescent="0.2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ht="12.75" customHeight="1" x14ac:dyDescent="0.2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ht="12.75" customHeight="1" x14ac:dyDescent="0.2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ht="12.75" customHeight="1" x14ac:dyDescent="0.2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ht="12.75" customHeight="1" x14ac:dyDescent="0.2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ht="12.75" customHeight="1" x14ac:dyDescent="0.2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ht="12.75" customHeight="1" x14ac:dyDescent="0.2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ht="12.75" customHeight="1" x14ac:dyDescent="0.2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ht="12.75" customHeight="1" x14ac:dyDescent="0.2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ht="12.75" customHeight="1" x14ac:dyDescent="0.2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ht="12.75" customHeight="1" x14ac:dyDescent="0.2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ht="12.75" customHeight="1" x14ac:dyDescent="0.2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ht="12.75" customHeight="1" x14ac:dyDescent="0.2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ht="12.75" customHeight="1" x14ac:dyDescent="0.2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ht="12.75" customHeight="1" x14ac:dyDescent="0.2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ht="12.75" customHeight="1" x14ac:dyDescent="0.2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ht="12.75" customHeight="1" x14ac:dyDescent="0.2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ht="12.75" customHeight="1" x14ac:dyDescent="0.2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ht="12.75" customHeight="1" x14ac:dyDescent="0.2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ht="12.75" customHeight="1" x14ac:dyDescent="0.2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ht="12.75" customHeight="1" x14ac:dyDescent="0.2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ht="12.75" customHeight="1" x14ac:dyDescent="0.2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ht="12.75" customHeight="1" x14ac:dyDescent="0.2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ht="12.75" customHeight="1" x14ac:dyDescent="0.2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ht="12.75" customHeight="1" x14ac:dyDescent="0.2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ht="12.75" customHeight="1" x14ac:dyDescent="0.2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ht="12.75" customHeight="1" x14ac:dyDescent="0.2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ht="12.75" customHeight="1" x14ac:dyDescent="0.2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ht="12.75" customHeight="1" x14ac:dyDescent="0.2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ht="12.75" customHeight="1" x14ac:dyDescent="0.2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ht="12.75" customHeight="1" x14ac:dyDescent="0.2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ht="12.75" customHeight="1" x14ac:dyDescent="0.2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ht="12.75" customHeight="1" x14ac:dyDescent="0.2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ht="12.75" customHeight="1" x14ac:dyDescent="0.2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ht="12.75" customHeight="1" x14ac:dyDescent="0.2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ht="12.75" customHeight="1" x14ac:dyDescent="0.2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ht="12.75" customHeight="1" x14ac:dyDescent="0.2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ht="12.75" customHeight="1" x14ac:dyDescent="0.2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ht="12.75" customHeight="1" x14ac:dyDescent="0.2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ht="12.75" customHeight="1" x14ac:dyDescent="0.2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ht="12.75" customHeight="1" x14ac:dyDescent="0.2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ht="12.75" customHeight="1" x14ac:dyDescent="0.2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ht="12.75" customHeight="1" x14ac:dyDescent="0.2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ht="12.75" customHeight="1" x14ac:dyDescent="0.2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ht="12.75" customHeight="1" x14ac:dyDescent="0.2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ht="12.75" customHeight="1" x14ac:dyDescent="0.2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ht="12.75" customHeight="1" x14ac:dyDescent="0.2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ht="12.75" customHeight="1" x14ac:dyDescent="0.2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ht="12.75" customHeight="1" x14ac:dyDescent="0.2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ht="12.75" customHeight="1" x14ac:dyDescent="0.2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ht="12.75" customHeight="1" x14ac:dyDescent="0.2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ht="12.75" customHeight="1" x14ac:dyDescent="0.2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ht="12.75" customHeight="1" x14ac:dyDescent="0.2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ht="12.75" customHeight="1" x14ac:dyDescent="0.2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ht="12.75" customHeight="1" x14ac:dyDescent="0.2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ht="12.75" customHeight="1" x14ac:dyDescent="0.2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ht="12.75" customHeight="1" x14ac:dyDescent="0.2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ht="12.75" customHeight="1" x14ac:dyDescent="0.2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ht="12.75" customHeight="1" x14ac:dyDescent="0.2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ht="12.75" customHeight="1" x14ac:dyDescent="0.2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ht="12.75" customHeight="1" x14ac:dyDescent="0.2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ht="12.75" customHeight="1" x14ac:dyDescent="0.2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ht="12.75" customHeight="1" x14ac:dyDescent="0.2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ht="12.75" customHeight="1" x14ac:dyDescent="0.2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ht="12.75" customHeight="1" x14ac:dyDescent="0.2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ht="12.75" customHeight="1" x14ac:dyDescent="0.2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ht="12.75" customHeight="1" x14ac:dyDescent="0.2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ht="12.75" customHeight="1" x14ac:dyDescent="0.2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ht="12.75" customHeight="1" x14ac:dyDescent="0.2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ht="12.75" customHeight="1" x14ac:dyDescent="0.2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ht="12.75" customHeight="1" x14ac:dyDescent="0.2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ht="12.75" customHeight="1" x14ac:dyDescent="0.2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ht="12.75" customHeight="1" x14ac:dyDescent="0.2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ht="12.75" customHeight="1" x14ac:dyDescent="0.2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ht="12.75" customHeight="1" x14ac:dyDescent="0.2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ht="12.75" customHeight="1" x14ac:dyDescent="0.2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ht="12.75" customHeight="1" x14ac:dyDescent="0.2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ht="12.75" customHeight="1" x14ac:dyDescent="0.2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ht="12.75" customHeight="1" x14ac:dyDescent="0.2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ht="12.75" customHeight="1" x14ac:dyDescent="0.2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ht="12.75" customHeight="1" x14ac:dyDescent="0.2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ht="12.75" customHeight="1" x14ac:dyDescent="0.2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ht="12.75" customHeight="1" x14ac:dyDescent="0.2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ht="12.75" customHeight="1" x14ac:dyDescent="0.2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ht="12.75" customHeight="1" x14ac:dyDescent="0.2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ht="12.75" customHeight="1" x14ac:dyDescent="0.2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ht="12.75" customHeight="1" x14ac:dyDescent="0.2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ht="12.75" customHeight="1" x14ac:dyDescent="0.2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ht="12.75" customHeight="1" x14ac:dyDescent="0.2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ht="12.75" customHeight="1" x14ac:dyDescent="0.2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ht="12.75" customHeight="1" x14ac:dyDescent="0.2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ht="12.75" customHeight="1" x14ac:dyDescent="0.2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ht="12.75" customHeight="1" x14ac:dyDescent="0.2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ht="12.75" customHeight="1" x14ac:dyDescent="0.2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ht="12.75" customHeight="1" x14ac:dyDescent="0.2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ht="12.75" customHeight="1" x14ac:dyDescent="0.2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ht="12.75" customHeight="1" x14ac:dyDescent="0.2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ht="12.75" customHeight="1" x14ac:dyDescent="0.2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ht="12.75" customHeight="1" x14ac:dyDescent="0.2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ht="12.75" customHeight="1" x14ac:dyDescent="0.2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ht="12.75" customHeight="1" x14ac:dyDescent="0.2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ht="12.75" customHeight="1" x14ac:dyDescent="0.2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ht="12.75" customHeight="1" x14ac:dyDescent="0.2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ht="12.75" customHeight="1" x14ac:dyDescent="0.2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ht="12.75" customHeight="1" x14ac:dyDescent="0.2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ht="12.75" customHeight="1" x14ac:dyDescent="0.2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ht="12.75" customHeight="1" x14ac:dyDescent="0.2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ht="12.75" customHeight="1" x14ac:dyDescent="0.2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ht="12.75" customHeight="1" x14ac:dyDescent="0.2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ht="12.75" customHeight="1" x14ac:dyDescent="0.2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ht="12.75" customHeight="1" x14ac:dyDescent="0.2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ht="12.75" customHeight="1" x14ac:dyDescent="0.2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ht="12.75" customHeight="1" x14ac:dyDescent="0.2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ht="12.75" customHeight="1" x14ac:dyDescent="0.2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ht="12.75" customHeight="1" x14ac:dyDescent="0.2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ht="12.75" customHeight="1" x14ac:dyDescent="0.2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ht="12.75" customHeight="1" x14ac:dyDescent="0.2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ht="12.75" customHeight="1" x14ac:dyDescent="0.2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ht="12.75" customHeight="1" x14ac:dyDescent="0.2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ht="12.75" customHeight="1" x14ac:dyDescent="0.2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ht="12.75" customHeight="1" x14ac:dyDescent="0.2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ht="12.75" customHeight="1" x14ac:dyDescent="0.2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ht="12.75" customHeight="1" x14ac:dyDescent="0.2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ht="12.75" customHeight="1" x14ac:dyDescent="0.2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ht="12.75" customHeight="1" x14ac:dyDescent="0.2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ht="12.75" customHeight="1" x14ac:dyDescent="0.2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ht="12.75" customHeight="1" x14ac:dyDescent="0.2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ht="12.75" customHeight="1" x14ac:dyDescent="0.2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ht="12.75" customHeight="1" x14ac:dyDescent="0.2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ht="12.75" customHeight="1" x14ac:dyDescent="0.2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ht="12.75" customHeight="1" x14ac:dyDescent="0.2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ht="12.75" customHeight="1" x14ac:dyDescent="0.2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ht="12.75" customHeight="1" x14ac:dyDescent="0.2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ht="12.75" customHeight="1" x14ac:dyDescent="0.2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ht="12.75" customHeight="1" x14ac:dyDescent="0.2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ht="12.75" customHeight="1" x14ac:dyDescent="0.2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ht="12.75" customHeight="1" x14ac:dyDescent="0.2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ht="12.75" customHeight="1" x14ac:dyDescent="0.2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ht="12.75" customHeight="1" x14ac:dyDescent="0.2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ht="12.75" customHeight="1" x14ac:dyDescent="0.2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ht="12.75" customHeight="1" x14ac:dyDescent="0.2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ht="12.75" customHeight="1" x14ac:dyDescent="0.2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ht="12.75" customHeight="1" x14ac:dyDescent="0.2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ht="12.75" customHeight="1" x14ac:dyDescent="0.2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ht="12.75" customHeight="1" x14ac:dyDescent="0.2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ht="12.75" customHeight="1" x14ac:dyDescent="0.2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ht="12.75" customHeight="1" x14ac:dyDescent="0.2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ht="12.75" customHeight="1" x14ac:dyDescent="0.2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ht="12.75" customHeight="1" x14ac:dyDescent="0.2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ht="12.75" customHeight="1" x14ac:dyDescent="0.2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ht="12.75" customHeight="1" x14ac:dyDescent="0.2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ht="12.75" customHeight="1" x14ac:dyDescent="0.2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ht="12.75" customHeight="1" x14ac:dyDescent="0.2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ht="12.75" customHeight="1" x14ac:dyDescent="0.2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ht="12.75" customHeight="1" x14ac:dyDescent="0.2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ht="12.75" customHeight="1" x14ac:dyDescent="0.2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ht="12.75" customHeight="1" x14ac:dyDescent="0.2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ht="12.75" customHeight="1" x14ac:dyDescent="0.2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ht="12.75" customHeight="1" x14ac:dyDescent="0.2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ht="12.75" customHeight="1" x14ac:dyDescent="0.2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ht="12.75" customHeight="1" x14ac:dyDescent="0.2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ht="12.75" customHeight="1" x14ac:dyDescent="0.2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ht="12.75" customHeight="1" x14ac:dyDescent="0.2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ht="12.75" customHeight="1" x14ac:dyDescent="0.2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ht="12.75" customHeight="1" x14ac:dyDescent="0.2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ht="12.75" customHeight="1" x14ac:dyDescent="0.2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ht="12.75" customHeight="1" x14ac:dyDescent="0.2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ht="12.75" customHeight="1" x14ac:dyDescent="0.2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ht="12.75" customHeight="1" x14ac:dyDescent="0.2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ht="12.75" customHeight="1" x14ac:dyDescent="0.2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ht="12.75" customHeight="1" x14ac:dyDescent="0.2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ht="12.75" customHeight="1" x14ac:dyDescent="0.2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ht="12.75" customHeight="1" x14ac:dyDescent="0.2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ht="12.75" customHeight="1" x14ac:dyDescent="0.2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ht="12.75" customHeight="1" x14ac:dyDescent="0.2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ht="12.75" customHeight="1" x14ac:dyDescent="0.2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ht="12.75" customHeight="1" x14ac:dyDescent="0.2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ht="12.75" customHeight="1" x14ac:dyDescent="0.2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ht="12.75" customHeight="1" x14ac:dyDescent="0.2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ht="12.75" customHeight="1" x14ac:dyDescent="0.2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ht="12.75" customHeight="1" x14ac:dyDescent="0.2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ht="12.75" customHeight="1" x14ac:dyDescent="0.2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ht="12.75" customHeight="1" x14ac:dyDescent="0.2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ht="12.75" customHeight="1" x14ac:dyDescent="0.2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ht="12.75" customHeight="1" x14ac:dyDescent="0.2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ht="12.75" customHeight="1" x14ac:dyDescent="0.2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ht="12.75" customHeight="1" x14ac:dyDescent="0.2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ht="12.75" customHeight="1" x14ac:dyDescent="0.2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ht="12.75" customHeight="1" x14ac:dyDescent="0.2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ht="12.75" customHeight="1" x14ac:dyDescent="0.2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ht="12.75" customHeight="1" x14ac:dyDescent="0.2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ht="12.75" customHeight="1" x14ac:dyDescent="0.2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ht="12.75" customHeight="1" x14ac:dyDescent="0.2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ht="12.75" customHeight="1" x14ac:dyDescent="0.2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ht="12.75" customHeight="1" x14ac:dyDescent="0.2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ht="12.75" customHeight="1" x14ac:dyDescent="0.2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ht="12.75" customHeight="1" x14ac:dyDescent="0.2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ht="12.75" customHeight="1" x14ac:dyDescent="0.2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ht="12.75" customHeight="1" x14ac:dyDescent="0.2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ht="12.75" customHeight="1" x14ac:dyDescent="0.2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ht="12.75" customHeight="1" x14ac:dyDescent="0.2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ht="12.75" customHeight="1" x14ac:dyDescent="0.2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ht="12.75" customHeight="1" x14ac:dyDescent="0.2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ht="12.75" customHeight="1" x14ac:dyDescent="0.2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ht="12.75" customHeight="1" x14ac:dyDescent="0.2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ht="12.75" customHeight="1" x14ac:dyDescent="0.2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ht="12.75" customHeight="1" x14ac:dyDescent="0.2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ht="12.75" customHeight="1" x14ac:dyDescent="0.2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ht="12.75" customHeight="1" x14ac:dyDescent="0.2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ht="12.75" customHeight="1" x14ac:dyDescent="0.2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ht="12.75" customHeight="1" x14ac:dyDescent="0.2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ht="12.75" customHeight="1" x14ac:dyDescent="0.2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ht="12.75" customHeight="1" x14ac:dyDescent="0.2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ht="12.75" customHeight="1" x14ac:dyDescent="0.2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ht="12.75" customHeight="1" x14ac:dyDescent="0.2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ht="12.75" customHeight="1" x14ac:dyDescent="0.2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ht="12.75" customHeight="1" x14ac:dyDescent="0.2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ht="12.75" customHeight="1" x14ac:dyDescent="0.2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ht="12.75" customHeight="1" x14ac:dyDescent="0.2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ht="12.75" customHeight="1" x14ac:dyDescent="0.2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ht="12.75" customHeight="1" x14ac:dyDescent="0.2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ht="12.75" customHeight="1" x14ac:dyDescent="0.2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ht="12.75" customHeight="1" x14ac:dyDescent="0.2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ht="12.75" customHeight="1" x14ac:dyDescent="0.2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ht="12.75" customHeight="1" x14ac:dyDescent="0.2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ht="12.75" customHeight="1" x14ac:dyDescent="0.2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ht="12.75" customHeight="1" x14ac:dyDescent="0.2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ht="12.75" customHeight="1" x14ac:dyDescent="0.2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ht="12.75" customHeight="1" x14ac:dyDescent="0.2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ht="12.75" customHeight="1" x14ac:dyDescent="0.2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ht="12.75" customHeight="1" x14ac:dyDescent="0.2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ht="12.75" customHeight="1" x14ac:dyDescent="0.2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ht="12.75" customHeight="1" x14ac:dyDescent="0.2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ht="12.75" customHeight="1" x14ac:dyDescent="0.2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ht="12.75" customHeight="1" x14ac:dyDescent="0.2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ht="12.75" customHeight="1" x14ac:dyDescent="0.2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ht="12.75" customHeight="1" x14ac:dyDescent="0.2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ht="12.75" customHeight="1" x14ac:dyDescent="0.2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ht="12.75" customHeight="1" x14ac:dyDescent="0.2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ht="12.75" customHeight="1" x14ac:dyDescent="0.2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ht="12.75" customHeight="1" x14ac:dyDescent="0.2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ht="12.75" customHeight="1" x14ac:dyDescent="0.2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ht="12.75" customHeight="1" x14ac:dyDescent="0.2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ht="12.75" customHeight="1" x14ac:dyDescent="0.2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ht="12.75" customHeight="1" x14ac:dyDescent="0.2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ht="12.75" customHeight="1" x14ac:dyDescent="0.2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ht="12.75" customHeight="1" x14ac:dyDescent="0.2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ht="12.75" customHeight="1" x14ac:dyDescent="0.2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ht="12.75" customHeight="1" x14ac:dyDescent="0.2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ht="12.75" customHeight="1" x14ac:dyDescent="0.2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ht="12.75" customHeight="1" x14ac:dyDescent="0.2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ht="12.75" customHeight="1" x14ac:dyDescent="0.2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ht="12.75" customHeight="1" x14ac:dyDescent="0.2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ht="12.75" customHeight="1" x14ac:dyDescent="0.2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ht="12.75" customHeight="1" x14ac:dyDescent="0.2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ht="12.75" customHeight="1" x14ac:dyDescent="0.2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ht="12.75" customHeight="1" x14ac:dyDescent="0.2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ht="12.75" customHeight="1" x14ac:dyDescent="0.2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ht="12.75" customHeight="1" x14ac:dyDescent="0.2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ht="12.75" customHeight="1" x14ac:dyDescent="0.2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ht="12.75" customHeight="1" x14ac:dyDescent="0.2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ht="12.75" customHeight="1" x14ac:dyDescent="0.2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ht="12.75" customHeight="1" x14ac:dyDescent="0.2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ht="12.75" customHeight="1" x14ac:dyDescent="0.2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ht="12.75" customHeight="1" x14ac:dyDescent="0.2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ht="12.75" customHeight="1" x14ac:dyDescent="0.2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ht="12.75" customHeight="1" x14ac:dyDescent="0.2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ht="12.75" customHeight="1" x14ac:dyDescent="0.2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ht="12.75" customHeight="1" x14ac:dyDescent="0.2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ht="12.75" customHeight="1" x14ac:dyDescent="0.2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ht="12.75" customHeight="1" x14ac:dyDescent="0.2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ht="12.75" customHeight="1" x14ac:dyDescent="0.2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ht="12.75" customHeight="1" x14ac:dyDescent="0.2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ht="12.75" customHeight="1" x14ac:dyDescent="0.2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ht="12.75" customHeight="1" x14ac:dyDescent="0.2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ht="12.75" customHeight="1" x14ac:dyDescent="0.2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ht="12.75" customHeight="1" x14ac:dyDescent="0.2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ht="12.75" customHeight="1" x14ac:dyDescent="0.2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ht="12.75" customHeight="1" x14ac:dyDescent="0.2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ht="12.75" customHeight="1" x14ac:dyDescent="0.2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ht="12.75" customHeight="1" x14ac:dyDescent="0.2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ht="12.75" customHeight="1" x14ac:dyDescent="0.2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ht="12.75" customHeight="1" x14ac:dyDescent="0.2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ht="12.75" customHeight="1" x14ac:dyDescent="0.2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ht="12.75" customHeight="1" x14ac:dyDescent="0.2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ht="12.75" customHeight="1" x14ac:dyDescent="0.2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ht="12.75" customHeight="1" x14ac:dyDescent="0.2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ht="12.75" customHeight="1" x14ac:dyDescent="0.2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ht="12.75" customHeight="1" x14ac:dyDescent="0.2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ht="12.75" customHeight="1" x14ac:dyDescent="0.2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ht="12.75" customHeight="1" x14ac:dyDescent="0.2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ht="12.75" customHeight="1" x14ac:dyDescent="0.2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ht="12.75" customHeight="1" x14ac:dyDescent="0.2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ht="12.75" customHeight="1" x14ac:dyDescent="0.2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ht="12.75" customHeight="1" x14ac:dyDescent="0.2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ht="12.75" customHeight="1" x14ac:dyDescent="0.2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ht="12.75" customHeight="1" x14ac:dyDescent="0.2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ht="12.75" customHeight="1" x14ac:dyDescent="0.2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ht="12.75" customHeight="1" x14ac:dyDescent="0.2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ht="12.75" customHeight="1" x14ac:dyDescent="0.2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ht="12.75" customHeight="1" x14ac:dyDescent="0.2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ht="12.75" customHeight="1" x14ac:dyDescent="0.2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ht="12.75" customHeight="1" x14ac:dyDescent="0.2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ht="12.75" customHeight="1" x14ac:dyDescent="0.2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ht="12.75" customHeight="1" x14ac:dyDescent="0.2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ht="12.75" customHeight="1" x14ac:dyDescent="0.2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ht="12.75" customHeight="1" x14ac:dyDescent="0.2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ht="12.75" customHeight="1" x14ac:dyDescent="0.2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ht="12.75" customHeight="1" x14ac:dyDescent="0.2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ht="12.75" customHeight="1" x14ac:dyDescent="0.2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ht="12.75" customHeight="1" x14ac:dyDescent="0.2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ht="12.75" customHeight="1" x14ac:dyDescent="0.2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ht="12.75" customHeight="1" x14ac:dyDescent="0.2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ht="12.75" customHeight="1" x14ac:dyDescent="0.2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ht="12.75" customHeight="1" x14ac:dyDescent="0.2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ht="12.75" customHeight="1" x14ac:dyDescent="0.2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ht="12.75" customHeight="1" x14ac:dyDescent="0.2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ht="12.75" customHeight="1" x14ac:dyDescent="0.2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ht="12.75" customHeight="1" x14ac:dyDescent="0.2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ht="12.75" customHeight="1" x14ac:dyDescent="0.2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ht="12.75" customHeight="1" x14ac:dyDescent="0.2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ht="12.75" customHeight="1" x14ac:dyDescent="0.2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ht="12.75" customHeight="1" x14ac:dyDescent="0.2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ht="12.75" customHeight="1" x14ac:dyDescent="0.2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ht="12.75" customHeight="1" x14ac:dyDescent="0.2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ht="12.75" customHeight="1" x14ac:dyDescent="0.2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ht="12.75" customHeight="1" x14ac:dyDescent="0.2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ht="12.75" customHeight="1" x14ac:dyDescent="0.2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ht="12.75" customHeight="1" x14ac:dyDescent="0.2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ht="12.75" customHeight="1" x14ac:dyDescent="0.2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ht="12.75" customHeight="1" x14ac:dyDescent="0.2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ht="12.75" customHeight="1" x14ac:dyDescent="0.2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ht="12.75" customHeight="1" x14ac:dyDescent="0.2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ht="12.75" customHeight="1" x14ac:dyDescent="0.2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ht="12.75" customHeight="1" x14ac:dyDescent="0.2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ht="12.75" customHeight="1" x14ac:dyDescent="0.2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ht="12.75" customHeight="1" x14ac:dyDescent="0.2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ht="12.75" customHeight="1" x14ac:dyDescent="0.2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ht="12.75" customHeight="1" x14ac:dyDescent="0.2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ht="12.75" customHeight="1" x14ac:dyDescent="0.2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ht="12.75" customHeight="1" x14ac:dyDescent="0.2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ht="12.75" customHeight="1" x14ac:dyDescent="0.2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ht="12.75" customHeight="1" x14ac:dyDescent="0.2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ht="12.75" customHeight="1" x14ac:dyDescent="0.2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ht="12.75" customHeight="1" x14ac:dyDescent="0.2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ht="12.75" customHeight="1" x14ac:dyDescent="0.2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ht="12.75" customHeight="1" x14ac:dyDescent="0.2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ht="12.75" customHeight="1" x14ac:dyDescent="0.2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ht="12.75" customHeight="1" x14ac:dyDescent="0.2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ht="12.75" customHeight="1" x14ac:dyDescent="0.2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ht="12.75" customHeight="1" x14ac:dyDescent="0.2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ht="12.75" customHeight="1" x14ac:dyDescent="0.2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ht="12.75" customHeight="1" x14ac:dyDescent="0.2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ht="12.75" customHeight="1" x14ac:dyDescent="0.2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ht="12.75" customHeight="1" x14ac:dyDescent="0.2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ht="12.75" customHeight="1" x14ac:dyDescent="0.2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ht="12.75" customHeight="1" x14ac:dyDescent="0.2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ht="12.75" customHeight="1" x14ac:dyDescent="0.2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ht="12.75" customHeight="1" x14ac:dyDescent="0.2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ht="12.75" customHeight="1" x14ac:dyDescent="0.2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ht="12.75" customHeight="1" x14ac:dyDescent="0.2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ht="12.75" customHeight="1" x14ac:dyDescent="0.2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ht="12.75" customHeight="1" x14ac:dyDescent="0.2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ht="12.75" customHeight="1" x14ac:dyDescent="0.2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ht="12.75" customHeight="1" x14ac:dyDescent="0.2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ht="12.75" customHeight="1" x14ac:dyDescent="0.2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ht="12.75" customHeight="1" x14ac:dyDescent="0.2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ht="12.75" customHeight="1" x14ac:dyDescent="0.2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ht="12.75" customHeight="1" x14ac:dyDescent="0.2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ht="12.75" customHeight="1" x14ac:dyDescent="0.2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ht="12.75" customHeight="1" x14ac:dyDescent="0.2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ht="12.75" customHeight="1" x14ac:dyDescent="0.2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ht="12.75" customHeight="1" x14ac:dyDescent="0.2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ht="12.75" customHeight="1" x14ac:dyDescent="0.2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ht="12.75" customHeight="1" x14ac:dyDescent="0.2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ht="12.75" customHeight="1" x14ac:dyDescent="0.2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ht="12.75" customHeight="1" x14ac:dyDescent="0.2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ht="12.75" customHeight="1" x14ac:dyDescent="0.2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ht="12.75" customHeight="1" x14ac:dyDescent="0.2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ht="12.75" customHeight="1" x14ac:dyDescent="0.2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ht="12.75" customHeight="1" x14ac:dyDescent="0.2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ht="12.75" customHeight="1" x14ac:dyDescent="0.2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ht="12.75" customHeight="1" x14ac:dyDescent="0.2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ht="12.75" customHeight="1" x14ac:dyDescent="0.2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ht="12.75" customHeight="1" x14ac:dyDescent="0.2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ht="12.75" customHeight="1" x14ac:dyDescent="0.2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ht="12.75" customHeight="1" x14ac:dyDescent="0.2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ht="12.75" customHeight="1" x14ac:dyDescent="0.2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ht="12.75" customHeight="1" x14ac:dyDescent="0.2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ht="12.75" customHeight="1" x14ac:dyDescent="0.2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ht="12.75" customHeight="1" x14ac:dyDescent="0.2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ht="12.75" customHeight="1" x14ac:dyDescent="0.2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ht="12.75" customHeight="1" x14ac:dyDescent="0.2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ht="12.75" customHeight="1" x14ac:dyDescent="0.2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ht="12.75" customHeight="1" x14ac:dyDescent="0.2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ht="12.75" customHeight="1" x14ac:dyDescent="0.2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ht="12.75" customHeight="1" x14ac:dyDescent="0.2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ht="12.75" customHeight="1" x14ac:dyDescent="0.2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ht="12.75" customHeight="1" x14ac:dyDescent="0.2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ht="12.75" customHeight="1" x14ac:dyDescent="0.2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ht="12.75" customHeight="1" x14ac:dyDescent="0.2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ht="12.75" customHeight="1" x14ac:dyDescent="0.2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ht="12.75" customHeight="1" x14ac:dyDescent="0.2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ht="12.75" customHeight="1" x14ac:dyDescent="0.2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ht="12.75" customHeight="1" x14ac:dyDescent="0.2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ht="12.75" customHeight="1" x14ac:dyDescent="0.2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ht="12.75" customHeight="1" x14ac:dyDescent="0.2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ht="12.75" customHeight="1" x14ac:dyDescent="0.2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ht="12.75" customHeight="1" x14ac:dyDescent="0.2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ht="12.75" customHeight="1" x14ac:dyDescent="0.2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ht="12.75" customHeight="1" x14ac:dyDescent="0.2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ht="12.75" customHeight="1" x14ac:dyDescent="0.2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ht="12.75" customHeight="1" x14ac:dyDescent="0.2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ht="12.75" customHeight="1" x14ac:dyDescent="0.2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ht="12.75" customHeight="1" x14ac:dyDescent="0.2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ht="12.75" customHeight="1" x14ac:dyDescent="0.2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ht="12.75" customHeight="1" x14ac:dyDescent="0.2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ht="12.75" customHeight="1" x14ac:dyDescent="0.2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ht="12.75" customHeight="1" x14ac:dyDescent="0.2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ht="12.75" customHeight="1" x14ac:dyDescent="0.2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ht="12.75" customHeight="1" x14ac:dyDescent="0.2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ht="12.75" customHeight="1" x14ac:dyDescent="0.2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ht="12.75" customHeight="1" x14ac:dyDescent="0.2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ht="12.75" customHeight="1" x14ac:dyDescent="0.2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ht="12.75" customHeight="1" x14ac:dyDescent="0.2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ht="12.75" customHeight="1" x14ac:dyDescent="0.2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ht="12.75" customHeight="1" x14ac:dyDescent="0.2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ht="12.75" customHeight="1" x14ac:dyDescent="0.2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ht="12.75" customHeight="1" x14ac:dyDescent="0.2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ht="12.75" customHeight="1" x14ac:dyDescent="0.2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ht="12.75" customHeight="1" x14ac:dyDescent="0.2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ht="12.75" customHeight="1" x14ac:dyDescent="0.2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ht="12.75" customHeight="1" x14ac:dyDescent="0.2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ht="12.75" customHeight="1" x14ac:dyDescent="0.2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ht="12.75" customHeight="1" x14ac:dyDescent="0.2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ht="12.75" customHeight="1" x14ac:dyDescent="0.2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ht="12.75" customHeight="1" x14ac:dyDescent="0.2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ht="12.75" customHeight="1" x14ac:dyDescent="0.2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ht="12.75" customHeight="1" x14ac:dyDescent="0.2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ht="12.75" customHeight="1" x14ac:dyDescent="0.2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ht="12.75" customHeight="1" x14ac:dyDescent="0.2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ht="12.75" customHeight="1" x14ac:dyDescent="0.2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ht="12.75" customHeight="1" x14ac:dyDescent="0.2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ht="12.75" customHeight="1" x14ac:dyDescent="0.2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ht="12.75" customHeight="1" x14ac:dyDescent="0.2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ht="12.75" customHeight="1" x14ac:dyDescent="0.2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ht="12.75" customHeight="1" x14ac:dyDescent="0.2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ht="12.75" customHeight="1" x14ac:dyDescent="0.2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ht="12.75" customHeight="1" x14ac:dyDescent="0.2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ht="12.75" customHeight="1" x14ac:dyDescent="0.2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ht="12.75" customHeight="1" x14ac:dyDescent="0.2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ht="12.75" customHeight="1" x14ac:dyDescent="0.2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ht="12.75" customHeight="1" x14ac:dyDescent="0.2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ht="12.75" customHeight="1" x14ac:dyDescent="0.2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ht="12.75" customHeight="1" x14ac:dyDescent="0.2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ht="12.75" customHeight="1" x14ac:dyDescent="0.2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ht="12.75" customHeight="1" x14ac:dyDescent="0.2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ht="12.75" customHeight="1" x14ac:dyDescent="0.2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ht="12.75" customHeight="1" x14ac:dyDescent="0.2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ht="12.75" customHeight="1" x14ac:dyDescent="0.2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ht="12.75" customHeight="1" x14ac:dyDescent="0.2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ht="12.75" customHeight="1" x14ac:dyDescent="0.2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ht="12.75" customHeight="1" x14ac:dyDescent="0.2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ht="12.75" customHeight="1" x14ac:dyDescent="0.2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ht="12.75" customHeight="1" x14ac:dyDescent="0.2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ht="12.75" customHeight="1" x14ac:dyDescent="0.2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ht="12.75" customHeight="1" x14ac:dyDescent="0.2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ht="12.75" customHeight="1" x14ac:dyDescent="0.2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ht="12.75" customHeight="1" x14ac:dyDescent="0.2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ht="12.75" customHeight="1" x14ac:dyDescent="0.2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ht="12.75" customHeight="1" x14ac:dyDescent="0.2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ht="12.75" customHeight="1" x14ac:dyDescent="0.2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ht="12.75" customHeight="1" x14ac:dyDescent="0.2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ht="12.75" customHeight="1" x14ac:dyDescent="0.2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ht="12.75" customHeight="1" x14ac:dyDescent="0.2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ht="12.75" customHeight="1" x14ac:dyDescent="0.2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ht="12.75" customHeight="1" x14ac:dyDescent="0.2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ht="12.75" customHeight="1" x14ac:dyDescent="0.2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ht="12.75" customHeight="1" x14ac:dyDescent="0.2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ht="12.75" customHeight="1" x14ac:dyDescent="0.2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ht="12.75" customHeight="1" x14ac:dyDescent="0.2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ht="12.75" customHeight="1" x14ac:dyDescent="0.2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ht="12.75" customHeight="1" x14ac:dyDescent="0.2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ht="12.75" customHeight="1" x14ac:dyDescent="0.2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ht="12.75" customHeight="1" x14ac:dyDescent="0.2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ht="12.75" customHeight="1" x14ac:dyDescent="0.2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ht="12.75" customHeight="1" x14ac:dyDescent="0.2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ht="12.75" customHeight="1" x14ac:dyDescent="0.2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ht="12.75" customHeight="1" x14ac:dyDescent="0.2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ht="12.75" customHeight="1" x14ac:dyDescent="0.2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ht="12.75" customHeight="1" x14ac:dyDescent="0.2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ht="12.75" customHeight="1" x14ac:dyDescent="0.2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ht="12.75" customHeight="1" x14ac:dyDescent="0.2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ht="12.75" customHeight="1" x14ac:dyDescent="0.2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ht="12.75" customHeight="1" x14ac:dyDescent="0.2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ht="12.75" customHeight="1" x14ac:dyDescent="0.2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ht="12.75" customHeight="1" x14ac:dyDescent="0.2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ht="12.75" customHeight="1" x14ac:dyDescent="0.2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ht="12.75" customHeight="1" x14ac:dyDescent="0.2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ht="12.75" customHeight="1" x14ac:dyDescent="0.2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ht="12.75" customHeight="1" x14ac:dyDescent="0.2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ht="12.75" customHeight="1" x14ac:dyDescent="0.2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ht="12.75" customHeight="1" x14ac:dyDescent="0.2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ht="12.75" customHeight="1" x14ac:dyDescent="0.2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ht="12.75" customHeight="1" x14ac:dyDescent="0.2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ht="12.75" customHeight="1" x14ac:dyDescent="0.2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ht="12.75" customHeight="1" x14ac:dyDescent="0.2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ht="12.75" customHeight="1" x14ac:dyDescent="0.2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ht="12.75" customHeight="1" x14ac:dyDescent="0.2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ht="12.75" customHeight="1" x14ac:dyDescent="0.2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ht="12.75" customHeight="1" x14ac:dyDescent="0.2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ht="12.75" customHeight="1" x14ac:dyDescent="0.2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ht="12.75" customHeight="1" x14ac:dyDescent="0.2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ht="12.75" customHeight="1" x14ac:dyDescent="0.2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ht="12.75" customHeight="1" x14ac:dyDescent="0.2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ht="12.75" customHeight="1" x14ac:dyDescent="0.2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ht="12.75" customHeight="1" x14ac:dyDescent="0.2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ht="12.75" customHeight="1" x14ac:dyDescent="0.2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ht="12.75" customHeight="1" x14ac:dyDescent="0.2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ht="12.75" customHeight="1" x14ac:dyDescent="0.2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ht="12.75" customHeight="1" x14ac:dyDescent="0.2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ht="12.75" customHeight="1" x14ac:dyDescent="0.2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ht="12.75" customHeight="1" x14ac:dyDescent="0.2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ht="12.75" customHeight="1" x14ac:dyDescent="0.2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ht="12.75" customHeight="1" x14ac:dyDescent="0.2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ht="12.75" customHeight="1" x14ac:dyDescent="0.2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ht="12.75" customHeight="1" x14ac:dyDescent="0.2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ht="12.75" customHeight="1" x14ac:dyDescent="0.2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ht="12.75" customHeight="1" x14ac:dyDescent="0.2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ht="12.75" customHeight="1" x14ac:dyDescent="0.2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ht="12.75" customHeight="1" x14ac:dyDescent="0.2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ht="12.75" customHeight="1" x14ac:dyDescent="0.2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ht="12.75" customHeight="1" x14ac:dyDescent="0.2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ht="12.75" customHeight="1" x14ac:dyDescent="0.2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ht="12.75" customHeight="1" x14ac:dyDescent="0.2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ht="12.75" customHeight="1" x14ac:dyDescent="0.2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ht="12.75" customHeight="1" x14ac:dyDescent="0.2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ht="12.75" customHeight="1" x14ac:dyDescent="0.2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ht="12.75" customHeight="1" x14ac:dyDescent="0.2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ht="12.75" customHeight="1" x14ac:dyDescent="0.2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ht="12.75" customHeight="1" x14ac:dyDescent="0.2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ht="12.75" customHeight="1" x14ac:dyDescent="0.2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ht="12.75" customHeight="1" x14ac:dyDescent="0.2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ht="12.75" customHeight="1" x14ac:dyDescent="0.2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ht="12.75" customHeight="1" x14ac:dyDescent="0.2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ht="12.75" customHeight="1" x14ac:dyDescent="0.2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ht="12.75" customHeight="1" x14ac:dyDescent="0.2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ht="12.75" customHeight="1" x14ac:dyDescent="0.2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ht="12.75" customHeight="1" x14ac:dyDescent="0.2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ht="12.75" customHeight="1" x14ac:dyDescent="0.2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ht="12.75" customHeight="1" x14ac:dyDescent="0.2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ht="12.75" customHeight="1" x14ac:dyDescent="0.2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ht="12.75" customHeight="1" x14ac:dyDescent="0.2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ht="12.75" customHeight="1" x14ac:dyDescent="0.2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ht="12.75" customHeight="1" x14ac:dyDescent="0.2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ht="12.75" customHeight="1" x14ac:dyDescent="0.2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ht="12.75" customHeight="1" x14ac:dyDescent="0.2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ht="12.75" customHeight="1" x14ac:dyDescent="0.2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ht="12.75" customHeight="1" x14ac:dyDescent="0.2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ht="12.75" customHeight="1" x14ac:dyDescent="0.2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ht="12.75" customHeight="1" x14ac:dyDescent="0.2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ht="12.75" customHeight="1" x14ac:dyDescent="0.2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ht="12.75" customHeight="1" x14ac:dyDescent="0.2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ht="12.75" customHeight="1" x14ac:dyDescent="0.2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ht="12.75" customHeight="1" x14ac:dyDescent="0.2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ht="12.75" customHeight="1" x14ac:dyDescent="0.2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ht="12.75" customHeight="1" x14ac:dyDescent="0.2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ht="12.75" customHeight="1" x14ac:dyDescent="0.2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ht="12.75" customHeight="1" x14ac:dyDescent="0.2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ht="12.75" customHeight="1" x14ac:dyDescent="0.2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ht="12.75" customHeight="1" x14ac:dyDescent="0.2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ht="12.75" customHeight="1" x14ac:dyDescent="0.2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ht="12.75" customHeight="1" x14ac:dyDescent="0.2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ht="12.75" customHeight="1" x14ac:dyDescent="0.2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ht="12.75" customHeight="1" x14ac:dyDescent="0.2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ht="12.75" customHeight="1" x14ac:dyDescent="0.2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ht="12.75" customHeight="1" x14ac:dyDescent="0.2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ht="12.75" customHeight="1" x14ac:dyDescent="0.2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ht="12.75" customHeight="1" x14ac:dyDescent="0.2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ht="12.75" customHeight="1" x14ac:dyDescent="0.2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ht="12.75" customHeight="1" x14ac:dyDescent="0.2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ht="12.75" customHeight="1" x14ac:dyDescent="0.2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ht="12.75" customHeight="1" x14ac:dyDescent="0.2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ht="12.75" customHeight="1" x14ac:dyDescent="0.2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ht="12.75" customHeight="1" x14ac:dyDescent="0.2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ht="12.75" customHeight="1" x14ac:dyDescent="0.2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ht="12.75" customHeight="1" x14ac:dyDescent="0.2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ht="12.75" customHeight="1" x14ac:dyDescent="0.2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ht="12.75" customHeight="1" x14ac:dyDescent="0.2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ht="12.75" customHeight="1" x14ac:dyDescent="0.2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ht="12.75" customHeight="1" x14ac:dyDescent="0.2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ht="12.75" customHeight="1" x14ac:dyDescent="0.2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ht="12.75" customHeight="1" x14ac:dyDescent="0.2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ht="12.75" customHeight="1" x14ac:dyDescent="0.2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ht="12.75" customHeight="1" x14ac:dyDescent="0.2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ht="12.75" customHeight="1" x14ac:dyDescent="0.2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ht="12.75" customHeight="1" x14ac:dyDescent="0.2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ht="12.75" customHeight="1" x14ac:dyDescent="0.2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ht="12.75" customHeight="1" x14ac:dyDescent="0.2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ht="12.75" customHeight="1" x14ac:dyDescent="0.2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ht="12.75" customHeight="1" x14ac:dyDescent="0.2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ht="12.75" customHeight="1" x14ac:dyDescent="0.2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ht="12.75" customHeight="1" x14ac:dyDescent="0.2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ht="12.75" customHeight="1" x14ac:dyDescent="0.2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ht="12.75" customHeight="1" x14ac:dyDescent="0.2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ht="12.75" customHeight="1" x14ac:dyDescent="0.2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ht="12.75" customHeight="1" x14ac:dyDescent="0.2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ht="12.75" customHeight="1" x14ac:dyDescent="0.2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ht="12.75" customHeight="1" x14ac:dyDescent="0.2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ht="12.75" customHeight="1" x14ac:dyDescent="0.2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ht="12.75" customHeight="1" x14ac:dyDescent="0.2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ht="12.75" customHeight="1" x14ac:dyDescent="0.2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ht="12.75" customHeight="1" x14ac:dyDescent="0.2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ht="12.75" customHeight="1" x14ac:dyDescent="0.2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ht="12.75" customHeight="1" x14ac:dyDescent="0.2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ht="12.75" customHeight="1" x14ac:dyDescent="0.2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ht="12.75" customHeight="1" x14ac:dyDescent="0.2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ht="12.75" customHeight="1" x14ac:dyDescent="0.2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ht="12.75" customHeight="1" x14ac:dyDescent="0.2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ht="12.75" customHeight="1" x14ac:dyDescent="0.2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ht="12.75" customHeight="1" x14ac:dyDescent="0.2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ht="12.75" customHeight="1" x14ac:dyDescent="0.2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ht="12.75" customHeight="1" x14ac:dyDescent="0.2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ht="12.75" customHeight="1" x14ac:dyDescent="0.2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ht="12.75" customHeight="1" x14ac:dyDescent="0.2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ht="12.75" customHeight="1" x14ac:dyDescent="0.2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ht="12.75" customHeight="1" x14ac:dyDescent="0.2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ht="12.75" customHeight="1" x14ac:dyDescent="0.2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ht="12.75" customHeight="1" x14ac:dyDescent="0.2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ht="12.75" customHeight="1" x14ac:dyDescent="0.2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ht="12.75" customHeight="1" x14ac:dyDescent="0.2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ht="12.75" customHeight="1" x14ac:dyDescent="0.2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ht="12.75" customHeight="1" x14ac:dyDescent="0.2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ht="12.75" customHeight="1" x14ac:dyDescent="0.2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ht="12.75" customHeight="1" x14ac:dyDescent="0.2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ht="12.75" customHeight="1" x14ac:dyDescent="0.2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ht="12.75" customHeight="1" x14ac:dyDescent="0.2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ht="12.75" customHeight="1" x14ac:dyDescent="0.2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ht="12.75" customHeight="1" x14ac:dyDescent="0.2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ht="12.75" customHeight="1" x14ac:dyDescent="0.2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ht="12.75" customHeight="1" x14ac:dyDescent="0.2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ht="12.75" customHeight="1" x14ac:dyDescent="0.2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ht="12.75" customHeight="1" x14ac:dyDescent="0.2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ht="12.75" customHeight="1" x14ac:dyDescent="0.2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ht="12.75" customHeight="1" x14ac:dyDescent="0.2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ht="12.75" customHeight="1" x14ac:dyDescent="0.2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ht="12.75" customHeight="1" x14ac:dyDescent="0.2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ht="12.75" customHeight="1" x14ac:dyDescent="0.2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ht="12.75" customHeight="1" x14ac:dyDescent="0.2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ht="12.75" customHeight="1" x14ac:dyDescent="0.2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ht="12.75" customHeight="1" x14ac:dyDescent="0.2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ht="12.75" customHeight="1" x14ac:dyDescent="0.2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ht="12.75" customHeight="1" x14ac:dyDescent="0.2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ht="12.75" customHeight="1" x14ac:dyDescent="0.2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ht="12.75" customHeight="1" x14ac:dyDescent="0.2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ht="12.75" customHeight="1" x14ac:dyDescent="0.2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ht="12.75" customHeight="1" x14ac:dyDescent="0.2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ht="12.75" customHeight="1" x14ac:dyDescent="0.2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ht="12.75" customHeight="1" x14ac:dyDescent="0.2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ht="12.75" customHeight="1" x14ac:dyDescent="0.2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ht="12.75" customHeight="1" x14ac:dyDescent="0.2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ht="12.75" customHeight="1" x14ac:dyDescent="0.2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ht="12.75" customHeight="1" x14ac:dyDescent="0.2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ht="12.75" customHeight="1" x14ac:dyDescent="0.2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ht="12.75" customHeight="1" x14ac:dyDescent="0.2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ht="12.75" customHeight="1" x14ac:dyDescent="0.2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ht="12.75" customHeight="1" x14ac:dyDescent="0.2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ht="12.75" customHeight="1" x14ac:dyDescent="0.2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ht="12.75" customHeight="1" x14ac:dyDescent="0.2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ht="12.75" customHeight="1" x14ac:dyDescent="0.2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ht="12.75" customHeight="1" x14ac:dyDescent="0.2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ht="12.75" customHeight="1" x14ac:dyDescent="0.2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ht="12.75" customHeight="1" x14ac:dyDescent="0.2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ht="12.75" customHeight="1" x14ac:dyDescent="0.2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ht="12.75" customHeight="1" x14ac:dyDescent="0.2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ht="12.75" customHeight="1" x14ac:dyDescent="0.2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ht="12.75" customHeight="1" x14ac:dyDescent="0.2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ht="12.75" customHeight="1" x14ac:dyDescent="0.2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ht="12.75" customHeight="1" x14ac:dyDescent="0.2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ht="12.75" customHeight="1" x14ac:dyDescent="0.2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ht="12.75" customHeight="1" x14ac:dyDescent="0.2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ht="12.75" customHeight="1" x14ac:dyDescent="0.2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ht="12.75" customHeight="1" x14ac:dyDescent="0.2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ht="12.75" customHeight="1" x14ac:dyDescent="0.2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ht="12.75" customHeight="1" x14ac:dyDescent="0.2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ht="12.75" customHeight="1" x14ac:dyDescent="0.2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ht="12.75" customHeight="1" x14ac:dyDescent="0.2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ht="12.75" customHeight="1" x14ac:dyDescent="0.2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ht="12.75" customHeight="1" x14ac:dyDescent="0.2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ht="12.75" customHeight="1" x14ac:dyDescent="0.2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ht="12.75" customHeight="1" x14ac:dyDescent="0.2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ht="12.75" customHeight="1" x14ac:dyDescent="0.2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ht="12.75" customHeight="1" x14ac:dyDescent="0.2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ht="12.75" customHeight="1" x14ac:dyDescent="0.2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ht="12.75" customHeight="1" x14ac:dyDescent="0.2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ht="12.75" customHeight="1" x14ac:dyDescent="0.2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ht="12.75" customHeight="1" x14ac:dyDescent="0.2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ht="12.75" customHeight="1" x14ac:dyDescent="0.2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ht="12.75" customHeight="1" x14ac:dyDescent="0.2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ht="12.75" customHeight="1" x14ac:dyDescent="0.2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ht="12.75" customHeight="1" x14ac:dyDescent="0.2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ht="12.75" customHeight="1" x14ac:dyDescent="0.2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ht="12.75" customHeight="1" x14ac:dyDescent="0.2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ht="12.75" customHeight="1" x14ac:dyDescent="0.2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ht="12.75" customHeight="1" x14ac:dyDescent="0.2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ht="12.75" customHeight="1" x14ac:dyDescent="0.2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ht="12.75" customHeight="1" x14ac:dyDescent="0.2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ht="12.75" customHeight="1" x14ac:dyDescent="0.2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ht="12.75" customHeight="1" x14ac:dyDescent="0.2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ht="12.75" customHeight="1" x14ac:dyDescent="0.2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ht="12.75" customHeight="1" x14ac:dyDescent="0.2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ht="12.75" customHeight="1" x14ac:dyDescent="0.2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ht="12.75" customHeight="1" x14ac:dyDescent="0.2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ht="12.75" customHeight="1" x14ac:dyDescent="0.2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ht="12.75" customHeight="1" x14ac:dyDescent="0.2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ht="12.75" customHeight="1" x14ac:dyDescent="0.2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ht="12.75" customHeight="1" x14ac:dyDescent="0.2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ht="12.75" customHeight="1" x14ac:dyDescent="0.2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ht="12.75" customHeight="1" x14ac:dyDescent="0.2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ht="12.75" customHeight="1" x14ac:dyDescent="0.2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ht="12.75" customHeight="1" x14ac:dyDescent="0.2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ht="12.75" customHeight="1" x14ac:dyDescent="0.2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ht="12.75" customHeight="1" x14ac:dyDescent="0.2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ht="12.75" customHeight="1" x14ac:dyDescent="0.2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ht="12.75" customHeight="1" x14ac:dyDescent="0.2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ht="12.75" customHeight="1" x14ac:dyDescent="0.2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ht="12.75" customHeight="1" x14ac:dyDescent="0.2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ht="12.75" customHeight="1" x14ac:dyDescent="0.2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ht="12.75" customHeight="1" x14ac:dyDescent="0.2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ht="12.75" customHeight="1" x14ac:dyDescent="0.2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ht="12.75" customHeight="1" x14ac:dyDescent="0.2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ht="12.75" customHeight="1" x14ac:dyDescent="0.2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ht="12.75" customHeight="1" x14ac:dyDescent="0.2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ht="12.75" customHeight="1" x14ac:dyDescent="0.2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ht="12.75" customHeight="1" x14ac:dyDescent="0.2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ht="12.75" customHeight="1" x14ac:dyDescent="0.2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ht="12.75" customHeight="1" x14ac:dyDescent="0.2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ht="12.75" customHeight="1" x14ac:dyDescent="0.2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ht="12.75" customHeight="1" x14ac:dyDescent="0.2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ht="12.75" customHeight="1" x14ac:dyDescent="0.2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ht="12.75" customHeight="1" x14ac:dyDescent="0.2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ht="12.75" customHeight="1" x14ac:dyDescent="0.2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ht="12.75" customHeight="1" x14ac:dyDescent="0.2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ht="12.75" customHeight="1" x14ac:dyDescent="0.2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ht="12.75" customHeight="1" x14ac:dyDescent="0.2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ht="12.75" customHeight="1" x14ac:dyDescent="0.2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ht="12.75" customHeight="1" x14ac:dyDescent="0.2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ht="12.75" customHeight="1" x14ac:dyDescent="0.2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ht="12.75" customHeight="1" x14ac:dyDescent="0.2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ht="12.75" customHeight="1" x14ac:dyDescent="0.2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ht="12.75" customHeight="1" x14ac:dyDescent="0.2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ht="12.75" customHeight="1" x14ac:dyDescent="0.2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ht="12.75" customHeight="1" x14ac:dyDescent="0.2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ht="12.75" customHeight="1" x14ac:dyDescent="0.2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ht="12.75" customHeight="1" x14ac:dyDescent="0.2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ht="12.75" customHeight="1" x14ac:dyDescent="0.2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ht="12.75" customHeight="1" x14ac:dyDescent="0.2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ht="12.75" customHeight="1" x14ac:dyDescent="0.2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ht="12.75" customHeight="1" x14ac:dyDescent="0.2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ht="12.75" customHeight="1" x14ac:dyDescent="0.2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ht="12.75" customHeight="1" x14ac:dyDescent="0.2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ht="12.75" customHeight="1" x14ac:dyDescent="0.2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ht="12.75" customHeight="1" x14ac:dyDescent="0.2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ht="12.75" customHeight="1" x14ac:dyDescent="0.2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ht="12.75" customHeight="1" x14ac:dyDescent="0.2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ht="12.75" customHeight="1" x14ac:dyDescent="0.2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ht="12.75" customHeight="1" x14ac:dyDescent="0.2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ht="12.75" customHeight="1" x14ac:dyDescent="0.2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ht="12.75" customHeight="1" x14ac:dyDescent="0.2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ht="12.75" customHeight="1" x14ac:dyDescent="0.2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ht="12.75" customHeight="1" x14ac:dyDescent="0.2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ht="12.75" customHeight="1" x14ac:dyDescent="0.2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ht="12.75" customHeight="1" x14ac:dyDescent="0.2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ht="12.75" customHeight="1" x14ac:dyDescent="0.2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ht="12.75" customHeight="1" x14ac:dyDescent="0.2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ht="12.75" customHeight="1" x14ac:dyDescent="0.2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ht="12.75" customHeight="1" x14ac:dyDescent="0.2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ht="12.75" customHeight="1" x14ac:dyDescent="0.2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ht="12.75" customHeight="1" x14ac:dyDescent="0.2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ht="12.75" customHeight="1" x14ac:dyDescent="0.2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ht="12.75" customHeight="1" x14ac:dyDescent="0.2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ht="12.75" customHeight="1" x14ac:dyDescent="0.2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ht="12.75" customHeight="1" x14ac:dyDescent="0.2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ht="12.75" customHeight="1" x14ac:dyDescent="0.2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ht="12.75" customHeight="1" x14ac:dyDescent="0.2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ht="12.75" customHeight="1" x14ac:dyDescent="0.2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ht="12.75" customHeight="1" x14ac:dyDescent="0.2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ht="12.75" customHeight="1" x14ac:dyDescent="0.2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ht="12.75" customHeight="1" x14ac:dyDescent="0.2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ht="12.75" customHeight="1" x14ac:dyDescent="0.2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ht="12.75" customHeight="1" x14ac:dyDescent="0.2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ht="12.75" customHeight="1" x14ac:dyDescent="0.2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ht="12.75" customHeight="1" x14ac:dyDescent="0.2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ht="12.75" customHeight="1" x14ac:dyDescent="0.2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ht="12.75" customHeight="1" x14ac:dyDescent="0.2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ht="12.75" customHeight="1" x14ac:dyDescent="0.2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ht="12.75" customHeight="1" x14ac:dyDescent="0.2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ht="12.75" customHeight="1" x14ac:dyDescent="0.2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ht="12.75" customHeight="1" x14ac:dyDescent="0.2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ht="12.75" customHeight="1" x14ac:dyDescent="0.2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ht="12.75" customHeight="1" x14ac:dyDescent="0.2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ht="12.75" customHeight="1" x14ac:dyDescent="0.2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ht="12.75" customHeight="1" x14ac:dyDescent="0.2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ht="12.75" customHeight="1" x14ac:dyDescent="0.2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ht="12.75" customHeight="1" x14ac:dyDescent="0.2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ht="12.75" customHeight="1" x14ac:dyDescent="0.2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ht="12.75" customHeight="1" x14ac:dyDescent="0.2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ht="12.75" customHeight="1" x14ac:dyDescent="0.2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ht="12.75" customHeight="1" x14ac:dyDescent="0.2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ht="12.75" customHeight="1" x14ac:dyDescent="0.2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ht="12.75" customHeight="1" x14ac:dyDescent="0.2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ht="12.75" customHeight="1" x14ac:dyDescent="0.2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ht="12.75" customHeight="1" x14ac:dyDescent="0.2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ht="12.75" customHeight="1" x14ac:dyDescent="0.2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ht="12.75" customHeight="1" x14ac:dyDescent="0.2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ht="12.75" customHeight="1" x14ac:dyDescent="0.2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ht="12.75" customHeight="1" x14ac:dyDescent="0.2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ht="12.75" customHeight="1" x14ac:dyDescent="0.2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ht="12.75" customHeight="1" x14ac:dyDescent="0.2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ht="12.75" customHeight="1" x14ac:dyDescent="0.2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ht="12.75" customHeight="1" x14ac:dyDescent="0.2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ht="12.75" customHeight="1" x14ac:dyDescent="0.2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ht="12.75" customHeight="1" x14ac:dyDescent="0.2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ht="12.75" customHeight="1" x14ac:dyDescent="0.2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ht="12.75" customHeight="1" x14ac:dyDescent="0.2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ht="12.75" customHeight="1" x14ac:dyDescent="0.2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ht="12.75" customHeight="1" x14ac:dyDescent="0.2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ht="12.75" customHeight="1" x14ac:dyDescent="0.2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ht="12.75" customHeight="1" x14ac:dyDescent="0.2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ht="12.75" customHeight="1" x14ac:dyDescent="0.2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ht="12.75" customHeight="1" x14ac:dyDescent="0.2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ht="12.75" customHeight="1" x14ac:dyDescent="0.2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ht="12.75" customHeight="1" x14ac:dyDescent="0.2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ht="12.75" customHeight="1" x14ac:dyDescent="0.2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ht="12.75" customHeight="1" x14ac:dyDescent="0.2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ht="12.75" customHeight="1" x14ac:dyDescent="0.2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ht="12.75" customHeight="1" x14ac:dyDescent="0.2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ht="12.75" customHeight="1" x14ac:dyDescent="0.2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ht="12.75" customHeight="1" x14ac:dyDescent="0.2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ht="12.75" customHeight="1" x14ac:dyDescent="0.2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ht="12.75" customHeight="1" x14ac:dyDescent="0.2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ht="12.75" customHeight="1" x14ac:dyDescent="0.2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ht="12.75" customHeight="1" x14ac:dyDescent="0.2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ht="12.75" customHeight="1" x14ac:dyDescent="0.2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ht="12.75" customHeight="1" x14ac:dyDescent="0.2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ht="12.75" customHeight="1" x14ac:dyDescent="0.2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ht="12.75" customHeight="1" x14ac:dyDescent="0.2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ht="12.75" customHeight="1" x14ac:dyDescent="0.2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ht="12.75" customHeight="1" x14ac:dyDescent="0.2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ht="12.75" customHeight="1" x14ac:dyDescent="0.2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ht="12.75" customHeight="1" x14ac:dyDescent="0.2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ht="12.75" customHeight="1" x14ac:dyDescent="0.2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ht="12.75" customHeight="1" x14ac:dyDescent="0.2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ht="12.75" customHeight="1" x14ac:dyDescent="0.2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ht="12.75" customHeight="1" x14ac:dyDescent="0.2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ht="12.75" customHeight="1" x14ac:dyDescent="0.2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ht="12.75" customHeight="1" x14ac:dyDescent="0.2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ht="12.75" customHeight="1" x14ac:dyDescent="0.2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ht="12.75" customHeight="1" x14ac:dyDescent="0.2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ht="12.75" customHeight="1" x14ac:dyDescent="0.2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ht="12.75" customHeight="1" x14ac:dyDescent="0.2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ht="12.75" customHeight="1" x14ac:dyDescent="0.2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ht="12.75" customHeight="1" x14ac:dyDescent="0.2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ht="12.75" customHeight="1" x14ac:dyDescent="0.2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ht="12.75" customHeight="1" x14ac:dyDescent="0.2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ht="12.75" customHeight="1" x14ac:dyDescent="0.2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ht="12.75" customHeight="1" x14ac:dyDescent="0.2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ht="12.75" customHeight="1" x14ac:dyDescent="0.2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ht="12.75" customHeight="1" x14ac:dyDescent="0.2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ht="12.75" customHeight="1" x14ac:dyDescent="0.2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ht="12.75" customHeight="1" x14ac:dyDescent="0.2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ht="12.75" customHeight="1" x14ac:dyDescent="0.2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ht="12.75" customHeight="1" x14ac:dyDescent="0.2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ht="12.75" customHeight="1" x14ac:dyDescent="0.2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ht="12.75" customHeight="1" x14ac:dyDescent="0.2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ht="12.75" customHeight="1" x14ac:dyDescent="0.2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ht="12.75" customHeight="1" x14ac:dyDescent="0.2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ht="12.75" customHeight="1" x14ac:dyDescent="0.2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ht="12.75" customHeight="1" x14ac:dyDescent="0.2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ht="12.75" customHeight="1" x14ac:dyDescent="0.2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ht="12.75" customHeight="1" x14ac:dyDescent="0.2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ht="12.75" customHeight="1" x14ac:dyDescent="0.2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ht="12.75" customHeight="1" x14ac:dyDescent="0.2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ht="12.75" customHeight="1" x14ac:dyDescent="0.2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ht="12.75" customHeight="1" x14ac:dyDescent="0.2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ht="12.75" customHeight="1" x14ac:dyDescent="0.2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ht="12.75" customHeight="1" x14ac:dyDescent="0.2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ht="12.75" customHeight="1" x14ac:dyDescent="0.2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ht="12.75" customHeight="1" x14ac:dyDescent="0.2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ht="12.75" customHeight="1" x14ac:dyDescent="0.2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ht="12.75" customHeight="1" x14ac:dyDescent="0.2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ht="12.75" customHeight="1" x14ac:dyDescent="0.2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ht="12.75" customHeight="1" x14ac:dyDescent="0.2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ht="12.75" customHeight="1" x14ac:dyDescent="0.2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ht="12.75" customHeight="1" x14ac:dyDescent="0.2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ht="12.75" customHeight="1" x14ac:dyDescent="0.2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ht="12.75" customHeight="1" x14ac:dyDescent="0.2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ht="12.75" customHeight="1" x14ac:dyDescent="0.2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ht="12.75" customHeight="1" x14ac:dyDescent="0.2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ht="12.75" customHeight="1" x14ac:dyDescent="0.2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ht="12.75" customHeight="1" x14ac:dyDescent="0.2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ht="12.75" customHeight="1" x14ac:dyDescent="0.2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ht="12.75" customHeight="1" x14ac:dyDescent="0.2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ht="12.75" customHeight="1" x14ac:dyDescent="0.2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ht="12.75" customHeight="1" x14ac:dyDescent="0.2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ht="12.75" customHeight="1" x14ac:dyDescent="0.2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ht="12.75" customHeight="1" x14ac:dyDescent="0.2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ht="12.75" customHeight="1" x14ac:dyDescent="0.2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ht="12.75" customHeight="1" x14ac:dyDescent="0.2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ht="12.75" customHeight="1" x14ac:dyDescent="0.2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ht="12.75" customHeight="1" x14ac:dyDescent="0.2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ht="12.75" customHeight="1" x14ac:dyDescent="0.2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ht="12.75" customHeight="1" x14ac:dyDescent="0.2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ht="12.75" customHeight="1" x14ac:dyDescent="0.2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ht="12.75" customHeight="1" x14ac:dyDescent="0.2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ht="12.75" customHeight="1" x14ac:dyDescent="0.2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ht="12.75" customHeight="1" x14ac:dyDescent="0.2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ht="12.75" customHeight="1" x14ac:dyDescent="0.2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ht="12.75" customHeight="1" x14ac:dyDescent="0.2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ht="12.75" customHeight="1" x14ac:dyDescent="0.2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ht="12.75" customHeight="1" x14ac:dyDescent="0.2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ht="12.75" customHeight="1" x14ac:dyDescent="0.2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ht="12.75" customHeight="1" x14ac:dyDescent="0.2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ht="12.75" customHeight="1" x14ac:dyDescent="0.2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ht="12.75" customHeight="1" x14ac:dyDescent="0.2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ht="12.75" customHeight="1" x14ac:dyDescent="0.2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ht="12.75" customHeight="1" x14ac:dyDescent="0.2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ht="12.75" customHeight="1" x14ac:dyDescent="0.2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ht="12.75" customHeight="1" x14ac:dyDescent="0.2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ht="12.75" customHeight="1" x14ac:dyDescent="0.2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ht="12.75" customHeight="1" x14ac:dyDescent="0.2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ht="12.75" customHeight="1" x14ac:dyDescent="0.2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ht="12.75" customHeight="1" x14ac:dyDescent="0.2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ht="12.75" customHeight="1" x14ac:dyDescent="0.2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ht="12.75" customHeight="1" x14ac:dyDescent="0.2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ht="12.75" customHeight="1" x14ac:dyDescent="0.2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ht="12.75" customHeight="1" x14ac:dyDescent="0.2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ht="12.75" customHeight="1" x14ac:dyDescent="0.2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ht="12.75" customHeight="1" x14ac:dyDescent="0.2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ht="12.75" customHeight="1" x14ac:dyDescent="0.2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ht="12.75" customHeight="1" x14ac:dyDescent="0.2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ht="12.75" customHeight="1" x14ac:dyDescent="0.2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ht="12.75" customHeight="1" x14ac:dyDescent="0.2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ht="12.75" customHeight="1" x14ac:dyDescent="0.2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ht="12.75" customHeight="1" x14ac:dyDescent="0.2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ht="12.75" customHeight="1" x14ac:dyDescent="0.2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ht="12.75" customHeight="1" x14ac:dyDescent="0.2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ht="12.75" customHeight="1" x14ac:dyDescent="0.2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ht="12.75" customHeight="1" x14ac:dyDescent="0.2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ht="12.75" customHeight="1" x14ac:dyDescent="0.2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ht="12.75" customHeight="1" x14ac:dyDescent="0.2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ht="12.75" customHeight="1" x14ac:dyDescent="0.2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ht="12.75" customHeight="1" x14ac:dyDescent="0.2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ht="12.75" customHeight="1" x14ac:dyDescent="0.2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ht="12.75" customHeight="1" x14ac:dyDescent="0.2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ht="12.75" customHeight="1" x14ac:dyDescent="0.2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ht="12.75" customHeight="1" x14ac:dyDescent="0.2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ht="12.75" customHeight="1" x14ac:dyDescent="0.2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ht="12.75" customHeight="1" x14ac:dyDescent="0.2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ht="12.75" customHeight="1" x14ac:dyDescent="0.2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ht="12.75" customHeight="1" x14ac:dyDescent="0.2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ht="12.75" customHeight="1" x14ac:dyDescent="0.2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ht="12.75" customHeight="1" x14ac:dyDescent="0.2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ht="12.75" customHeight="1" x14ac:dyDescent="0.2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ht="12.75" customHeight="1" x14ac:dyDescent="0.2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ht="12.75" customHeight="1" x14ac:dyDescent="0.2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ht="12.75" customHeight="1" x14ac:dyDescent="0.2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ht="12.75" customHeight="1" x14ac:dyDescent="0.2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ht="12.75" customHeight="1" x14ac:dyDescent="0.2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ht="12.75" customHeight="1" x14ac:dyDescent="0.2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ht="12.75" customHeight="1" x14ac:dyDescent="0.2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ht="12.75" customHeight="1" x14ac:dyDescent="0.2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ht="12.75" customHeight="1" x14ac:dyDescent="0.2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ht="12.75" customHeight="1" x14ac:dyDescent="0.2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ht="12.75" customHeight="1" x14ac:dyDescent="0.2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ht="12.75" customHeight="1" x14ac:dyDescent="0.2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ht="12.75" customHeight="1" x14ac:dyDescent="0.2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ht="12.75" customHeight="1" x14ac:dyDescent="0.2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ht="12.75" customHeight="1" x14ac:dyDescent="0.2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ht="12.75" customHeight="1" x14ac:dyDescent="0.2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ht="12.75" customHeight="1" x14ac:dyDescent="0.2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ht="12.75" customHeight="1" x14ac:dyDescent="0.2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ht="12.75" customHeight="1" x14ac:dyDescent="0.2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ht="12.75" customHeight="1" x14ac:dyDescent="0.2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ht="12.75" customHeight="1" x14ac:dyDescent="0.2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ht="12.75" customHeight="1" x14ac:dyDescent="0.2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ht="12.75" customHeight="1" x14ac:dyDescent="0.2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ht="12.75" customHeight="1" x14ac:dyDescent="0.2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ht="12.75" customHeight="1" x14ac:dyDescent="0.2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ht="12.75" customHeight="1" x14ac:dyDescent="0.2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ht="12.75" customHeight="1" x14ac:dyDescent="0.2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ht="12.75" customHeight="1" x14ac:dyDescent="0.2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ht="12.75" customHeight="1" x14ac:dyDescent="0.2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ht="12.75" customHeight="1" x14ac:dyDescent="0.2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ht="12.75" customHeight="1" x14ac:dyDescent="0.2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ht="12.75" customHeight="1" x14ac:dyDescent="0.2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ht="12.75" customHeight="1" x14ac:dyDescent="0.2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ht="12.75" customHeight="1" x14ac:dyDescent="0.2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ht="12.75" customHeight="1" x14ac:dyDescent="0.2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ht="12.75" customHeight="1" x14ac:dyDescent="0.2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ht="12.75" customHeight="1" x14ac:dyDescent="0.2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ht="12.75" customHeight="1" x14ac:dyDescent="0.2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ht="12.75" customHeight="1" x14ac:dyDescent="0.2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ht="12.75" customHeight="1" x14ac:dyDescent="0.2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ht="12.75" customHeight="1" x14ac:dyDescent="0.2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ht="12.75" customHeight="1" x14ac:dyDescent="0.2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ht="12.75" customHeight="1" x14ac:dyDescent="0.2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ht="12.75" customHeight="1" x14ac:dyDescent="0.2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ht="12.75" customHeight="1" x14ac:dyDescent="0.2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ht="12.75" customHeight="1" x14ac:dyDescent="0.2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ht="12.75" customHeight="1" x14ac:dyDescent="0.2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ht="12.75" customHeight="1" x14ac:dyDescent="0.2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ht="12.75" customHeight="1" x14ac:dyDescent="0.2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ht="12.75" customHeight="1" x14ac:dyDescent="0.2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ht="12.75" customHeight="1" x14ac:dyDescent="0.2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ht="12.75" customHeight="1" x14ac:dyDescent="0.2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ht="12.75" customHeight="1" x14ac:dyDescent="0.2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ht="12.75" customHeight="1" x14ac:dyDescent="0.2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ht="12.75" customHeight="1" x14ac:dyDescent="0.2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ht="12.75" customHeight="1" x14ac:dyDescent="0.2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ht="12.75" customHeight="1" x14ac:dyDescent="0.2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ht="12.75" customHeight="1" x14ac:dyDescent="0.2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ht="12.75" customHeight="1" x14ac:dyDescent="0.2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ht="12.75" customHeight="1" x14ac:dyDescent="0.2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ht="12.75" customHeight="1" x14ac:dyDescent="0.2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ht="12.75" customHeight="1" x14ac:dyDescent="0.2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ht="12.75" customHeight="1" x14ac:dyDescent="0.2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ht="12.75" customHeight="1" x14ac:dyDescent="0.2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ht="12.75" customHeight="1" x14ac:dyDescent="0.2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ht="12.75" customHeight="1" x14ac:dyDescent="0.2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ht="12.75" customHeight="1" x14ac:dyDescent="0.2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ht="12.75" customHeight="1" x14ac:dyDescent="0.2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ht="12.75" customHeight="1" x14ac:dyDescent="0.2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ht="12.75" customHeight="1" x14ac:dyDescent="0.2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ht="12.75" customHeight="1" x14ac:dyDescent="0.2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ht="12.75" customHeight="1" x14ac:dyDescent="0.2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ht="12.75" customHeight="1" x14ac:dyDescent="0.2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ht="12.75" customHeight="1" x14ac:dyDescent="0.2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ht="12.75" customHeight="1" x14ac:dyDescent="0.2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ht="12.75" customHeight="1" x14ac:dyDescent="0.2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ht="12.75" customHeight="1" x14ac:dyDescent="0.2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ht="12.75" customHeight="1" x14ac:dyDescent="0.2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ht="12.75" customHeight="1" x14ac:dyDescent="0.2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ht="12.75" customHeight="1" x14ac:dyDescent="0.2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ht="12.75" customHeight="1" x14ac:dyDescent="0.2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ht="12.75" customHeight="1" x14ac:dyDescent="0.2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ht="12.75" customHeight="1" x14ac:dyDescent="0.2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ht="12.75" customHeight="1" x14ac:dyDescent="0.2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ht="12.75" customHeight="1" x14ac:dyDescent="0.2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ht="12.75" customHeight="1" x14ac:dyDescent="0.2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ht="12.75" customHeight="1" x14ac:dyDescent="0.2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ht="12.75" customHeight="1" x14ac:dyDescent="0.2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ht="12.75" customHeight="1" x14ac:dyDescent="0.2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ht="12.75" customHeight="1" x14ac:dyDescent="0.2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ht="12.75" customHeight="1" x14ac:dyDescent="0.2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ht="12.75" customHeight="1" x14ac:dyDescent="0.2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ht="12.75" customHeight="1" x14ac:dyDescent="0.2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ht="12.75" customHeight="1" x14ac:dyDescent="0.2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ht="12.75" customHeight="1" x14ac:dyDescent="0.2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ht="12.75" customHeight="1" x14ac:dyDescent="0.2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ht="12.75" customHeight="1" x14ac:dyDescent="0.2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ht="12.75" customHeight="1" x14ac:dyDescent="0.2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ht="12.75" customHeight="1" x14ac:dyDescent="0.2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ht="12.75" customHeight="1" x14ac:dyDescent="0.2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ht="12.75" customHeight="1" x14ac:dyDescent="0.2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ht="12.75" customHeight="1" x14ac:dyDescent="0.2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ht="12.75" customHeight="1" x14ac:dyDescent="0.2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ht="12.75" customHeight="1" x14ac:dyDescent="0.2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ht="12.75" customHeight="1" x14ac:dyDescent="0.2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ht="12.75" customHeight="1" x14ac:dyDescent="0.2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ht="12.75" customHeight="1" x14ac:dyDescent="0.2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ht="12.75" customHeight="1" x14ac:dyDescent="0.2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ht="12.75" customHeight="1" x14ac:dyDescent="0.2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ht="12.75" customHeight="1" x14ac:dyDescent="0.2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ht="12.75" customHeight="1" x14ac:dyDescent="0.2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ht="12.75" customHeight="1" x14ac:dyDescent="0.2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ht="12.75" customHeight="1" x14ac:dyDescent="0.2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ht="12.75" customHeight="1" x14ac:dyDescent="0.2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ht="12.75" customHeight="1" x14ac:dyDescent="0.2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ht="12.75" customHeight="1" x14ac:dyDescent="0.2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ht="12.75" customHeight="1" x14ac:dyDescent="0.2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ht="12.75" customHeight="1" x14ac:dyDescent="0.2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ht="12.75" customHeight="1" x14ac:dyDescent="0.2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ht="12.75" customHeight="1" x14ac:dyDescent="0.2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ht="12.75" customHeight="1" x14ac:dyDescent="0.2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ht="12.75" customHeight="1" x14ac:dyDescent="0.2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ht="12.75" customHeight="1" x14ac:dyDescent="0.2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ht="12.75" customHeight="1" x14ac:dyDescent="0.2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ht="12.75" customHeight="1" x14ac:dyDescent="0.2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ht="12.75" customHeight="1" x14ac:dyDescent="0.2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ht="12.75" customHeight="1" x14ac:dyDescent="0.2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ht="12.75" customHeight="1" x14ac:dyDescent="0.2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ht="12.75" customHeight="1" x14ac:dyDescent="0.2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ht="12.75" customHeight="1" x14ac:dyDescent="0.2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ht="12.75" customHeight="1" x14ac:dyDescent="0.2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ht="12.75" customHeight="1" x14ac:dyDescent="0.2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ht="12.75" customHeight="1" x14ac:dyDescent="0.2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ht="12.75" customHeight="1" x14ac:dyDescent="0.2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ht="12.75" customHeight="1" x14ac:dyDescent="0.2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ht="12.75" customHeight="1" x14ac:dyDescent="0.2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ht="12.75" customHeight="1" x14ac:dyDescent="0.2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ht="12.75" customHeight="1" x14ac:dyDescent="0.2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ht="12.75" customHeight="1" x14ac:dyDescent="0.2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ht="12.75" customHeight="1" x14ac:dyDescent="0.2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ht="12.75" customHeight="1" x14ac:dyDescent="0.2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ht="12.75" customHeight="1" x14ac:dyDescent="0.2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ht="12.75" customHeight="1" x14ac:dyDescent="0.2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ht="12.75" customHeight="1" x14ac:dyDescent="0.2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ht="12.75" customHeight="1" x14ac:dyDescent="0.2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ht="12.75" customHeight="1" x14ac:dyDescent="0.2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ht="12.75" customHeight="1" x14ac:dyDescent="0.2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ht="12.75" customHeight="1" x14ac:dyDescent="0.2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ht="12.75" customHeight="1" x14ac:dyDescent="0.2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ht="12.75" customHeight="1" x14ac:dyDescent="0.2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ht="12.75" customHeight="1" x14ac:dyDescent="0.2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ht="12.75" customHeight="1" x14ac:dyDescent="0.2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ht="12.75" customHeight="1" x14ac:dyDescent="0.2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ht="12.75" customHeight="1" x14ac:dyDescent="0.2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ht="12.75" customHeight="1" x14ac:dyDescent="0.2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ht="12.75" customHeight="1" x14ac:dyDescent="0.2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ht="12.75" customHeight="1" x14ac:dyDescent="0.2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ht="12.75" customHeight="1" x14ac:dyDescent="0.2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ht="12.75" customHeight="1" x14ac:dyDescent="0.2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ht="12.75" customHeight="1" x14ac:dyDescent="0.2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ht="12.75" customHeight="1" x14ac:dyDescent="0.2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ht="12.75" customHeight="1" x14ac:dyDescent="0.2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ht="12.75" customHeight="1" x14ac:dyDescent="0.2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ht="12.75" customHeight="1" x14ac:dyDescent="0.2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ht="12.75" customHeight="1" x14ac:dyDescent="0.2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ht="12.75" customHeight="1" x14ac:dyDescent="0.2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ht="12.75" customHeight="1" x14ac:dyDescent="0.2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ht="12.75" customHeight="1" x14ac:dyDescent="0.2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ht="12.75" customHeight="1" x14ac:dyDescent="0.2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ht="12.75" customHeight="1" x14ac:dyDescent="0.2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ht="12.75" customHeight="1" x14ac:dyDescent="0.2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ht="12.75" customHeight="1" x14ac:dyDescent="0.2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ht="12.75" customHeight="1" x14ac:dyDescent="0.2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ht="12.75" customHeight="1" x14ac:dyDescent="0.2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ht="12.75" customHeight="1" x14ac:dyDescent="0.2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ht="12.75" customHeight="1" x14ac:dyDescent="0.2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ht="12.75" customHeight="1" x14ac:dyDescent="0.2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ht="12.75" customHeight="1" x14ac:dyDescent="0.2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ht="12.75" customHeight="1" x14ac:dyDescent="0.2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ht="12.75" customHeight="1" x14ac:dyDescent="0.2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ht="12.75" customHeight="1" x14ac:dyDescent="0.2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ht="12.75" customHeight="1" x14ac:dyDescent="0.2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ht="12.75" customHeight="1" x14ac:dyDescent="0.2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ht="12.75" customHeight="1" x14ac:dyDescent="0.2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ht="12.75" customHeight="1" x14ac:dyDescent="0.2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ht="12.75" customHeight="1" x14ac:dyDescent="0.2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ht="12.75" customHeight="1" x14ac:dyDescent="0.2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ht="12.75" customHeight="1" x14ac:dyDescent="0.2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ht="12.75" customHeight="1" x14ac:dyDescent="0.2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ht="12.75" customHeight="1" x14ac:dyDescent="0.2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ht="12.75" customHeight="1" x14ac:dyDescent="0.2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ht="12.75" customHeight="1" x14ac:dyDescent="0.2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ht="12.75" customHeight="1" x14ac:dyDescent="0.2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ht="12.75" customHeight="1" x14ac:dyDescent="0.2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ht="12.75" customHeight="1" x14ac:dyDescent="0.2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ht="12.75" customHeight="1" x14ac:dyDescent="0.2">
      <c r="F1322" s="1"/>
      <c r="G1322" s="1"/>
      <c r="J1322" s="1"/>
      <c r="K1322" s="1"/>
      <c r="L1322" s="1"/>
      <c r="R1322" s="1"/>
      <c r="AC1322" s="1"/>
      <c r="AE1322" s="1"/>
      <c r="AG1322" s="1"/>
    </row>
  </sheetData>
  <mergeCells count="3">
    <mergeCell ref="A1:AJ1"/>
    <mergeCell ref="A2:AJ2"/>
    <mergeCell ref="A3:AJ3"/>
  </mergeCells>
  <conditionalFormatting sqref="H7:AV8 H27:AV27">
    <cfRule type="cellIs" dxfId="5" priority="2" operator="lessThan">
      <formula>0</formula>
    </cfRule>
  </conditionalFormatting>
  <conditionalFormatting sqref="H9:AV26">
    <cfRule type="cellIs" dxfId="4" priority="1" operator="lessThan">
      <formula>0</formula>
    </cfRule>
  </conditionalFormatting>
  <pageMargins left="0" right="0" top="0" bottom="0" header="0" footer="0"/>
  <pageSetup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326"/>
  <sheetViews>
    <sheetView tabSelected="1" workbookViewId="0">
      <selection activeCell="I36" sqref="I36"/>
    </sheetView>
  </sheetViews>
  <sheetFormatPr defaultColWidth="6.85546875" defaultRowHeight="12.75" x14ac:dyDescent="0.2"/>
  <cols>
    <col min="1" max="1" width="12.85546875" bestFit="1" customWidth="1"/>
    <col min="2" max="2" width="11.42578125" bestFit="1" customWidth="1"/>
    <col min="3" max="3" width="11.85546875" bestFit="1" customWidth="1"/>
    <col min="4" max="4" width="18.42578125" bestFit="1" customWidth="1"/>
    <col min="5" max="5" width="22.28515625" bestFit="1" customWidth="1"/>
    <col min="6" max="6" width="15.7109375" customWidth="1"/>
    <col min="7" max="7" width="13.7109375" bestFit="1" customWidth="1"/>
    <col min="8" max="8" width="24.42578125" bestFit="1" customWidth="1"/>
    <col min="9" max="9" width="39.42578125" bestFit="1" customWidth="1"/>
    <col min="10" max="10" width="22.5703125" bestFit="1" customWidth="1"/>
    <col min="11" max="11" width="22.85546875" bestFit="1" customWidth="1"/>
    <col min="12" max="12" width="26.85546875" bestFit="1" customWidth="1"/>
    <col min="13" max="13" width="19" bestFit="1" customWidth="1"/>
    <col min="14" max="14" width="24.5703125" bestFit="1" customWidth="1"/>
    <col min="15" max="15" width="12.28515625" bestFit="1" customWidth="1"/>
    <col min="16" max="16" width="17.28515625" customWidth="1"/>
    <col min="17" max="17" width="18.85546875" bestFit="1" customWidth="1"/>
    <col min="18" max="18" width="18.7109375" bestFit="1" customWidth="1"/>
    <col min="19" max="19" width="27.140625" bestFit="1" customWidth="1"/>
    <col min="20" max="20" width="27.28515625" bestFit="1" customWidth="1"/>
    <col min="21" max="21" width="15.42578125" bestFit="1" customWidth="1"/>
    <col min="22" max="22" width="13.2851562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8515625" bestFit="1" customWidth="1"/>
    <col min="31" max="31" width="36.42578125" bestFit="1" customWidth="1"/>
    <col min="32" max="32" width="34.28515625" bestFit="1" customWidth="1"/>
    <col min="33" max="33" width="38.5703125" bestFit="1" customWidth="1"/>
    <col min="34" max="34" width="27.28515625" bestFit="1" customWidth="1"/>
    <col min="35" max="35" width="25.42578125" bestFit="1" customWidth="1"/>
    <col min="36" max="36" width="25.85546875" bestFit="1" customWidth="1"/>
    <col min="37" max="37" width="17.42578125" bestFit="1" customWidth="1"/>
    <col min="38" max="38" width="14.7109375" bestFit="1" customWidth="1"/>
    <col min="39" max="39" width="14.28515625" bestFit="1" customWidth="1"/>
    <col min="40" max="40" width="47.85546875" bestFit="1" customWidth="1"/>
    <col min="41" max="41" width="48" bestFit="1" customWidth="1"/>
    <col min="42" max="42" width="23.28515625" bestFit="1" customWidth="1"/>
    <col min="43" max="43" width="16.85546875" bestFit="1" customWidth="1"/>
    <col min="44" max="44" width="10.7109375" bestFit="1" customWidth="1"/>
    <col min="45" max="45" width="13.7109375" bestFit="1" customWidth="1"/>
    <col min="46" max="46" width="10.7109375" bestFit="1" customWidth="1"/>
    <col min="47" max="47" width="13.7109375" bestFit="1" customWidth="1"/>
    <col min="48" max="48" width="10.7109375" bestFit="1" customWidth="1"/>
    <col min="49" max="49" width="19.5703125" bestFit="1" customWidth="1"/>
  </cols>
  <sheetData>
    <row r="1" spans="1:49" ht="12.75" customHeight="1" x14ac:dyDescent="0.2">
      <c r="A1" s="19" t="e">
        <f ca="1">MID(CELL("filename"),SEARCH("_C",CELL("filename"))+1,FIND(".",CELL("filename")) - SEARCH("_C",CELL("filename")))</f>
        <v>#VALUE!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9" ht="12.75" customHeight="1" x14ac:dyDescent="0.2">
      <c r="A2" s="19" t="str">
        <f ca="1">RIGHT(CELL("filename"),LEN(CELL("filename"))-FIND("]",CELL("filename")))</f>
        <v>Active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9" ht="12.75" customHeight="1" x14ac:dyDescent="0.2">
      <c r="A3" s="19" t="str">
        <f ca="1">CONCATENATE("For The Period Ended ", MID(CELL("filename"), SEARCH("._",CELL("filename"))+2,SEARCH(".xlsx",CELL("filename")) - SEARCH("._",CELL("filename"))-2))</f>
        <v>For The Period Ended 2025-03-31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49" ht="12.75" customHeight="1" x14ac:dyDescent="0.2">
      <c r="A4" t="s">
        <v>31</v>
      </c>
      <c r="B4" s="4">
        <f>IF(D7 = "ZACK HASANOV", 0, COUNTA(A7:A10019))</f>
        <v>22</v>
      </c>
    </row>
    <row r="5" spans="1:49" ht="12.75" customHeight="1" x14ac:dyDescent="0.2">
      <c r="B5" s="4"/>
    </row>
    <row r="6" spans="1:49" ht="12.75" customHeight="1" x14ac:dyDescent="0.2">
      <c r="A6" s="5" t="s">
        <v>0</v>
      </c>
      <c r="B6" s="6" t="s">
        <v>1</v>
      </c>
      <c r="C6" s="6" t="s">
        <v>42</v>
      </c>
      <c r="D6" s="6" t="s">
        <v>2</v>
      </c>
      <c r="E6" s="6" t="s">
        <v>49</v>
      </c>
      <c r="F6" s="6" t="s">
        <v>3</v>
      </c>
      <c r="G6" s="6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32</v>
      </c>
      <c r="O6" s="7" t="s">
        <v>33</v>
      </c>
      <c r="P6" s="7" t="s">
        <v>34</v>
      </c>
      <c r="Q6" s="7" t="s">
        <v>35</v>
      </c>
      <c r="R6" s="7" t="s">
        <v>11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7" t="s">
        <v>36</v>
      </c>
      <c r="Y6" s="7" t="s">
        <v>37</v>
      </c>
      <c r="Z6" s="7" t="s">
        <v>38</v>
      </c>
      <c r="AA6" s="7" t="s">
        <v>39</v>
      </c>
      <c r="AB6" s="7" t="s">
        <v>40</v>
      </c>
      <c r="AC6" s="7" t="s">
        <v>41</v>
      </c>
      <c r="AD6" s="7" t="s">
        <v>17</v>
      </c>
      <c r="AE6" s="7" t="s">
        <v>18</v>
      </c>
      <c r="AF6" s="7" t="s">
        <v>19</v>
      </c>
      <c r="AG6" s="7" t="s">
        <v>20</v>
      </c>
      <c r="AH6" s="7" t="s">
        <v>21</v>
      </c>
      <c r="AI6" s="7" t="s">
        <v>22</v>
      </c>
      <c r="AJ6" s="7" t="s">
        <v>23</v>
      </c>
      <c r="AK6" s="7" t="s">
        <v>29</v>
      </c>
      <c r="AL6" s="7" t="s">
        <v>24</v>
      </c>
      <c r="AM6" s="7" t="s">
        <v>25</v>
      </c>
      <c r="AN6" s="7" t="s">
        <v>26</v>
      </c>
      <c r="AO6" s="7" t="s">
        <v>27</v>
      </c>
      <c r="AP6" s="8" t="s">
        <v>28</v>
      </c>
      <c r="AQ6" s="7" t="s">
        <v>43</v>
      </c>
      <c r="AR6" s="7" t="s">
        <v>44</v>
      </c>
      <c r="AS6" s="7" t="s">
        <v>45</v>
      </c>
      <c r="AT6" s="7" t="s">
        <v>46</v>
      </c>
      <c r="AU6" s="7" t="s">
        <v>47</v>
      </c>
      <c r="AV6" s="7" t="s">
        <v>48</v>
      </c>
      <c r="AW6" s="10" t="s">
        <v>50</v>
      </c>
    </row>
    <row r="7" spans="1:49" ht="12.75" customHeight="1" x14ac:dyDescent="0.2">
      <c r="A7" t="s">
        <v>75</v>
      </c>
      <c r="B7" t="s">
        <v>76</v>
      </c>
      <c r="C7" t="s">
        <v>77</v>
      </c>
      <c r="D7" t="s">
        <v>54</v>
      </c>
      <c r="E7" t="s">
        <v>54</v>
      </c>
      <c r="F7" t="s">
        <v>78</v>
      </c>
      <c r="G7" s="2" t="s">
        <v>79</v>
      </c>
      <c r="H7" s="14">
        <v>2730505</v>
      </c>
      <c r="I7" s="14">
        <v>196964.64</v>
      </c>
      <c r="J7" s="14">
        <f>Table1328103[[#This Row],[Adjusted Contract Price]]-Table1328103[[#This Row],[Base Contract]]-Table1328103[[#This Row],[Approved Change Orders]]</f>
        <v>-1248326.6400000001</v>
      </c>
      <c r="K7" s="14"/>
      <c r="L7" s="14">
        <v>1679143</v>
      </c>
      <c r="M7" s="14">
        <v>1627144.05</v>
      </c>
      <c r="N7" s="14">
        <v>2243954.42</v>
      </c>
      <c r="O7" s="14">
        <v>78928</v>
      </c>
      <c r="P7" s="14">
        <f>Table1328103[[#This Row],[Base Contract]]-Table1328103[[#This Row],[QU Original Budget]]</f>
        <v>486550.58000000007</v>
      </c>
      <c r="Q7" s="14">
        <f>Table1328103[[#This Row],[Approved Change Orders]]-Table1328103[[#This Row],[CO Change Order Budget]]</f>
        <v>118036.64000000001</v>
      </c>
      <c r="R7" s="14">
        <v>2322882.42</v>
      </c>
      <c r="S7" s="14">
        <f>Table1328103[[#This Row],[Total Direct Budget]]-Table1328103[[#This Row],[Estimated Total Direct Costs]]</f>
        <v>695738.36999999988</v>
      </c>
      <c r="T7" s="14">
        <f>+Table1328103[[#This Row],[Adjusted Contract Price]]-Table1328103[[#This Row],[Total Direct Budget]]</f>
        <v>-643739.41999999993</v>
      </c>
      <c r="U7" s="14">
        <f>+Table1328103[[#This Row],[Adjusted Contract Price]]-Table1328103[[#This Row],[Estimated Total Direct Costs]]</f>
        <v>51998.949999999953</v>
      </c>
      <c r="V7" s="15">
        <f>IF(Table1328103[[#This Row],[Adjusted Contract Price]]=0,0,+Table1328103[[#This Row],[Budgeted Gross Profit (Loss)]]/Table1328103[[#This Row],[Adjusted Contract Price]])</f>
        <v>-0.3833737924643702</v>
      </c>
      <c r="W7" s="15">
        <f>IF(Table1328103[[#This Row],[Adjusted Contract Price]]=0,0,+Table1328103[[#This Row],[Estimated Gross Profit (Loss)]]/Table1328103[[#This Row],[Adjusted Contract Price]])</f>
        <v>3.0967553091070833E-2</v>
      </c>
      <c r="X7" s="15">
        <v>0.79347699999999999</v>
      </c>
      <c r="Y7" s="15">
        <f>Table1328103[[#This Row],[Current GP %]]-Table1328103[[#This Row],[Prior Month1 GP]]</f>
        <v>-0.76250944690892919</v>
      </c>
      <c r="Z7" s="15">
        <v>0.79347699999999999</v>
      </c>
      <c r="AA7" s="15">
        <f>Table1328103[[#This Row],[Current GP %]]-Table1328103[[#This Row],[Prior Month2 GP]]</f>
        <v>-0.76250944690892919</v>
      </c>
      <c r="AB7" s="15">
        <v>0.79347699999999999</v>
      </c>
      <c r="AC7" s="15">
        <f>Table1328103[[#This Row],[Current GP %]]-Table1328103[[#This Row],[Prior Month3 GP]]</f>
        <v>-0.76250944690892919</v>
      </c>
      <c r="AD7" s="14">
        <v>1627143.41</v>
      </c>
      <c r="AE7" s="16">
        <f>IF(Table1328103[[#This Row],[Estimated Total Direct Costs]]=0,0,+Table1328103[[#This Row],[Direct Cost To Date]]/Table1328103[[#This Row],[Estimated Total Direct Costs]])</f>
        <v>0.99999960667280807</v>
      </c>
      <c r="AF7" s="14">
        <f>+Table1328103[[#This Row],[Estimated Gross Profit (Loss)]]*Table1328103[[#This Row],[% Complete]]</f>
        <v>51998.92954739897</v>
      </c>
      <c r="AG7" s="14"/>
      <c r="AH7" s="14">
        <f>+Table1328103[[#This Row],[Total Gross Profit Recognized To Date]]-Table1328103[[#This Row],[Gross Profit Recognized Prior Years]]</f>
        <v>51998.92954739897</v>
      </c>
      <c r="AI7" s="14">
        <v>1679142.74</v>
      </c>
      <c r="AJ7" s="14">
        <f>Table1328103[[#This Row],[Adjusted Contract Price]]-Table1328103[[#This Row],[Total Amount Billed To Date]]</f>
        <v>0.26000000000931323</v>
      </c>
      <c r="AK7" s="14">
        <v>83957.15</v>
      </c>
      <c r="AL7" s="15">
        <f>IF(Table1328103[[#This Row],[Total Amount Billed To Date]]=0,0,+Table1328103[[#This Row],[Current Retainage Amount]]/Table1328103[[#This Row],[Total Amount Billed To Date]])</f>
        <v>5.0000007742045799E-2</v>
      </c>
      <c r="AM7" s="14">
        <v>1579603.6</v>
      </c>
      <c r="AN7" s="14">
        <f>Table1328103[[#This Row],[Cash Received]]-Table1328103[[#This Row],[Direct Cost To Date]]</f>
        <v>-47539.809999999823</v>
      </c>
      <c r="AO7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7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0.40045260102488101</v>
      </c>
      <c r="AQ7" s="14">
        <v>1103808.57</v>
      </c>
      <c r="AR7" s="14">
        <v>901423.78</v>
      </c>
      <c r="AS7" s="14">
        <v>15581.99</v>
      </c>
      <c r="AT7" s="14">
        <v>1579603.6</v>
      </c>
      <c r="AU7" s="14">
        <v>186.24</v>
      </c>
      <c r="AV7" s="14">
        <v>0</v>
      </c>
      <c r="AW7" s="9">
        <v>45734</v>
      </c>
    </row>
    <row r="8" spans="1:49" ht="12.75" customHeight="1" x14ac:dyDescent="0.2">
      <c r="A8" t="s">
        <v>113</v>
      </c>
      <c r="B8" t="s">
        <v>114</v>
      </c>
      <c r="C8" t="s">
        <v>115</v>
      </c>
      <c r="D8" t="s">
        <v>54</v>
      </c>
      <c r="E8" t="s">
        <v>54</v>
      </c>
      <c r="F8" t="s">
        <v>116</v>
      </c>
      <c r="G8" s="2" t="s">
        <v>79</v>
      </c>
      <c r="H8" s="14">
        <v>1200000</v>
      </c>
      <c r="I8" s="14">
        <v>45671.02</v>
      </c>
      <c r="J8" s="14">
        <f>Table1328103[[#This Row],[Adjusted Contract Price]]-Table1328103[[#This Row],[Base Contract]]-Table1328103[[#This Row],[Approved Change Orders]]</f>
        <v>0</v>
      </c>
      <c r="K8" s="14"/>
      <c r="L8" s="14">
        <v>1245671.02</v>
      </c>
      <c r="M8" s="14">
        <v>1688209.91</v>
      </c>
      <c r="N8" s="14">
        <v>1020000</v>
      </c>
      <c r="O8" s="14">
        <v>28621.07</v>
      </c>
      <c r="P8" s="14">
        <f>Table1328103[[#This Row],[Base Contract]]-Table1328103[[#This Row],[QU Original Budget]]</f>
        <v>180000</v>
      </c>
      <c r="Q8" s="14">
        <f>Table1328103[[#This Row],[Approved Change Orders]]-Table1328103[[#This Row],[CO Change Order Budget]]</f>
        <v>17049.949999999997</v>
      </c>
      <c r="R8" s="14">
        <v>1048621.07</v>
      </c>
      <c r="S8" s="14">
        <f>Table1328103[[#This Row],[Total Direct Budget]]-Table1328103[[#This Row],[Estimated Total Direct Costs]]</f>
        <v>-639588.83999999985</v>
      </c>
      <c r="T8" s="14">
        <f>+Table1328103[[#This Row],[Adjusted Contract Price]]-Table1328103[[#This Row],[Total Direct Budget]]</f>
        <v>197049.94999999995</v>
      </c>
      <c r="U8" s="14">
        <f>+Table1328103[[#This Row],[Adjusted Contract Price]]-Table1328103[[#This Row],[Estimated Total Direct Costs]]</f>
        <v>-442538.8899999999</v>
      </c>
      <c r="V8" s="15">
        <f>IF(Table1328103[[#This Row],[Adjusted Contract Price]]=0,0,+Table1328103[[#This Row],[Budgeted Gross Profit (Loss)]]/Table1328103[[#This Row],[Adjusted Contract Price]])</f>
        <v>0.15818779343522013</v>
      </c>
      <c r="W8" s="15">
        <f>IF(Table1328103[[#This Row],[Adjusted Contract Price]]=0,0,+Table1328103[[#This Row],[Estimated Gross Profit (Loss)]]/Table1328103[[#This Row],[Adjusted Contract Price]])</f>
        <v>-0.3552614477617051</v>
      </c>
      <c r="X8" s="15">
        <v>0.841812</v>
      </c>
      <c r="Y8" s="15">
        <f>Table1328103[[#This Row],[Current GP %]]-Table1328103[[#This Row],[Prior Month1 GP]]</f>
        <v>-1.1970734477617051</v>
      </c>
      <c r="Z8" s="15">
        <v>0.83137700000000003</v>
      </c>
      <c r="AA8" s="15">
        <f>Table1328103[[#This Row],[Current GP %]]-Table1328103[[#This Row],[Prior Month2 GP]]</f>
        <v>-1.1866384477617051</v>
      </c>
      <c r="AB8" s="15">
        <v>0.83137700000000003</v>
      </c>
      <c r="AC8" s="15">
        <f>Table1328103[[#This Row],[Current GP %]]-Table1328103[[#This Row],[Prior Month3 GP]]</f>
        <v>-1.1866384477617051</v>
      </c>
      <c r="AD8" s="14">
        <v>1688209.37</v>
      </c>
      <c r="AE8" s="16">
        <f>IF(Table1328103[[#This Row],[Estimated Total Direct Costs]]=0,0,+Table1328103[[#This Row],[Direct Cost To Date]]/Table1328103[[#This Row],[Estimated Total Direct Costs]])</f>
        <v>0.99999968013456353</v>
      </c>
      <c r="AF8" s="14">
        <f>+Table1328103[[#This Row],[Estimated Gross Profit (Loss)]]*Table1328103[[#This Row],[% Complete]]</f>
        <v>-442538.74844710471</v>
      </c>
      <c r="AG8" s="14"/>
      <c r="AH8" s="14">
        <f>+Table1328103[[#This Row],[Total Gross Profit Recognized To Date]]-Table1328103[[#This Row],[Gross Profit Recognized Prior Years]]</f>
        <v>-442538.74844710471</v>
      </c>
      <c r="AI8" s="14">
        <v>1245671.02</v>
      </c>
      <c r="AJ8" s="14">
        <f>Table1328103[[#This Row],[Adjusted Contract Price]]-Table1328103[[#This Row],[Total Amount Billed To Date]]</f>
        <v>0</v>
      </c>
      <c r="AK8" s="14">
        <v>0</v>
      </c>
      <c r="AL8" s="15">
        <f>IF(Table1328103[[#This Row],[Total Amount Billed To Date]]=0,0,+Table1328103[[#This Row],[Current Retainage Amount]]/Table1328103[[#This Row],[Total Amount Billed To Date]])</f>
        <v>0</v>
      </c>
      <c r="AM8" s="14">
        <v>1245671.02</v>
      </c>
      <c r="AN8" s="14">
        <f>Table1328103[[#This Row],[Cash Received]]-Table1328103[[#This Row],[Direct Cost To Date]]</f>
        <v>-442538.35000000009</v>
      </c>
      <c r="AO8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8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0.39844710472971201</v>
      </c>
      <c r="AQ8" s="14">
        <v>59148.28</v>
      </c>
      <c r="AR8" s="14">
        <v>45671.02</v>
      </c>
      <c r="AS8" s="14">
        <v>0</v>
      </c>
      <c r="AT8" s="14">
        <v>1245671.02</v>
      </c>
      <c r="AU8" s="14">
        <v>94145.76</v>
      </c>
      <c r="AV8" s="14">
        <v>0</v>
      </c>
      <c r="AW8" s="9">
        <v>45657</v>
      </c>
    </row>
    <row r="9" spans="1:49" ht="12.75" customHeight="1" x14ac:dyDescent="0.2">
      <c r="A9" t="s">
        <v>125</v>
      </c>
      <c r="B9" t="s">
        <v>126</v>
      </c>
      <c r="C9" t="s">
        <v>127</v>
      </c>
      <c r="D9" t="s">
        <v>54</v>
      </c>
      <c r="E9" t="s">
        <v>54</v>
      </c>
      <c r="F9" t="s">
        <v>55</v>
      </c>
      <c r="G9" s="2" t="s">
        <v>79</v>
      </c>
      <c r="H9" s="14">
        <v>3102105.09</v>
      </c>
      <c r="I9" s="14">
        <v>718853.93</v>
      </c>
      <c r="J9" s="14">
        <f>Table1328103[[#This Row],[Adjusted Contract Price]]-Table1328103[[#This Row],[Base Contract]]-Table1328103[[#This Row],[Approved Change Orders]]</f>
        <v>-262482.0199999999</v>
      </c>
      <c r="K9" s="14"/>
      <c r="L9" s="14">
        <v>3558477</v>
      </c>
      <c r="M9" s="14">
        <v>3519005</v>
      </c>
      <c r="N9" s="14">
        <v>2288568</v>
      </c>
      <c r="O9" s="14">
        <v>741524.5</v>
      </c>
      <c r="P9" s="14">
        <f>Table1328103[[#This Row],[Base Contract]]-Table1328103[[#This Row],[QU Original Budget]]</f>
        <v>813537.08999999985</v>
      </c>
      <c r="Q9" s="14">
        <f>Table1328103[[#This Row],[Approved Change Orders]]-Table1328103[[#This Row],[CO Change Order Budget]]</f>
        <v>-22670.569999999949</v>
      </c>
      <c r="R9" s="14">
        <v>3030092.5</v>
      </c>
      <c r="S9" s="14">
        <f>Table1328103[[#This Row],[Total Direct Budget]]-Table1328103[[#This Row],[Estimated Total Direct Costs]]</f>
        <v>-488912.5</v>
      </c>
      <c r="T9" s="14">
        <f>+Table1328103[[#This Row],[Adjusted Contract Price]]-Table1328103[[#This Row],[Total Direct Budget]]</f>
        <v>528384.5</v>
      </c>
      <c r="U9" s="14">
        <f>+Table1328103[[#This Row],[Adjusted Contract Price]]-Table1328103[[#This Row],[Estimated Total Direct Costs]]</f>
        <v>39472</v>
      </c>
      <c r="V9" s="15">
        <f>IF(Table1328103[[#This Row],[Adjusted Contract Price]]=0,0,+Table1328103[[#This Row],[Budgeted Gross Profit (Loss)]]/Table1328103[[#This Row],[Adjusted Contract Price]])</f>
        <v>0.14848613606326527</v>
      </c>
      <c r="W9" s="15">
        <f>IF(Table1328103[[#This Row],[Adjusted Contract Price]]=0,0,+Table1328103[[#This Row],[Estimated Gross Profit (Loss)]]/Table1328103[[#This Row],[Adjusted Contract Price]])</f>
        <v>1.1092385871821006E-2</v>
      </c>
      <c r="X9" s="15">
        <v>0.793018</v>
      </c>
      <c r="Y9" s="15">
        <f>Table1328103[[#This Row],[Current GP %]]-Table1328103[[#This Row],[Prior Month1 GP]]</f>
        <v>-0.78192561412817896</v>
      </c>
      <c r="Z9" s="15">
        <v>0.793018</v>
      </c>
      <c r="AA9" s="15">
        <f>Table1328103[[#This Row],[Current GP %]]-Table1328103[[#This Row],[Prior Month2 GP]]</f>
        <v>-0.78192561412817896</v>
      </c>
      <c r="AB9" s="15">
        <v>0.793018</v>
      </c>
      <c r="AC9" s="15">
        <f>Table1328103[[#This Row],[Current GP %]]-Table1328103[[#This Row],[Prior Month3 GP]]</f>
        <v>-0.78192561412817896</v>
      </c>
      <c r="AD9" s="14">
        <v>3520412.13</v>
      </c>
      <c r="AE9" s="16">
        <f>IF(Table1328103[[#This Row],[Estimated Total Direct Costs]]=0,0,+Table1328103[[#This Row],[Direct Cost To Date]]/Table1328103[[#This Row],[Estimated Total Direct Costs]])</f>
        <v>1.0003998658711766</v>
      </c>
      <c r="AF9" s="14">
        <f>+Table1328103[[#This Row],[Estimated Gross Profit (Loss)]]*Table1328103[[#This Row],[% Complete]]</f>
        <v>39487.783505667081</v>
      </c>
      <c r="AG9" s="14"/>
      <c r="AH9" s="14">
        <f>+Table1328103[[#This Row],[Total Gross Profit Recognized To Date]]-Table1328103[[#This Row],[Gross Profit Recognized Prior Years]]</f>
        <v>39487.783505667081</v>
      </c>
      <c r="AI9" s="14">
        <v>3765599.02</v>
      </c>
      <c r="AJ9" s="14">
        <f>Table1328103[[#This Row],[Adjusted Contract Price]]-Table1328103[[#This Row],[Total Amount Billed To Date]]</f>
        <v>-207122.02000000002</v>
      </c>
      <c r="AK9" s="14">
        <v>0</v>
      </c>
      <c r="AL9" s="15">
        <f>IF(Table1328103[[#This Row],[Total Amount Billed To Date]]=0,0,+Table1328103[[#This Row],[Current Retainage Amount]]/Table1328103[[#This Row],[Total Amount Billed To Date]])</f>
        <v>0</v>
      </c>
      <c r="AM9" s="14">
        <v>3411940.84</v>
      </c>
      <c r="AN9" s="14">
        <f>Table1328103[[#This Row],[Cash Received]]-Table1328103[[#This Row],[Direct Cost To Date]]</f>
        <v>-108471.29000000004</v>
      </c>
      <c r="AO9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9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205699.10649433313</v>
      </c>
      <c r="AQ9" s="14">
        <v>905314.35</v>
      </c>
      <c r="AR9" s="14">
        <v>856319.02</v>
      </c>
      <c r="AS9" s="14">
        <v>353658.18</v>
      </c>
      <c r="AT9" s="14">
        <v>3411940.84</v>
      </c>
      <c r="AU9" s="14">
        <v>206943.06</v>
      </c>
      <c r="AV9" s="14">
        <v>0</v>
      </c>
      <c r="AW9" s="9">
        <v>45657</v>
      </c>
    </row>
    <row r="10" spans="1:49" ht="12.75" customHeight="1" x14ac:dyDescent="0.2">
      <c r="A10" t="s">
        <v>132</v>
      </c>
      <c r="B10" t="s">
        <v>133</v>
      </c>
      <c r="C10" t="s">
        <v>65</v>
      </c>
      <c r="D10" t="s">
        <v>54</v>
      </c>
      <c r="E10" t="s">
        <v>54</v>
      </c>
      <c r="F10" t="s">
        <v>55</v>
      </c>
      <c r="G10" s="2" t="s">
        <v>79</v>
      </c>
      <c r="H10" s="14">
        <v>2228730</v>
      </c>
      <c r="I10" s="14">
        <v>66000</v>
      </c>
      <c r="J10" s="14">
        <f>Table1328103[[#This Row],[Adjusted Contract Price]]-Table1328103[[#This Row],[Base Contract]]-Table1328103[[#This Row],[Approved Change Orders]]</f>
        <v>-508089.62999999989</v>
      </c>
      <c r="K10" s="14"/>
      <c r="L10" s="14">
        <v>1786640.37</v>
      </c>
      <c r="M10" s="14">
        <v>2264015</v>
      </c>
      <c r="N10" s="14">
        <v>1760000</v>
      </c>
      <c r="O10" s="14">
        <v>0</v>
      </c>
      <c r="P10" s="14">
        <f>Table1328103[[#This Row],[Base Contract]]-Table1328103[[#This Row],[QU Original Budget]]</f>
        <v>468730</v>
      </c>
      <c r="Q10" s="14">
        <f>Table1328103[[#This Row],[Approved Change Orders]]-Table1328103[[#This Row],[CO Change Order Budget]]</f>
        <v>66000</v>
      </c>
      <c r="R10" s="14">
        <v>1760000</v>
      </c>
      <c r="S10" s="14">
        <f>Table1328103[[#This Row],[Total Direct Budget]]-Table1328103[[#This Row],[Estimated Total Direct Costs]]</f>
        <v>-504015</v>
      </c>
      <c r="T10" s="14">
        <f>+Table1328103[[#This Row],[Adjusted Contract Price]]-Table1328103[[#This Row],[Total Direct Budget]]</f>
        <v>26640.370000000112</v>
      </c>
      <c r="U10" s="14">
        <f>+Table1328103[[#This Row],[Adjusted Contract Price]]-Table1328103[[#This Row],[Estimated Total Direct Costs]]</f>
        <v>-477374.62999999989</v>
      </c>
      <c r="V10" s="15">
        <f>IF(Table1328103[[#This Row],[Adjusted Contract Price]]=0,0,+Table1328103[[#This Row],[Budgeted Gross Profit (Loss)]]/Table1328103[[#This Row],[Adjusted Contract Price]])</f>
        <v>1.491087431322293E-2</v>
      </c>
      <c r="W10" s="15">
        <f>IF(Table1328103[[#This Row],[Adjusted Contract Price]]=0,0,+Table1328103[[#This Row],[Estimated Gross Profit (Loss)]]/Table1328103[[#This Row],[Adjusted Contract Price]])</f>
        <v>-0.26719122550667534</v>
      </c>
      <c r="X10" s="15">
        <v>0.76697400000000004</v>
      </c>
      <c r="Y10" s="15">
        <f>Table1328103[[#This Row],[Current GP %]]-Table1328103[[#This Row],[Prior Month1 GP]]</f>
        <v>-1.0341652255066753</v>
      </c>
      <c r="Z10" s="15">
        <v>0.76697400000000004</v>
      </c>
      <c r="AA10" s="15">
        <f>Table1328103[[#This Row],[Current GP %]]-Table1328103[[#This Row],[Prior Month2 GP]]</f>
        <v>-1.0341652255066753</v>
      </c>
      <c r="AB10" s="15">
        <v>0.76697400000000004</v>
      </c>
      <c r="AC10" s="15">
        <f>Table1328103[[#This Row],[Current GP %]]-Table1328103[[#This Row],[Prior Month3 GP]]</f>
        <v>-1.0341652255066753</v>
      </c>
      <c r="AD10" s="14">
        <v>2264014.11</v>
      </c>
      <c r="AE10" s="16">
        <f>IF(Table1328103[[#This Row],[Estimated Total Direct Costs]]=0,0,+Table1328103[[#This Row],[Direct Cost To Date]]/Table1328103[[#This Row],[Estimated Total Direct Costs]])</f>
        <v>0.99999960689306377</v>
      </c>
      <c r="AF10" s="14">
        <f>+Table1328103[[#This Row],[Estimated Gross Profit (Loss)]]*Table1328103[[#This Row],[% Complete]]</f>
        <v>-477374.44234072167</v>
      </c>
      <c r="AG10" s="14"/>
      <c r="AH10" s="14">
        <f>+Table1328103[[#This Row],[Total Gross Profit Recognized To Date]]-Table1328103[[#This Row],[Gross Profit Recognized Prior Years]]</f>
        <v>-477374.44234072167</v>
      </c>
      <c r="AI10" s="14">
        <v>1786640.37</v>
      </c>
      <c r="AJ10" s="14">
        <f>Table1328103[[#This Row],[Adjusted Contract Price]]-Table1328103[[#This Row],[Total Amount Billed To Date]]</f>
        <v>0</v>
      </c>
      <c r="AK10" s="14">
        <v>0</v>
      </c>
      <c r="AL10" s="15">
        <f>IF(Table1328103[[#This Row],[Total Amount Billed To Date]]=0,0,+Table1328103[[#This Row],[Current Retainage Amount]]/Table1328103[[#This Row],[Total Amount Billed To Date]])</f>
        <v>0</v>
      </c>
      <c r="AM10" s="14">
        <v>1786640.37</v>
      </c>
      <c r="AN10" s="14">
        <f>Table1328103[[#This Row],[Cash Received]]-Table1328103[[#This Row],[Direct Cost To Date]]</f>
        <v>-477373.73999999976</v>
      </c>
      <c r="AO10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0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0.70234072185121477</v>
      </c>
      <c r="AQ10" s="14">
        <v>907599.82</v>
      </c>
      <c r="AR10" s="14">
        <v>556300.56999999995</v>
      </c>
      <c r="AS10" s="14">
        <v>0</v>
      </c>
      <c r="AT10" s="14">
        <v>1786640.37</v>
      </c>
      <c r="AU10" s="14">
        <v>72099.839999999997</v>
      </c>
      <c r="AV10" s="14">
        <v>0</v>
      </c>
      <c r="AW10" s="9">
        <v>45657</v>
      </c>
    </row>
    <row r="11" spans="1:49" ht="12.75" customHeight="1" x14ac:dyDescent="0.2">
      <c r="A11" t="s">
        <v>136</v>
      </c>
      <c r="B11" t="s">
        <v>137</v>
      </c>
      <c r="C11" t="s">
        <v>53</v>
      </c>
      <c r="D11" t="s">
        <v>54</v>
      </c>
      <c r="E11" t="s">
        <v>54</v>
      </c>
      <c r="F11" t="s">
        <v>55</v>
      </c>
      <c r="G11" s="2" t="s">
        <v>79</v>
      </c>
      <c r="H11" s="14">
        <v>1450000</v>
      </c>
      <c r="I11" s="14">
        <v>-149294.01999999999</v>
      </c>
      <c r="J11" s="14">
        <f>Table1328103[[#This Row],[Adjusted Contract Price]]-Table1328103[[#This Row],[Base Contract]]-Table1328103[[#This Row],[Approved Change Orders]]</f>
        <v>-204705.98</v>
      </c>
      <c r="K11" s="14"/>
      <c r="L11" s="14">
        <v>1096000</v>
      </c>
      <c r="M11" s="14">
        <v>746280</v>
      </c>
      <c r="N11" s="14">
        <v>987000</v>
      </c>
      <c r="O11" s="14">
        <v>-90720</v>
      </c>
      <c r="P11" s="14">
        <f>Table1328103[[#This Row],[Base Contract]]-Table1328103[[#This Row],[QU Original Budget]]</f>
        <v>463000</v>
      </c>
      <c r="Q11" s="14">
        <f>Table1328103[[#This Row],[Approved Change Orders]]-Table1328103[[#This Row],[CO Change Order Budget]]</f>
        <v>-58574.01999999999</v>
      </c>
      <c r="R11" s="14">
        <v>896280</v>
      </c>
      <c r="S11" s="14">
        <f>Table1328103[[#This Row],[Total Direct Budget]]-Table1328103[[#This Row],[Estimated Total Direct Costs]]</f>
        <v>150000</v>
      </c>
      <c r="T11" s="14">
        <f>+Table1328103[[#This Row],[Adjusted Contract Price]]-Table1328103[[#This Row],[Total Direct Budget]]</f>
        <v>199720</v>
      </c>
      <c r="U11" s="14">
        <f>+Table1328103[[#This Row],[Adjusted Contract Price]]-Table1328103[[#This Row],[Estimated Total Direct Costs]]</f>
        <v>349720</v>
      </c>
      <c r="V11" s="15">
        <f>IF(Table1328103[[#This Row],[Adjusted Contract Price]]=0,0,+Table1328103[[#This Row],[Budgeted Gross Profit (Loss)]]/Table1328103[[#This Row],[Adjusted Contract Price]])</f>
        <v>0.18222627737226277</v>
      </c>
      <c r="W11" s="15">
        <f>IF(Table1328103[[#This Row],[Adjusted Contract Price]]=0,0,+Table1328103[[#This Row],[Estimated Gross Profit (Loss)]]/Table1328103[[#This Row],[Adjusted Contract Price]])</f>
        <v>0.31908759124087593</v>
      </c>
      <c r="X11" s="15">
        <v>0.68907099999999999</v>
      </c>
      <c r="Y11" s="15">
        <f>Table1328103[[#This Row],[Current GP %]]-Table1328103[[#This Row],[Prior Month1 GP]]</f>
        <v>-0.36998340875912406</v>
      </c>
      <c r="Z11" s="15">
        <v>0.68907099999999999</v>
      </c>
      <c r="AA11" s="15">
        <f>Table1328103[[#This Row],[Current GP %]]-Table1328103[[#This Row],[Prior Month2 GP]]</f>
        <v>-0.36998340875912406</v>
      </c>
      <c r="AB11" s="15">
        <v>0.68907099999999999</v>
      </c>
      <c r="AC11" s="15">
        <f>Table1328103[[#This Row],[Current GP %]]-Table1328103[[#This Row],[Prior Month3 GP]]</f>
        <v>-0.36998340875912406</v>
      </c>
      <c r="AD11" s="14">
        <v>644620.89</v>
      </c>
      <c r="AE11" s="16">
        <f>IF(Table1328103[[#This Row],[Estimated Total Direct Costs]]=0,0,+Table1328103[[#This Row],[Direct Cost To Date]]/Table1328103[[#This Row],[Estimated Total Direct Costs]])</f>
        <v>0.86377886316127994</v>
      </c>
      <c r="AF11" s="14">
        <f>+Table1328103[[#This Row],[Estimated Gross Profit (Loss)]]*Table1328103[[#This Row],[% Complete]]</f>
        <v>302080.74402476283</v>
      </c>
      <c r="AG11" s="14"/>
      <c r="AH11" s="14">
        <f>+Table1328103[[#This Row],[Total Gross Profit Recognized To Date]]-Table1328103[[#This Row],[Gross Profit Recognized Prior Years]]</f>
        <v>302080.74402476283</v>
      </c>
      <c r="AI11" s="14">
        <v>896055.98</v>
      </c>
      <c r="AJ11" s="14">
        <f>Table1328103[[#This Row],[Adjusted Contract Price]]-Table1328103[[#This Row],[Total Amount Billed To Date]]</f>
        <v>199944.02000000002</v>
      </c>
      <c r="AK11" s="14">
        <v>0</v>
      </c>
      <c r="AL11" s="15">
        <f>IF(Table1328103[[#This Row],[Total Amount Billed To Date]]=0,0,+Table1328103[[#This Row],[Current Retainage Amount]]/Table1328103[[#This Row],[Total Amount Billed To Date]])</f>
        <v>0</v>
      </c>
      <c r="AM11" s="14">
        <v>861555.98</v>
      </c>
      <c r="AN11" s="14">
        <f>Table1328103[[#This Row],[Cash Received]]-Table1328103[[#This Row],[Direct Cost To Date]]</f>
        <v>216935.08999999997</v>
      </c>
      <c r="AO11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50645.6540247628</v>
      </c>
      <c r="AP11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1" s="14">
        <v>192848.27</v>
      </c>
      <c r="AR11" s="14">
        <v>182555.98</v>
      </c>
      <c r="AS11" s="14">
        <v>34500</v>
      </c>
      <c r="AT11" s="14">
        <v>861555.98</v>
      </c>
      <c r="AU11" s="14">
        <v>5805.93</v>
      </c>
      <c r="AV11" s="14">
        <v>0</v>
      </c>
      <c r="AW11" s="9">
        <v>45509</v>
      </c>
    </row>
    <row r="12" spans="1:49" ht="12.75" customHeight="1" x14ac:dyDescent="0.2">
      <c r="A12" t="s">
        <v>138</v>
      </c>
      <c r="B12" t="s">
        <v>139</v>
      </c>
      <c r="C12" t="s">
        <v>65</v>
      </c>
      <c r="D12" t="s">
        <v>54</v>
      </c>
      <c r="E12" t="s">
        <v>54</v>
      </c>
      <c r="F12" t="s">
        <v>55</v>
      </c>
      <c r="G12" s="2" t="s">
        <v>79</v>
      </c>
      <c r="H12" s="14">
        <v>712300</v>
      </c>
      <c r="I12" s="14">
        <v>0</v>
      </c>
      <c r="J12" s="14">
        <f>Table1328103[[#This Row],[Adjusted Contract Price]]-Table1328103[[#This Row],[Base Contract]]-Table1328103[[#This Row],[Approved Change Orders]]</f>
        <v>0</v>
      </c>
      <c r="K12" s="14"/>
      <c r="L12" s="14">
        <v>712300</v>
      </c>
      <c r="M12" s="14">
        <v>530000</v>
      </c>
      <c r="N12" s="14">
        <v>530000</v>
      </c>
      <c r="O12" s="14">
        <v>0</v>
      </c>
      <c r="P12" s="14">
        <f>Table1328103[[#This Row],[Base Contract]]-Table1328103[[#This Row],[QU Original Budget]]</f>
        <v>182300</v>
      </c>
      <c r="Q12" s="14">
        <f>Table1328103[[#This Row],[Approved Change Orders]]-Table1328103[[#This Row],[CO Change Order Budget]]</f>
        <v>0</v>
      </c>
      <c r="R12" s="14">
        <v>530000</v>
      </c>
      <c r="S12" s="14">
        <f>Table1328103[[#This Row],[Total Direct Budget]]-Table1328103[[#This Row],[Estimated Total Direct Costs]]</f>
        <v>0</v>
      </c>
      <c r="T12" s="14">
        <f>+Table1328103[[#This Row],[Adjusted Contract Price]]-Table1328103[[#This Row],[Total Direct Budget]]</f>
        <v>182300</v>
      </c>
      <c r="U12" s="14">
        <f>+Table1328103[[#This Row],[Adjusted Contract Price]]-Table1328103[[#This Row],[Estimated Total Direct Costs]]</f>
        <v>182300</v>
      </c>
      <c r="V12" s="15">
        <f>IF(Table1328103[[#This Row],[Adjusted Contract Price]]=0,0,+Table1328103[[#This Row],[Budgeted Gross Profit (Loss)]]/Table1328103[[#This Row],[Adjusted Contract Price]])</f>
        <v>0.25593148954092376</v>
      </c>
      <c r="W12" s="15">
        <f>IF(Table1328103[[#This Row],[Adjusted Contract Price]]=0,0,+Table1328103[[#This Row],[Estimated Gross Profit (Loss)]]/Table1328103[[#This Row],[Adjusted Contract Price]])</f>
        <v>0.25593148954092376</v>
      </c>
      <c r="X12" s="15">
        <v>0.74406799999999995</v>
      </c>
      <c r="Y12" s="15">
        <f>Table1328103[[#This Row],[Current GP %]]-Table1328103[[#This Row],[Prior Month1 GP]]</f>
        <v>-0.48813651045907619</v>
      </c>
      <c r="Z12" s="15">
        <v>0.74406799999999995</v>
      </c>
      <c r="AA12" s="15">
        <f>Table1328103[[#This Row],[Current GP %]]-Table1328103[[#This Row],[Prior Month2 GP]]</f>
        <v>-0.48813651045907619</v>
      </c>
      <c r="AB12" s="15">
        <v>0.74406799999999995</v>
      </c>
      <c r="AC12" s="15">
        <f>Table1328103[[#This Row],[Current GP %]]-Table1328103[[#This Row],[Prior Month3 GP]]</f>
        <v>-0.48813651045907619</v>
      </c>
      <c r="AD12" s="14">
        <v>241600.33</v>
      </c>
      <c r="AE12" s="16">
        <f>IF(Table1328103[[#This Row],[Estimated Total Direct Costs]]=0,0,+Table1328103[[#This Row],[Direct Cost To Date]]/Table1328103[[#This Row],[Estimated Total Direct Costs]])</f>
        <v>0.45584967924528297</v>
      </c>
      <c r="AF12" s="14">
        <f>+Table1328103[[#This Row],[Estimated Gross Profit (Loss)]]*Table1328103[[#This Row],[% Complete]]</f>
        <v>83101.39652641509</v>
      </c>
      <c r="AG12" s="14"/>
      <c r="AH12" s="14">
        <f>+Table1328103[[#This Row],[Total Gross Profit Recognized To Date]]-Table1328103[[#This Row],[Gross Profit Recognized Prior Years]]</f>
        <v>83101.39652641509</v>
      </c>
      <c r="AI12" s="14">
        <v>389990</v>
      </c>
      <c r="AJ12" s="14">
        <f>Table1328103[[#This Row],[Adjusted Contract Price]]-Table1328103[[#This Row],[Total Amount Billed To Date]]</f>
        <v>322310</v>
      </c>
      <c r="AK12" s="14">
        <v>0</v>
      </c>
      <c r="AL12" s="15">
        <f>IF(Table1328103[[#This Row],[Total Amount Billed To Date]]=0,0,+Table1328103[[#This Row],[Current Retainage Amount]]/Table1328103[[#This Row],[Total Amount Billed To Date]])</f>
        <v>0</v>
      </c>
      <c r="AM12" s="14">
        <v>389990</v>
      </c>
      <c r="AN12" s="14">
        <f>Table1328103[[#This Row],[Cash Received]]-Table1328103[[#This Row],[Direct Cost To Date]]</f>
        <v>148389.67000000001</v>
      </c>
      <c r="AO12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2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65288.273473584908</v>
      </c>
      <c r="AQ12" s="14">
        <v>160876.79999999999</v>
      </c>
      <c r="AR12" s="14">
        <v>190990</v>
      </c>
      <c r="AS12" s="14">
        <v>0</v>
      </c>
      <c r="AT12" s="14">
        <v>389990</v>
      </c>
      <c r="AU12" s="14">
        <v>10209.83</v>
      </c>
      <c r="AV12" s="14">
        <v>0</v>
      </c>
      <c r="AW12" s="9">
        <v>45104</v>
      </c>
    </row>
    <row r="13" spans="1:49" ht="12.75" customHeight="1" x14ac:dyDescent="0.2">
      <c r="A13" t="s">
        <v>140</v>
      </c>
      <c r="B13" t="s">
        <v>141</v>
      </c>
      <c r="C13" t="s">
        <v>53</v>
      </c>
      <c r="D13" t="s">
        <v>54</v>
      </c>
      <c r="E13" t="s">
        <v>54</v>
      </c>
      <c r="F13" t="s">
        <v>55</v>
      </c>
      <c r="G13" s="2" t="s">
        <v>79</v>
      </c>
      <c r="H13" s="14">
        <v>1408029.65</v>
      </c>
      <c r="I13" s="14">
        <v>132225.95000000001</v>
      </c>
      <c r="J13" s="14">
        <f>Table1328103[[#This Row],[Adjusted Contract Price]]-Table1328103[[#This Row],[Base Contract]]-Table1328103[[#This Row],[Approved Change Orders]]</f>
        <v>-130594.59999999992</v>
      </c>
      <c r="K13" s="14"/>
      <c r="L13" s="14">
        <v>1409661</v>
      </c>
      <c r="M13" s="14">
        <v>1005000</v>
      </c>
      <c r="N13" s="14">
        <v>1005000</v>
      </c>
      <c r="O13" s="14">
        <v>49160</v>
      </c>
      <c r="P13" s="14">
        <f>Table1328103[[#This Row],[Base Contract]]-Table1328103[[#This Row],[QU Original Budget]]</f>
        <v>403029.64999999991</v>
      </c>
      <c r="Q13" s="14">
        <f>Table1328103[[#This Row],[Approved Change Orders]]-Table1328103[[#This Row],[CO Change Order Budget]]</f>
        <v>83065.950000000012</v>
      </c>
      <c r="R13" s="14">
        <v>1054160</v>
      </c>
      <c r="S13" s="14">
        <f>Table1328103[[#This Row],[Total Direct Budget]]-Table1328103[[#This Row],[Estimated Total Direct Costs]]</f>
        <v>49160</v>
      </c>
      <c r="T13" s="14">
        <f>+Table1328103[[#This Row],[Adjusted Contract Price]]-Table1328103[[#This Row],[Total Direct Budget]]</f>
        <v>355501</v>
      </c>
      <c r="U13" s="14">
        <f>+Table1328103[[#This Row],[Adjusted Contract Price]]-Table1328103[[#This Row],[Estimated Total Direct Costs]]</f>
        <v>404661</v>
      </c>
      <c r="V13" s="15">
        <f>IF(Table1328103[[#This Row],[Adjusted Contract Price]]=0,0,+Table1328103[[#This Row],[Budgeted Gross Profit (Loss)]]/Table1328103[[#This Row],[Adjusted Contract Price]])</f>
        <v>0.25218900146914752</v>
      </c>
      <c r="W13" s="15">
        <f>IF(Table1328103[[#This Row],[Adjusted Contract Price]]=0,0,+Table1328103[[#This Row],[Estimated Gross Profit (Loss)]]/Table1328103[[#This Row],[Adjusted Contract Price]])</f>
        <v>0.28706263420779887</v>
      </c>
      <c r="X13" s="15">
        <v>0.68440500000000004</v>
      </c>
      <c r="Y13" s="15">
        <f>Table1328103[[#This Row],[Current GP %]]-Table1328103[[#This Row],[Prior Month1 GP]]</f>
        <v>-0.39734236579220117</v>
      </c>
      <c r="Z13" s="15">
        <v>0.68440500000000004</v>
      </c>
      <c r="AA13" s="15">
        <f>Table1328103[[#This Row],[Current GP %]]-Table1328103[[#This Row],[Prior Month2 GP]]</f>
        <v>-0.39734236579220117</v>
      </c>
      <c r="AB13" s="15">
        <v>0.68440500000000004</v>
      </c>
      <c r="AC13" s="15">
        <f>Table1328103[[#This Row],[Current GP %]]-Table1328103[[#This Row],[Prior Month3 GP]]</f>
        <v>-0.39734236579220117</v>
      </c>
      <c r="AD13" s="14">
        <v>966987.34</v>
      </c>
      <c r="AE13" s="16">
        <f>IF(Table1328103[[#This Row],[Estimated Total Direct Costs]]=0,0,+Table1328103[[#This Row],[Direct Cost To Date]]/Table1328103[[#This Row],[Estimated Total Direct Costs]])</f>
        <v>0.96217645771144278</v>
      </c>
      <c r="AF13" s="14">
        <f>+Table1328103[[#This Row],[Estimated Gross Profit (Loss)]]*Table1328103[[#This Row],[% Complete]]</f>
        <v>389355.28755397012</v>
      </c>
      <c r="AG13" s="14"/>
      <c r="AH13" s="14">
        <f>+Table1328103[[#This Row],[Total Gross Profit Recognized To Date]]-Table1328103[[#This Row],[Gross Profit Recognized Prior Years]]</f>
        <v>389355.28755397012</v>
      </c>
      <c r="AI13" s="14">
        <v>1419311.2</v>
      </c>
      <c r="AJ13" s="14">
        <f>Table1328103[[#This Row],[Adjusted Contract Price]]-Table1328103[[#This Row],[Total Amount Billed To Date]]</f>
        <v>-9650.1999999999534</v>
      </c>
      <c r="AK13" s="14">
        <v>0</v>
      </c>
      <c r="AL13" s="15">
        <f>IF(Table1328103[[#This Row],[Total Amount Billed To Date]]=0,0,+Table1328103[[#This Row],[Current Retainage Amount]]/Table1328103[[#This Row],[Total Amount Billed To Date]])</f>
        <v>0</v>
      </c>
      <c r="AM13" s="14">
        <v>1380347.55</v>
      </c>
      <c r="AN13" s="14">
        <f>Table1328103[[#This Row],[Cash Received]]-Table1328103[[#This Row],[Direct Cost To Date]]</f>
        <v>413360.21000000008</v>
      </c>
      <c r="AO13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3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62968.572446029866</v>
      </c>
      <c r="AQ13" s="14">
        <v>628830.78</v>
      </c>
      <c r="AR13" s="14">
        <v>948977.45</v>
      </c>
      <c r="AS13" s="14">
        <v>38963.65</v>
      </c>
      <c r="AT13" s="14">
        <v>1380347.55</v>
      </c>
      <c r="AU13" s="14">
        <v>10139.68</v>
      </c>
      <c r="AV13" s="14">
        <v>0</v>
      </c>
      <c r="AW13" s="9">
        <v>45104</v>
      </c>
    </row>
    <row r="14" spans="1:49" ht="12.75" customHeight="1" x14ac:dyDescent="0.2">
      <c r="A14" t="s">
        <v>144</v>
      </c>
      <c r="B14" t="s">
        <v>145</v>
      </c>
      <c r="C14" t="s">
        <v>146</v>
      </c>
      <c r="D14" t="s">
        <v>54</v>
      </c>
      <c r="E14" t="s">
        <v>54</v>
      </c>
      <c r="F14" t="s">
        <v>78</v>
      </c>
      <c r="G14" s="2" t="s">
        <v>79</v>
      </c>
      <c r="H14" s="14">
        <v>2300000</v>
      </c>
      <c r="I14" s="14">
        <v>0</v>
      </c>
      <c r="J14" s="14">
        <f>Table1328103[[#This Row],[Adjusted Contract Price]]-Table1328103[[#This Row],[Base Contract]]-Table1328103[[#This Row],[Approved Change Orders]]</f>
        <v>0</v>
      </c>
      <c r="K14" s="14"/>
      <c r="L14" s="14">
        <v>2300000</v>
      </c>
      <c r="M14" s="14">
        <v>2186175</v>
      </c>
      <c r="N14" s="14">
        <v>1910000</v>
      </c>
      <c r="O14" s="14">
        <v>0</v>
      </c>
      <c r="P14" s="14">
        <f>Table1328103[[#This Row],[Base Contract]]-Table1328103[[#This Row],[QU Original Budget]]</f>
        <v>390000</v>
      </c>
      <c r="Q14" s="14">
        <f>Table1328103[[#This Row],[Approved Change Orders]]-Table1328103[[#This Row],[CO Change Order Budget]]</f>
        <v>0</v>
      </c>
      <c r="R14" s="14">
        <v>1910000</v>
      </c>
      <c r="S14" s="14">
        <f>Table1328103[[#This Row],[Total Direct Budget]]-Table1328103[[#This Row],[Estimated Total Direct Costs]]</f>
        <v>-276175</v>
      </c>
      <c r="T14" s="14">
        <f>+Table1328103[[#This Row],[Adjusted Contract Price]]-Table1328103[[#This Row],[Total Direct Budget]]</f>
        <v>390000</v>
      </c>
      <c r="U14" s="14">
        <f>+Table1328103[[#This Row],[Adjusted Contract Price]]-Table1328103[[#This Row],[Estimated Total Direct Costs]]</f>
        <v>113825</v>
      </c>
      <c r="V14" s="15">
        <f>IF(Table1328103[[#This Row],[Adjusted Contract Price]]=0,0,+Table1328103[[#This Row],[Budgeted Gross Profit (Loss)]]/Table1328103[[#This Row],[Adjusted Contract Price]])</f>
        <v>0.16956521739130434</v>
      </c>
      <c r="W14" s="15">
        <f>IF(Table1328103[[#This Row],[Adjusted Contract Price]]=0,0,+Table1328103[[#This Row],[Estimated Gross Profit (Loss)]]/Table1328103[[#This Row],[Adjusted Contract Price]])</f>
        <v>4.9489130434782612E-2</v>
      </c>
      <c r="X14" s="15">
        <v>0.83043400000000001</v>
      </c>
      <c r="Y14" s="15">
        <f>Table1328103[[#This Row],[Current GP %]]-Table1328103[[#This Row],[Prior Month1 GP]]</f>
        <v>-0.78094486956521736</v>
      </c>
      <c r="Z14" s="15">
        <v>0.83043400000000001</v>
      </c>
      <c r="AA14" s="15">
        <f>Table1328103[[#This Row],[Current GP %]]-Table1328103[[#This Row],[Prior Month2 GP]]</f>
        <v>-0.78094486956521736</v>
      </c>
      <c r="AB14" s="15">
        <v>0.83043400000000001</v>
      </c>
      <c r="AC14" s="15">
        <f>Table1328103[[#This Row],[Current GP %]]-Table1328103[[#This Row],[Prior Month3 GP]]</f>
        <v>-0.78094486956521736</v>
      </c>
      <c r="AD14" s="14">
        <v>2186267.5099999998</v>
      </c>
      <c r="AE14" s="16">
        <f>IF(Table1328103[[#This Row],[Estimated Total Direct Costs]]=0,0,+Table1328103[[#This Row],[Direct Cost To Date]]/Table1328103[[#This Row],[Estimated Total Direct Costs]])</f>
        <v>1.0000423159170697</v>
      </c>
      <c r="AF14" s="14">
        <f>+Table1328103[[#This Row],[Estimated Gross Profit (Loss)]]*Table1328103[[#This Row],[% Complete]]</f>
        <v>113829.81660926047</v>
      </c>
      <c r="AG14" s="14"/>
      <c r="AH14" s="14">
        <f>+Table1328103[[#This Row],[Total Gross Profit Recognized To Date]]-Table1328103[[#This Row],[Gross Profit Recognized Prior Years]]</f>
        <v>113829.81660926047</v>
      </c>
      <c r="AI14" s="14">
        <v>1546448.32</v>
      </c>
      <c r="AJ14" s="14">
        <f>Table1328103[[#This Row],[Adjusted Contract Price]]-Table1328103[[#This Row],[Total Amount Billed To Date]]</f>
        <v>753551.67999999993</v>
      </c>
      <c r="AK14" s="14">
        <v>0</v>
      </c>
      <c r="AL14" s="15">
        <f>IF(Table1328103[[#This Row],[Total Amount Billed To Date]]=0,0,+Table1328103[[#This Row],[Current Retainage Amount]]/Table1328103[[#This Row],[Total Amount Billed To Date]])</f>
        <v>0</v>
      </c>
      <c r="AM14" s="14">
        <v>442000</v>
      </c>
      <c r="AN14" s="14">
        <f>Table1328103[[#This Row],[Cash Received]]-Table1328103[[#This Row],[Direct Cost To Date]]</f>
        <v>-1744267.5099999998</v>
      </c>
      <c r="AO14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753649.00660926034</v>
      </c>
      <c r="AP14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4" s="14">
        <v>1419528.04</v>
      </c>
      <c r="AR14" s="14">
        <v>1305388.29</v>
      </c>
      <c r="AS14" s="14">
        <v>1104448.32</v>
      </c>
      <c r="AT14" s="14">
        <v>442000</v>
      </c>
      <c r="AU14" s="14">
        <v>226809.48</v>
      </c>
      <c r="AV14" s="14">
        <v>0</v>
      </c>
      <c r="AW14" s="9">
        <v>45729</v>
      </c>
    </row>
    <row r="15" spans="1:49" ht="12.75" customHeight="1" x14ac:dyDescent="0.2">
      <c r="A15" t="s">
        <v>150</v>
      </c>
      <c r="B15" t="s">
        <v>151</v>
      </c>
      <c r="C15" t="s">
        <v>152</v>
      </c>
      <c r="D15" t="s">
        <v>54</v>
      </c>
      <c r="E15" t="s">
        <v>54</v>
      </c>
      <c r="F15" t="s">
        <v>116</v>
      </c>
      <c r="G15" s="2" t="s">
        <v>79</v>
      </c>
      <c r="H15" s="14">
        <v>2416210</v>
      </c>
      <c r="I15" s="14">
        <v>0</v>
      </c>
      <c r="J15" s="14">
        <f>Table1328103[[#This Row],[Adjusted Contract Price]]-Table1328103[[#This Row],[Base Contract]]-Table1328103[[#This Row],[Approved Change Orders]]</f>
        <v>0</v>
      </c>
      <c r="K15" s="14"/>
      <c r="L15" s="14">
        <v>2416210</v>
      </c>
      <c r="M15" s="14">
        <v>1720948</v>
      </c>
      <c r="N15" s="14">
        <v>1720948</v>
      </c>
      <c r="O15" s="14">
        <v>0</v>
      </c>
      <c r="P15" s="14">
        <f>Table1328103[[#This Row],[Base Contract]]-Table1328103[[#This Row],[QU Original Budget]]</f>
        <v>695262</v>
      </c>
      <c r="Q15" s="14">
        <f>Table1328103[[#This Row],[Approved Change Orders]]-Table1328103[[#This Row],[CO Change Order Budget]]</f>
        <v>0</v>
      </c>
      <c r="R15" s="14">
        <v>1720948</v>
      </c>
      <c r="S15" s="14">
        <f>Table1328103[[#This Row],[Total Direct Budget]]-Table1328103[[#This Row],[Estimated Total Direct Costs]]</f>
        <v>0</v>
      </c>
      <c r="T15" s="14">
        <f>+Table1328103[[#This Row],[Adjusted Contract Price]]-Table1328103[[#This Row],[Total Direct Budget]]</f>
        <v>695262</v>
      </c>
      <c r="U15" s="14">
        <f>+Table1328103[[#This Row],[Adjusted Contract Price]]-Table1328103[[#This Row],[Estimated Total Direct Costs]]</f>
        <v>695262</v>
      </c>
      <c r="V15" s="15">
        <f>IF(Table1328103[[#This Row],[Adjusted Contract Price]]=0,0,+Table1328103[[#This Row],[Budgeted Gross Profit (Loss)]]/Table1328103[[#This Row],[Adjusted Contract Price]])</f>
        <v>0.2877489953273929</v>
      </c>
      <c r="W15" s="15">
        <f>IF(Table1328103[[#This Row],[Adjusted Contract Price]]=0,0,+Table1328103[[#This Row],[Estimated Gross Profit (Loss)]]/Table1328103[[#This Row],[Adjusted Contract Price]])</f>
        <v>0.2877489953273929</v>
      </c>
      <c r="X15" s="15">
        <v>0.71225099999999997</v>
      </c>
      <c r="Y15" s="15">
        <f>Table1328103[[#This Row],[Current GP %]]-Table1328103[[#This Row],[Prior Month1 GP]]</f>
        <v>-0.42450200467260707</v>
      </c>
      <c r="Z15" s="15">
        <v>0.71225099999999997</v>
      </c>
      <c r="AA15" s="15">
        <f>Table1328103[[#This Row],[Current GP %]]-Table1328103[[#This Row],[Prior Month2 GP]]</f>
        <v>-0.42450200467260707</v>
      </c>
      <c r="AB15" s="15">
        <v>0.71225099999999997</v>
      </c>
      <c r="AC15" s="15">
        <f>Table1328103[[#This Row],[Current GP %]]-Table1328103[[#This Row],[Prior Month3 GP]]</f>
        <v>-0.42450200467260707</v>
      </c>
      <c r="AD15" s="14">
        <v>44375.77</v>
      </c>
      <c r="AE15" s="16">
        <f>IF(Table1328103[[#This Row],[Estimated Total Direct Costs]]=0,0,+Table1328103[[#This Row],[Direct Cost To Date]]/Table1328103[[#This Row],[Estimated Total Direct Costs]])</f>
        <v>2.5785654185948671E-2</v>
      </c>
      <c r="AF15" s="14">
        <f>+Table1328103[[#This Row],[Estimated Gross Profit (Loss)]]*Table1328103[[#This Row],[% Complete]]</f>
        <v>17927.785500631046</v>
      </c>
      <c r="AG15" s="14"/>
      <c r="AH15" s="14">
        <f>+Table1328103[[#This Row],[Total Gross Profit Recognized To Date]]-Table1328103[[#This Row],[Gross Profit Recognized Prior Years]]</f>
        <v>17927.785500631046</v>
      </c>
      <c r="AI15" s="14">
        <v>0</v>
      </c>
      <c r="AJ15" s="14">
        <f>Table1328103[[#This Row],[Adjusted Contract Price]]-Table1328103[[#This Row],[Total Amount Billed To Date]]</f>
        <v>2416210</v>
      </c>
      <c r="AK15" s="14">
        <v>0</v>
      </c>
      <c r="AL15" s="15">
        <f>IF(Table1328103[[#This Row],[Total Amount Billed To Date]]=0,0,+Table1328103[[#This Row],[Current Retainage Amount]]/Table1328103[[#This Row],[Total Amount Billed To Date]])</f>
        <v>0</v>
      </c>
      <c r="AM15" s="14">
        <v>0</v>
      </c>
      <c r="AN15" s="14">
        <f>Table1328103[[#This Row],[Cash Received]]-Table1328103[[#This Row],[Direct Cost To Date]]</f>
        <v>-44375.77</v>
      </c>
      <c r="AO15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62303.555500631046</v>
      </c>
      <c r="AP15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5" s="14">
        <v>6895.2</v>
      </c>
      <c r="AR15" s="14">
        <v>0</v>
      </c>
      <c r="AS15" s="14">
        <v>0</v>
      </c>
      <c r="AT15" s="14">
        <v>0</v>
      </c>
      <c r="AU15" s="14">
        <v>5135</v>
      </c>
      <c r="AV15" s="14">
        <v>0</v>
      </c>
      <c r="AW15" s="9">
        <v>45506</v>
      </c>
    </row>
    <row r="16" spans="1:49" ht="12.75" customHeight="1" x14ac:dyDescent="0.2">
      <c r="A16" t="s">
        <v>153</v>
      </c>
      <c r="B16" t="s">
        <v>154</v>
      </c>
      <c r="C16" t="s">
        <v>108</v>
      </c>
      <c r="D16" t="s">
        <v>54</v>
      </c>
      <c r="E16" t="s">
        <v>54</v>
      </c>
      <c r="F16" t="s">
        <v>78</v>
      </c>
      <c r="G16" s="2" t="s">
        <v>79</v>
      </c>
      <c r="H16" s="14">
        <v>13700000</v>
      </c>
      <c r="I16" s="14">
        <v>-3700000</v>
      </c>
      <c r="J16" s="14">
        <f>Table1328103[[#This Row],[Adjusted Contract Price]]-Table1328103[[#This Row],[Base Contract]]-Table1328103[[#This Row],[Approved Change Orders]]</f>
        <v>0</v>
      </c>
      <c r="K16" s="14"/>
      <c r="L16" s="14">
        <v>10000000</v>
      </c>
      <c r="M16" s="14">
        <v>6621980</v>
      </c>
      <c r="N16" s="14">
        <v>6621980</v>
      </c>
      <c r="O16" s="14">
        <v>0</v>
      </c>
      <c r="P16" s="14">
        <f>Table1328103[[#This Row],[Base Contract]]-Table1328103[[#This Row],[QU Original Budget]]</f>
        <v>7078020</v>
      </c>
      <c r="Q16" s="14">
        <f>Table1328103[[#This Row],[Approved Change Orders]]-Table1328103[[#This Row],[CO Change Order Budget]]</f>
        <v>-3700000</v>
      </c>
      <c r="R16" s="14">
        <v>6621980</v>
      </c>
      <c r="S16" s="14">
        <f>Table1328103[[#This Row],[Total Direct Budget]]-Table1328103[[#This Row],[Estimated Total Direct Costs]]</f>
        <v>0</v>
      </c>
      <c r="T16" s="14">
        <f>+Table1328103[[#This Row],[Adjusted Contract Price]]-Table1328103[[#This Row],[Total Direct Budget]]</f>
        <v>3378020</v>
      </c>
      <c r="U16" s="14">
        <f>+Table1328103[[#This Row],[Adjusted Contract Price]]-Table1328103[[#This Row],[Estimated Total Direct Costs]]</f>
        <v>3378020</v>
      </c>
      <c r="V16" s="15">
        <f>IF(Table1328103[[#This Row],[Adjusted Contract Price]]=0,0,+Table1328103[[#This Row],[Budgeted Gross Profit (Loss)]]/Table1328103[[#This Row],[Adjusted Contract Price]])</f>
        <v>0.33780199999999999</v>
      </c>
      <c r="W16" s="15">
        <f>IF(Table1328103[[#This Row],[Adjusted Contract Price]]=0,0,+Table1328103[[#This Row],[Estimated Gross Profit (Loss)]]/Table1328103[[#This Row],[Adjusted Contract Price]])</f>
        <v>0.33780199999999999</v>
      </c>
      <c r="X16" s="15">
        <v>0.66219799999999995</v>
      </c>
      <c r="Y16" s="15">
        <f>Table1328103[[#This Row],[Current GP %]]-Table1328103[[#This Row],[Prior Month1 GP]]</f>
        <v>-0.32439599999999996</v>
      </c>
      <c r="Z16" s="15">
        <v>0.66219799999999995</v>
      </c>
      <c r="AA16" s="15">
        <f>Table1328103[[#This Row],[Current GP %]]-Table1328103[[#This Row],[Prior Month2 GP]]</f>
        <v>-0.32439599999999996</v>
      </c>
      <c r="AB16" s="15">
        <v>0.66219799999999995</v>
      </c>
      <c r="AC16" s="15">
        <f>Table1328103[[#This Row],[Current GP %]]-Table1328103[[#This Row],[Prior Month3 GP]]</f>
        <v>-0.32439599999999996</v>
      </c>
      <c r="AD16" s="14">
        <v>3925459.68</v>
      </c>
      <c r="AE16" s="16">
        <f>IF(Table1328103[[#This Row],[Estimated Total Direct Costs]]=0,0,+Table1328103[[#This Row],[Direct Cost To Date]]/Table1328103[[#This Row],[Estimated Total Direct Costs]])</f>
        <v>0.5927924397234664</v>
      </c>
      <c r="AF16" s="14">
        <f>+Table1328103[[#This Row],[Estimated Gross Profit (Loss)]]*Table1328103[[#This Row],[% Complete]]</f>
        <v>2002464.7172346639</v>
      </c>
      <c r="AG16" s="14"/>
      <c r="AH16" s="14">
        <f>+Table1328103[[#This Row],[Total Gross Profit Recognized To Date]]-Table1328103[[#This Row],[Gross Profit Recognized Prior Years]]</f>
        <v>2002464.7172346639</v>
      </c>
      <c r="AI16" s="14">
        <v>6078005</v>
      </c>
      <c r="AJ16" s="14">
        <f>Table1328103[[#This Row],[Adjusted Contract Price]]-Table1328103[[#This Row],[Total Amount Billed To Date]]</f>
        <v>3921995</v>
      </c>
      <c r="AK16" s="14">
        <v>0</v>
      </c>
      <c r="AL16" s="15">
        <f>IF(Table1328103[[#This Row],[Total Amount Billed To Date]]=0,0,+Table1328103[[#This Row],[Current Retainage Amount]]/Table1328103[[#This Row],[Total Amount Billed To Date]])</f>
        <v>0</v>
      </c>
      <c r="AM16" s="14">
        <v>5799000</v>
      </c>
      <c r="AN16" s="14">
        <f>Table1328103[[#This Row],[Cash Received]]-Table1328103[[#This Row],[Direct Cost To Date]]</f>
        <v>1873540.3199999998</v>
      </c>
      <c r="AO16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6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150080.6027653357</v>
      </c>
      <c r="AQ16" s="14">
        <v>3517103.89</v>
      </c>
      <c r="AR16" s="14">
        <v>5702625</v>
      </c>
      <c r="AS16" s="14">
        <v>279005</v>
      </c>
      <c r="AT16" s="14">
        <v>5799000</v>
      </c>
      <c r="AU16" s="14">
        <v>90363.41</v>
      </c>
      <c r="AV16" s="14">
        <v>0</v>
      </c>
      <c r="AW16" s="9">
        <v>45741</v>
      </c>
    </row>
    <row r="17" spans="1:49" ht="12.75" customHeight="1" x14ac:dyDescent="0.2">
      <c r="A17" t="s">
        <v>155</v>
      </c>
      <c r="B17" t="s">
        <v>156</v>
      </c>
      <c r="C17" t="s">
        <v>157</v>
      </c>
      <c r="D17" t="s">
        <v>54</v>
      </c>
      <c r="E17" t="s">
        <v>54</v>
      </c>
      <c r="F17" t="s">
        <v>78</v>
      </c>
      <c r="G17" s="2" t="s">
        <v>79</v>
      </c>
      <c r="H17" s="14">
        <v>617796</v>
      </c>
      <c r="I17" s="14">
        <v>0</v>
      </c>
      <c r="J17" s="14">
        <f>Table1328103[[#This Row],[Adjusted Contract Price]]-Table1328103[[#This Row],[Base Contract]]-Table1328103[[#This Row],[Approved Change Orders]]</f>
        <v>0</v>
      </c>
      <c r="K17" s="14"/>
      <c r="L17" s="14">
        <v>617796</v>
      </c>
      <c r="M17" s="14">
        <v>94567.41</v>
      </c>
      <c r="N17" s="14">
        <v>368315.2</v>
      </c>
      <c r="O17" s="14">
        <v>0</v>
      </c>
      <c r="P17" s="14">
        <f>Table1328103[[#This Row],[Base Contract]]-Table1328103[[#This Row],[QU Original Budget]]</f>
        <v>249480.8</v>
      </c>
      <c r="Q17" s="14">
        <f>Table1328103[[#This Row],[Approved Change Orders]]-Table1328103[[#This Row],[CO Change Order Budget]]</f>
        <v>0</v>
      </c>
      <c r="R17" s="14">
        <v>368315.2</v>
      </c>
      <c r="S17" s="14">
        <f>Table1328103[[#This Row],[Total Direct Budget]]-Table1328103[[#This Row],[Estimated Total Direct Costs]]</f>
        <v>273747.79000000004</v>
      </c>
      <c r="T17" s="14">
        <f>+Table1328103[[#This Row],[Adjusted Contract Price]]-Table1328103[[#This Row],[Total Direct Budget]]</f>
        <v>249480.8</v>
      </c>
      <c r="U17" s="14">
        <f>+Table1328103[[#This Row],[Adjusted Contract Price]]-Table1328103[[#This Row],[Estimated Total Direct Costs]]</f>
        <v>523228.58999999997</v>
      </c>
      <c r="V17" s="15">
        <f>IF(Table1328103[[#This Row],[Adjusted Contract Price]]=0,0,+Table1328103[[#This Row],[Budgeted Gross Profit (Loss)]]/Table1328103[[#This Row],[Adjusted Contract Price]])</f>
        <v>0.40382391598521195</v>
      </c>
      <c r="W17" s="15">
        <f>IF(Table1328103[[#This Row],[Adjusted Contract Price]]=0,0,+Table1328103[[#This Row],[Estimated Gross Profit (Loss)]]/Table1328103[[#This Row],[Adjusted Contract Price]])</f>
        <v>0.8469277722743429</v>
      </c>
      <c r="X17" s="15">
        <v>0.59617600000000004</v>
      </c>
      <c r="Y17" s="15">
        <f>Table1328103[[#This Row],[Current GP %]]-Table1328103[[#This Row],[Prior Month1 GP]]</f>
        <v>0.25075177227434287</v>
      </c>
      <c r="Z17" s="15">
        <v>0.59617600000000004</v>
      </c>
      <c r="AA17" s="15">
        <f>Table1328103[[#This Row],[Current GP %]]-Table1328103[[#This Row],[Prior Month2 GP]]</f>
        <v>0.25075177227434287</v>
      </c>
      <c r="AB17" s="15">
        <v>0.59617600000000004</v>
      </c>
      <c r="AC17" s="15">
        <f>Table1328103[[#This Row],[Current GP %]]-Table1328103[[#This Row],[Prior Month3 GP]]</f>
        <v>0.25075177227434287</v>
      </c>
      <c r="AD17" s="14">
        <v>94567.55</v>
      </c>
      <c r="AE17" s="16">
        <f>IF(Table1328103[[#This Row],[Estimated Total Direct Costs]]=0,0,+Table1328103[[#This Row],[Direct Cost To Date]]/Table1328103[[#This Row],[Estimated Total Direct Costs]])</f>
        <v>1.0000014804254447</v>
      </c>
      <c r="AF17" s="14">
        <f>+Table1328103[[#This Row],[Estimated Gross Profit (Loss)]]*Table1328103[[#This Row],[% Complete]]</f>
        <v>523229.36460091796</v>
      </c>
      <c r="AG17" s="14"/>
      <c r="AH17" s="14">
        <f>+Table1328103[[#This Row],[Total Gross Profit Recognized To Date]]-Table1328103[[#This Row],[Gross Profit Recognized Prior Years]]</f>
        <v>523229.36460091796</v>
      </c>
      <c r="AI17" s="14">
        <v>617796</v>
      </c>
      <c r="AJ17" s="14">
        <f>Table1328103[[#This Row],[Adjusted Contract Price]]-Table1328103[[#This Row],[Total Amount Billed To Date]]</f>
        <v>0</v>
      </c>
      <c r="AK17" s="14">
        <v>0</v>
      </c>
      <c r="AL17" s="15">
        <f>IF(Table1328103[[#This Row],[Total Amount Billed To Date]]=0,0,+Table1328103[[#This Row],[Current Retainage Amount]]/Table1328103[[#This Row],[Total Amount Billed To Date]])</f>
        <v>0</v>
      </c>
      <c r="AM17" s="14">
        <v>533516.39</v>
      </c>
      <c r="AN17" s="14">
        <f>Table1328103[[#This Row],[Cash Received]]-Table1328103[[#This Row],[Direct Cost To Date]]</f>
        <v>438948.84</v>
      </c>
      <c r="AO17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0.91460091795306653</v>
      </c>
      <c r="AP17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7" s="14">
        <v>90229.19</v>
      </c>
      <c r="AR17" s="14">
        <v>617796</v>
      </c>
      <c r="AS17" s="14">
        <v>84279.61</v>
      </c>
      <c r="AT17" s="14">
        <v>533516.39</v>
      </c>
      <c r="AU17" s="14">
        <v>18018.21</v>
      </c>
      <c r="AV17" s="14">
        <v>0</v>
      </c>
      <c r="AW17" s="9">
        <v>45729</v>
      </c>
    </row>
    <row r="18" spans="1:49" ht="12.75" customHeight="1" x14ac:dyDescent="0.2">
      <c r="A18" t="s">
        <v>158</v>
      </c>
      <c r="B18" t="s">
        <v>159</v>
      </c>
      <c r="C18" t="s">
        <v>130</v>
      </c>
      <c r="D18" t="s">
        <v>54</v>
      </c>
      <c r="E18" t="s">
        <v>54</v>
      </c>
      <c r="F18" t="s">
        <v>131</v>
      </c>
      <c r="G18" s="2" t="s">
        <v>79</v>
      </c>
      <c r="H18" s="14">
        <v>513955.56</v>
      </c>
      <c r="I18" s="14">
        <v>0</v>
      </c>
      <c r="J18" s="14">
        <f>Table1328103[[#This Row],[Adjusted Contract Price]]-Table1328103[[#This Row],[Base Contract]]-Table1328103[[#This Row],[Approved Change Orders]]</f>
        <v>0</v>
      </c>
      <c r="K18" s="14"/>
      <c r="L18" s="14">
        <v>513955.56</v>
      </c>
      <c r="M18" s="14">
        <v>300409.78000000003</v>
      </c>
      <c r="N18" s="14">
        <v>300409.78000000003</v>
      </c>
      <c r="O18" s="14">
        <v>0</v>
      </c>
      <c r="P18" s="14">
        <f>Table1328103[[#This Row],[Base Contract]]-Table1328103[[#This Row],[QU Original Budget]]</f>
        <v>213545.77999999997</v>
      </c>
      <c r="Q18" s="14">
        <f>Table1328103[[#This Row],[Approved Change Orders]]-Table1328103[[#This Row],[CO Change Order Budget]]</f>
        <v>0</v>
      </c>
      <c r="R18" s="14">
        <v>300409.78000000003</v>
      </c>
      <c r="S18" s="14">
        <f>Table1328103[[#This Row],[Total Direct Budget]]-Table1328103[[#This Row],[Estimated Total Direct Costs]]</f>
        <v>0</v>
      </c>
      <c r="T18" s="14">
        <f>+Table1328103[[#This Row],[Adjusted Contract Price]]-Table1328103[[#This Row],[Total Direct Budget]]</f>
        <v>213545.77999999997</v>
      </c>
      <c r="U18" s="14">
        <f>+Table1328103[[#This Row],[Adjusted Contract Price]]-Table1328103[[#This Row],[Estimated Total Direct Costs]]</f>
        <v>213545.77999999997</v>
      </c>
      <c r="V18" s="15">
        <f>IF(Table1328103[[#This Row],[Adjusted Contract Price]]=0,0,+Table1328103[[#This Row],[Budgeted Gross Profit (Loss)]]/Table1328103[[#This Row],[Adjusted Contract Price]])</f>
        <v>0.41549463926414176</v>
      </c>
      <c r="W18" s="15">
        <f>IF(Table1328103[[#This Row],[Adjusted Contract Price]]=0,0,+Table1328103[[#This Row],[Estimated Gross Profit (Loss)]]/Table1328103[[#This Row],[Adjusted Contract Price]])</f>
        <v>0.41549463926414176</v>
      </c>
      <c r="X18" s="15">
        <v>0.58450500000000005</v>
      </c>
      <c r="Y18" s="15">
        <f>Table1328103[[#This Row],[Current GP %]]-Table1328103[[#This Row],[Prior Month1 GP]]</f>
        <v>-0.16901036073585829</v>
      </c>
      <c r="Z18" s="15">
        <v>0.58450500000000005</v>
      </c>
      <c r="AA18" s="15">
        <f>Table1328103[[#This Row],[Current GP %]]-Table1328103[[#This Row],[Prior Month2 GP]]</f>
        <v>-0.16901036073585829</v>
      </c>
      <c r="AB18" s="15">
        <v>0.58450500000000005</v>
      </c>
      <c r="AC18" s="15">
        <f>Table1328103[[#This Row],[Current GP %]]-Table1328103[[#This Row],[Prior Month3 GP]]</f>
        <v>-0.16901036073585829</v>
      </c>
      <c r="AD18" s="14">
        <v>54454.99</v>
      </c>
      <c r="AE18" s="16">
        <f>IF(Table1328103[[#This Row],[Estimated Total Direct Costs]]=0,0,+Table1328103[[#This Row],[Direct Cost To Date]]/Table1328103[[#This Row],[Estimated Total Direct Costs]])</f>
        <v>0.18126903192033225</v>
      </c>
      <c r="AF18" s="14">
        <f>+Table1328103[[#This Row],[Estimated Gross Profit (Loss)]]*Table1328103[[#This Row],[% Complete]]</f>
        <v>38709.23681127224</v>
      </c>
      <c r="AG18" s="14"/>
      <c r="AH18" s="14">
        <f>+Table1328103[[#This Row],[Total Gross Profit Recognized To Date]]-Table1328103[[#This Row],[Gross Profit Recognized Prior Years]]</f>
        <v>38709.23681127224</v>
      </c>
      <c r="AI18" s="14">
        <v>262966.58</v>
      </c>
      <c r="AJ18" s="14">
        <f>Table1328103[[#This Row],[Adjusted Contract Price]]-Table1328103[[#This Row],[Total Amount Billed To Date]]</f>
        <v>250988.97999999998</v>
      </c>
      <c r="AK18" s="14">
        <v>0</v>
      </c>
      <c r="AL18" s="15">
        <f>IF(Table1328103[[#This Row],[Total Amount Billed To Date]]=0,0,+Table1328103[[#This Row],[Current Retainage Amount]]/Table1328103[[#This Row],[Total Amount Billed To Date]])</f>
        <v>0</v>
      </c>
      <c r="AM18" s="14">
        <v>252318.34</v>
      </c>
      <c r="AN18" s="14">
        <f>Table1328103[[#This Row],[Cash Received]]-Table1328103[[#This Row],[Direct Cost To Date]]</f>
        <v>197863.35</v>
      </c>
      <c r="AO18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8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169802.35318872778</v>
      </c>
      <c r="AQ18" s="14">
        <v>54439.79</v>
      </c>
      <c r="AR18" s="14">
        <v>262966.58</v>
      </c>
      <c r="AS18" s="14">
        <v>10648.24</v>
      </c>
      <c r="AT18" s="14">
        <v>252318.34</v>
      </c>
      <c r="AU18" s="14">
        <v>3917.92</v>
      </c>
      <c r="AV18" s="14">
        <v>0</v>
      </c>
      <c r="AW18" s="9">
        <v>45729</v>
      </c>
    </row>
    <row r="19" spans="1:49" ht="12.75" customHeight="1" x14ac:dyDescent="0.2">
      <c r="A19" t="s">
        <v>160</v>
      </c>
      <c r="B19" t="s">
        <v>161</v>
      </c>
      <c r="C19" t="s">
        <v>53</v>
      </c>
      <c r="D19" t="s">
        <v>54</v>
      </c>
      <c r="E19" t="s">
        <v>54</v>
      </c>
      <c r="F19" t="s">
        <v>55</v>
      </c>
      <c r="G19" s="2" t="s">
        <v>79</v>
      </c>
      <c r="H19" s="14">
        <v>251517.42</v>
      </c>
      <c r="I19" s="14">
        <v>0</v>
      </c>
      <c r="J19" s="14">
        <f>Table1328103[[#This Row],[Adjusted Contract Price]]-Table1328103[[#This Row],[Base Contract]]-Table1328103[[#This Row],[Approved Change Orders]]</f>
        <v>-161517.42000000001</v>
      </c>
      <c r="K19" s="14"/>
      <c r="L19" s="14">
        <v>90000</v>
      </c>
      <c r="M19" s="14">
        <v>52830.48</v>
      </c>
      <c r="N19" s="14">
        <v>183260</v>
      </c>
      <c r="O19" s="14">
        <v>0</v>
      </c>
      <c r="P19" s="14">
        <f>Table1328103[[#This Row],[Base Contract]]-Table1328103[[#This Row],[QU Original Budget]]</f>
        <v>68257.420000000013</v>
      </c>
      <c r="Q19" s="14">
        <f>Table1328103[[#This Row],[Approved Change Orders]]-Table1328103[[#This Row],[CO Change Order Budget]]</f>
        <v>0</v>
      </c>
      <c r="R19" s="14">
        <v>183260</v>
      </c>
      <c r="S19" s="14">
        <f>Table1328103[[#This Row],[Total Direct Budget]]-Table1328103[[#This Row],[Estimated Total Direct Costs]]</f>
        <v>130429.51999999999</v>
      </c>
      <c r="T19" s="14">
        <f>+Table1328103[[#This Row],[Adjusted Contract Price]]-Table1328103[[#This Row],[Total Direct Budget]]</f>
        <v>-93260</v>
      </c>
      <c r="U19" s="14">
        <f>+Table1328103[[#This Row],[Adjusted Contract Price]]-Table1328103[[#This Row],[Estimated Total Direct Costs]]</f>
        <v>37169.519999999997</v>
      </c>
      <c r="V19" s="15">
        <f>IF(Table1328103[[#This Row],[Adjusted Contract Price]]=0,0,+Table1328103[[#This Row],[Budgeted Gross Profit (Loss)]]/Table1328103[[#This Row],[Adjusted Contract Price]])</f>
        <v>-1.0362222222222222</v>
      </c>
      <c r="W19" s="15">
        <f>IF(Table1328103[[#This Row],[Adjusted Contract Price]]=0,0,+Table1328103[[#This Row],[Estimated Gross Profit (Loss)]]/Table1328103[[#This Row],[Adjusted Contract Price]])</f>
        <v>0.41299466666666662</v>
      </c>
      <c r="X19" s="15">
        <v>0.72861699999999996</v>
      </c>
      <c r="Y19" s="15">
        <f>Table1328103[[#This Row],[Current GP %]]-Table1328103[[#This Row],[Prior Month1 GP]]</f>
        <v>-0.31562233333333334</v>
      </c>
      <c r="Z19" s="15">
        <v>0.72861699999999996</v>
      </c>
      <c r="AA19" s="15">
        <f>Table1328103[[#This Row],[Current GP %]]-Table1328103[[#This Row],[Prior Month2 GP]]</f>
        <v>-0.31562233333333334</v>
      </c>
      <c r="AB19" s="15">
        <v>0.72861699999999996</v>
      </c>
      <c r="AC19" s="15">
        <f>Table1328103[[#This Row],[Current GP %]]-Table1328103[[#This Row],[Prior Month3 GP]]</f>
        <v>-0.31562233333333334</v>
      </c>
      <c r="AD19" s="14">
        <v>52829.68</v>
      </c>
      <c r="AE19" s="16">
        <f>IF(Table1328103[[#This Row],[Estimated Total Direct Costs]]=0,0,+Table1328103[[#This Row],[Direct Cost To Date]]/Table1328103[[#This Row],[Estimated Total Direct Costs]])</f>
        <v>0.99998485722635866</v>
      </c>
      <c r="AF19" s="14">
        <f>+Table1328103[[#This Row],[Estimated Gross Profit (Loss)]]*Table1328103[[#This Row],[% Complete]]</f>
        <v>37168.957150372276</v>
      </c>
      <c r="AG19" s="14"/>
      <c r="AH19" s="14">
        <f>+Table1328103[[#This Row],[Total Gross Profit Recognized To Date]]-Table1328103[[#This Row],[Gross Profit Recognized Prior Years]]</f>
        <v>37168.957150372276</v>
      </c>
      <c r="AI19" s="14">
        <v>150910.45000000001</v>
      </c>
      <c r="AJ19" s="14">
        <f>Table1328103[[#This Row],[Adjusted Contract Price]]-Table1328103[[#This Row],[Total Amount Billed To Date]]</f>
        <v>-60910.450000000012</v>
      </c>
      <c r="AK19" s="14">
        <v>0</v>
      </c>
      <c r="AL19" s="15">
        <f>IF(Table1328103[[#This Row],[Total Amount Billed To Date]]=0,0,+Table1328103[[#This Row],[Current Retainage Amount]]/Table1328103[[#This Row],[Total Amount Billed To Date]])</f>
        <v>0</v>
      </c>
      <c r="AM19" s="14">
        <v>0</v>
      </c>
      <c r="AN19" s="14">
        <f>Table1328103[[#This Row],[Cash Received]]-Table1328103[[#This Row],[Direct Cost To Date]]</f>
        <v>-52829.68</v>
      </c>
      <c r="AO19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9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60911.812849627735</v>
      </c>
      <c r="AQ19" s="14">
        <v>48215.13</v>
      </c>
      <c r="AR19" s="14">
        <v>150910.45000000001</v>
      </c>
      <c r="AS19" s="14">
        <v>150910.45000000001</v>
      </c>
      <c r="AT19" s="14">
        <v>0</v>
      </c>
      <c r="AU19" s="14">
        <v>5698.73</v>
      </c>
      <c r="AV19" s="14">
        <v>0</v>
      </c>
      <c r="AW19" s="9">
        <v>45729</v>
      </c>
    </row>
    <row r="20" spans="1:49" ht="12.75" customHeight="1" x14ac:dyDescent="0.2">
      <c r="A20" t="s">
        <v>162</v>
      </c>
      <c r="B20" t="s">
        <v>163</v>
      </c>
      <c r="C20" t="s">
        <v>74</v>
      </c>
      <c r="D20" t="s">
        <v>54</v>
      </c>
      <c r="E20" t="s">
        <v>54</v>
      </c>
      <c r="F20" t="s">
        <v>55</v>
      </c>
      <c r="G20" s="2" t="s">
        <v>79</v>
      </c>
      <c r="H20" s="14">
        <v>3985840</v>
      </c>
      <c r="I20" s="14">
        <v>0</v>
      </c>
      <c r="J20" s="14">
        <f>Table1328103[[#This Row],[Adjusted Contract Price]]-Table1328103[[#This Row],[Base Contract]]-Table1328103[[#This Row],[Approved Change Orders]]</f>
        <v>0</v>
      </c>
      <c r="K20" s="14"/>
      <c r="L20" s="14">
        <v>3985840</v>
      </c>
      <c r="M20" s="14">
        <v>3149649</v>
      </c>
      <c r="N20" s="14">
        <v>3149649</v>
      </c>
      <c r="O20" s="14">
        <v>0</v>
      </c>
      <c r="P20" s="14">
        <f>Table1328103[[#This Row],[Base Contract]]-Table1328103[[#This Row],[QU Original Budget]]</f>
        <v>836191</v>
      </c>
      <c r="Q20" s="14">
        <f>Table1328103[[#This Row],[Approved Change Orders]]-Table1328103[[#This Row],[CO Change Order Budget]]</f>
        <v>0</v>
      </c>
      <c r="R20" s="14">
        <v>3149649</v>
      </c>
      <c r="S20" s="14">
        <f>Table1328103[[#This Row],[Total Direct Budget]]-Table1328103[[#This Row],[Estimated Total Direct Costs]]</f>
        <v>0</v>
      </c>
      <c r="T20" s="14">
        <f>+Table1328103[[#This Row],[Adjusted Contract Price]]-Table1328103[[#This Row],[Total Direct Budget]]</f>
        <v>836191</v>
      </c>
      <c r="U20" s="14">
        <f>+Table1328103[[#This Row],[Adjusted Contract Price]]-Table1328103[[#This Row],[Estimated Total Direct Costs]]</f>
        <v>836191</v>
      </c>
      <c r="V20" s="15">
        <f>IF(Table1328103[[#This Row],[Adjusted Contract Price]]=0,0,+Table1328103[[#This Row],[Budgeted Gross Profit (Loss)]]/Table1328103[[#This Row],[Adjusted Contract Price]])</f>
        <v>0.20979040804447746</v>
      </c>
      <c r="W20" s="15">
        <f>IF(Table1328103[[#This Row],[Adjusted Contract Price]]=0,0,+Table1328103[[#This Row],[Estimated Gross Profit (Loss)]]/Table1328103[[#This Row],[Adjusted Contract Price]])</f>
        <v>0.20979040804447746</v>
      </c>
      <c r="X20" s="15">
        <v>0.79020900000000005</v>
      </c>
      <c r="Y20" s="15">
        <f>Table1328103[[#This Row],[Current GP %]]-Table1328103[[#This Row],[Prior Month1 GP]]</f>
        <v>-0.58041859195552259</v>
      </c>
      <c r="Z20" s="15">
        <v>0.79020900000000005</v>
      </c>
      <c r="AA20" s="15">
        <f>Table1328103[[#This Row],[Current GP %]]-Table1328103[[#This Row],[Prior Month2 GP]]</f>
        <v>-0.58041859195552259</v>
      </c>
      <c r="AB20" s="15">
        <v>0.79020900000000005</v>
      </c>
      <c r="AC20" s="15">
        <f>Table1328103[[#This Row],[Current GP %]]-Table1328103[[#This Row],[Prior Month3 GP]]</f>
        <v>-0.58041859195552259</v>
      </c>
      <c r="AD20" s="14">
        <v>6570.14</v>
      </c>
      <c r="AE20" s="16">
        <f>IF(Table1328103[[#This Row],[Estimated Total Direct Costs]]=0,0,+Table1328103[[#This Row],[Direct Cost To Date]]/Table1328103[[#This Row],[Estimated Total Direct Costs]])</f>
        <v>2.0859911691747239E-3</v>
      </c>
      <c r="AF20" s="14">
        <f>+Table1328103[[#This Row],[Estimated Gross Profit (Loss)]]*Table1328103[[#This Row],[% Complete]]</f>
        <v>1744.2870417433815</v>
      </c>
      <c r="AG20" s="14"/>
      <c r="AH20" s="14">
        <f>+Table1328103[[#This Row],[Total Gross Profit Recognized To Date]]-Table1328103[[#This Row],[Gross Profit Recognized Prior Years]]</f>
        <v>1744.2870417433815</v>
      </c>
      <c r="AI20" s="14">
        <v>159434</v>
      </c>
      <c r="AJ20" s="14">
        <f>Table1328103[[#This Row],[Adjusted Contract Price]]-Table1328103[[#This Row],[Total Amount Billed To Date]]</f>
        <v>3826406</v>
      </c>
      <c r="AK20" s="14">
        <v>0</v>
      </c>
      <c r="AL20" s="15">
        <f>IF(Table1328103[[#This Row],[Total Amount Billed To Date]]=0,0,+Table1328103[[#This Row],[Current Retainage Amount]]/Table1328103[[#This Row],[Total Amount Billed To Date]])</f>
        <v>0</v>
      </c>
      <c r="AM20" s="14">
        <v>159434</v>
      </c>
      <c r="AN20" s="14">
        <f>Table1328103[[#This Row],[Cash Received]]-Table1328103[[#This Row],[Direct Cost To Date]]</f>
        <v>152863.85999999999</v>
      </c>
      <c r="AO20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0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151119.57295825661</v>
      </c>
      <c r="AQ20" s="14">
        <v>0</v>
      </c>
      <c r="AR20" s="14">
        <v>0</v>
      </c>
      <c r="AS20" s="14">
        <v>0</v>
      </c>
      <c r="AT20" s="14">
        <v>159434</v>
      </c>
      <c r="AU20" s="14">
        <v>6410</v>
      </c>
      <c r="AV20" s="14">
        <v>0</v>
      </c>
      <c r="AW20" s="9">
        <v>45689</v>
      </c>
    </row>
    <row r="21" spans="1:49" ht="12.75" customHeight="1" x14ac:dyDescent="0.2">
      <c r="A21" t="s">
        <v>164</v>
      </c>
      <c r="B21" t="s">
        <v>165</v>
      </c>
      <c r="C21" t="s">
        <v>53</v>
      </c>
      <c r="D21" t="s">
        <v>54</v>
      </c>
      <c r="E21" t="s">
        <v>54</v>
      </c>
      <c r="F21" t="s">
        <v>55</v>
      </c>
      <c r="G21" s="2" t="s">
        <v>79</v>
      </c>
      <c r="H21" s="14">
        <v>2105000</v>
      </c>
      <c r="I21" s="14">
        <v>0</v>
      </c>
      <c r="J21" s="14">
        <f>Table1328103[[#This Row],[Adjusted Contract Price]]-Table1328103[[#This Row],[Base Contract]]-Table1328103[[#This Row],[Approved Change Orders]]</f>
        <v>0</v>
      </c>
      <c r="K21" s="14"/>
      <c r="L21" s="14">
        <v>2105000</v>
      </c>
      <c r="M21" s="14">
        <v>1679195</v>
      </c>
      <c r="N21" s="14">
        <v>1679195</v>
      </c>
      <c r="O21" s="14">
        <v>0</v>
      </c>
      <c r="P21" s="14">
        <f>Table1328103[[#This Row],[Base Contract]]-Table1328103[[#This Row],[QU Original Budget]]</f>
        <v>425805</v>
      </c>
      <c r="Q21" s="14">
        <f>Table1328103[[#This Row],[Approved Change Orders]]-Table1328103[[#This Row],[CO Change Order Budget]]</f>
        <v>0</v>
      </c>
      <c r="R21" s="14">
        <v>1679195</v>
      </c>
      <c r="S21" s="14">
        <f>Table1328103[[#This Row],[Total Direct Budget]]-Table1328103[[#This Row],[Estimated Total Direct Costs]]</f>
        <v>0</v>
      </c>
      <c r="T21" s="14">
        <f>+Table1328103[[#This Row],[Adjusted Contract Price]]-Table1328103[[#This Row],[Total Direct Budget]]</f>
        <v>425805</v>
      </c>
      <c r="U21" s="14">
        <f>+Table1328103[[#This Row],[Adjusted Contract Price]]-Table1328103[[#This Row],[Estimated Total Direct Costs]]</f>
        <v>425805</v>
      </c>
      <c r="V21" s="15">
        <f>IF(Table1328103[[#This Row],[Adjusted Contract Price]]=0,0,+Table1328103[[#This Row],[Budgeted Gross Profit (Loss)]]/Table1328103[[#This Row],[Adjusted Contract Price]])</f>
        <v>0.20228266033254158</v>
      </c>
      <c r="W21" s="15">
        <f>IF(Table1328103[[#This Row],[Adjusted Contract Price]]=0,0,+Table1328103[[#This Row],[Estimated Gross Profit (Loss)]]/Table1328103[[#This Row],[Adjusted Contract Price]])</f>
        <v>0.20228266033254158</v>
      </c>
      <c r="X21" s="15">
        <v>0.79771700000000001</v>
      </c>
      <c r="Y21" s="15">
        <f>Table1328103[[#This Row],[Current GP %]]-Table1328103[[#This Row],[Prior Month1 GP]]</f>
        <v>-0.5954343396674584</v>
      </c>
      <c r="Z21" s="15">
        <v>0.79771700000000001</v>
      </c>
      <c r="AA21" s="15">
        <f>Table1328103[[#This Row],[Current GP %]]-Table1328103[[#This Row],[Prior Month2 GP]]</f>
        <v>-0.5954343396674584</v>
      </c>
      <c r="AB21" s="15">
        <v>0</v>
      </c>
      <c r="AC21" s="15">
        <f>Table1328103[[#This Row],[Current GP %]]-Table1328103[[#This Row],[Prior Month3 GP]]</f>
        <v>0.20228266033254158</v>
      </c>
      <c r="AD21" s="14">
        <v>2500</v>
      </c>
      <c r="AE21" s="16">
        <f>IF(Table1328103[[#This Row],[Estimated Total Direct Costs]]=0,0,+Table1328103[[#This Row],[Direct Cost To Date]]/Table1328103[[#This Row],[Estimated Total Direct Costs]])</f>
        <v>1.4888086255616531E-3</v>
      </c>
      <c r="AF21" s="14">
        <f>+Table1328103[[#This Row],[Estimated Gross Profit (Loss)]]*Table1328103[[#This Row],[% Complete]]</f>
        <v>633.94215680727973</v>
      </c>
      <c r="AG21" s="14"/>
      <c r="AH21" s="14">
        <f>+Table1328103[[#This Row],[Total Gross Profit Recognized To Date]]-Table1328103[[#This Row],[Gross Profit Recognized Prior Years]]</f>
        <v>633.94215680727973</v>
      </c>
      <c r="AI21" s="14">
        <v>84200</v>
      </c>
      <c r="AJ21" s="14">
        <f>Table1328103[[#This Row],[Adjusted Contract Price]]-Table1328103[[#This Row],[Total Amount Billed To Date]]</f>
        <v>2020800</v>
      </c>
      <c r="AK21" s="14">
        <v>0</v>
      </c>
      <c r="AL21" s="15">
        <f>IF(Table1328103[[#This Row],[Total Amount Billed To Date]]=0,0,+Table1328103[[#This Row],[Current Retainage Amount]]/Table1328103[[#This Row],[Total Amount Billed To Date]])</f>
        <v>0</v>
      </c>
      <c r="AM21" s="14">
        <v>0</v>
      </c>
      <c r="AN21" s="14">
        <f>Table1328103[[#This Row],[Cash Received]]-Table1328103[[#This Row],[Direct Cost To Date]]</f>
        <v>-2500</v>
      </c>
      <c r="AO21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1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81066.057843192713</v>
      </c>
      <c r="AQ21" s="14">
        <v>0</v>
      </c>
      <c r="AR21" s="14">
        <v>0</v>
      </c>
      <c r="AS21" s="14">
        <v>84200</v>
      </c>
      <c r="AT21" s="14">
        <v>0</v>
      </c>
      <c r="AU21" s="14">
        <v>2500</v>
      </c>
      <c r="AV21" s="14">
        <v>0</v>
      </c>
      <c r="AW21" s="9">
        <v>45689</v>
      </c>
    </row>
    <row r="22" spans="1:49" ht="12.75" customHeight="1" x14ac:dyDescent="0.2">
      <c r="A22" t="s">
        <v>166</v>
      </c>
      <c r="B22" t="s">
        <v>167</v>
      </c>
      <c r="C22" t="s">
        <v>53</v>
      </c>
      <c r="D22" t="s">
        <v>54</v>
      </c>
      <c r="E22" t="s">
        <v>54</v>
      </c>
      <c r="F22" t="s">
        <v>55</v>
      </c>
      <c r="G22" s="2" t="s">
        <v>79</v>
      </c>
      <c r="H22" s="14">
        <v>177500</v>
      </c>
      <c r="I22" s="14">
        <v>0</v>
      </c>
      <c r="J22" s="14">
        <f>Table1328103[[#This Row],[Adjusted Contract Price]]-Table1328103[[#This Row],[Base Contract]]-Table1328103[[#This Row],[Approved Change Orders]]</f>
        <v>-177500</v>
      </c>
      <c r="K22" s="14"/>
      <c r="L22" s="14">
        <v>0</v>
      </c>
      <c r="M22" s="14">
        <v>0</v>
      </c>
      <c r="N22" s="14">
        <v>138963.62</v>
      </c>
      <c r="O22" s="14">
        <v>0</v>
      </c>
      <c r="P22" s="14">
        <f>Table1328103[[#This Row],[Base Contract]]-Table1328103[[#This Row],[QU Original Budget]]</f>
        <v>38536.380000000005</v>
      </c>
      <c r="Q22" s="14">
        <f>Table1328103[[#This Row],[Approved Change Orders]]-Table1328103[[#This Row],[CO Change Order Budget]]</f>
        <v>0</v>
      </c>
      <c r="R22" s="14">
        <v>138963.62</v>
      </c>
      <c r="S22" s="14">
        <f>Table1328103[[#This Row],[Total Direct Budget]]-Table1328103[[#This Row],[Estimated Total Direct Costs]]</f>
        <v>138963.62</v>
      </c>
      <c r="T22" s="14">
        <f>+Table1328103[[#This Row],[Adjusted Contract Price]]-Table1328103[[#This Row],[Total Direct Budget]]</f>
        <v>-138963.62</v>
      </c>
      <c r="U22" s="14">
        <f>+Table1328103[[#This Row],[Adjusted Contract Price]]-Table1328103[[#This Row],[Estimated Total Direct Costs]]</f>
        <v>0</v>
      </c>
      <c r="V22" s="15">
        <f>IF(Table1328103[[#This Row],[Adjusted Contract Price]]=0,0,+Table1328103[[#This Row],[Budgeted Gross Profit (Loss)]]/Table1328103[[#This Row],[Adjusted Contract Price]])</f>
        <v>0</v>
      </c>
      <c r="W22" s="15">
        <f>IF(Table1328103[[#This Row],[Adjusted Contract Price]]=0,0,+Table1328103[[#This Row],[Estimated Gross Profit (Loss)]]/Table1328103[[#This Row],[Adjusted Contract Price]])</f>
        <v>0</v>
      </c>
      <c r="X22" s="15">
        <v>0.78289299999999995</v>
      </c>
      <c r="Y22" s="15">
        <f>Table1328103[[#This Row],[Current GP %]]-Table1328103[[#This Row],[Prior Month1 GP]]</f>
        <v>-0.78289299999999995</v>
      </c>
      <c r="Z22" s="15">
        <v>0</v>
      </c>
      <c r="AA22" s="15">
        <f>Table1328103[[#This Row],[Current GP %]]-Table1328103[[#This Row],[Prior Month2 GP]]</f>
        <v>0</v>
      </c>
      <c r="AB22" s="15">
        <v>0</v>
      </c>
      <c r="AC22" s="15">
        <f>Table1328103[[#This Row],[Current GP %]]-Table1328103[[#This Row],[Prior Month3 GP]]</f>
        <v>0</v>
      </c>
      <c r="AD22" s="14">
        <v>0</v>
      </c>
      <c r="AE22" s="16">
        <f>IF(Table1328103[[#This Row],[Estimated Total Direct Costs]]=0,0,+Table1328103[[#This Row],[Direct Cost To Date]]/Table1328103[[#This Row],[Estimated Total Direct Costs]])</f>
        <v>0</v>
      </c>
      <c r="AF22" s="14">
        <f>+Table1328103[[#This Row],[Estimated Gross Profit (Loss)]]*Table1328103[[#This Row],[% Complete]]</f>
        <v>0</v>
      </c>
      <c r="AG22" s="14"/>
      <c r="AH22" s="14">
        <f>+Table1328103[[#This Row],[Total Gross Profit Recognized To Date]]-Table1328103[[#This Row],[Gross Profit Recognized Prior Years]]</f>
        <v>0</v>
      </c>
      <c r="AI22" s="14">
        <v>7100</v>
      </c>
      <c r="AJ22" s="14">
        <f>Table1328103[[#This Row],[Adjusted Contract Price]]-Table1328103[[#This Row],[Total Amount Billed To Date]]</f>
        <v>-7100</v>
      </c>
      <c r="AK22" s="14">
        <v>0</v>
      </c>
      <c r="AL22" s="15">
        <f>IF(Table1328103[[#This Row],[Total Amount Billed To Date]]=0,0,+Table1328103[[#This Row],[Current Retainage Amount]]/Table1328103[[#This Row],[Total Amount Billed To Date]])</f>
        <v>0</v>
      </c>
      <c r="AM22" s="14">
        <v>0</v>
      </c>
      <c r="AN22" s="14">
        <f>Table1328103[[#This Row],[Cash Received]]-Table1328103[[#This Row],[Direct Cost To Date]]</f>
        <v>0</v>
      </c>
      <c r="AO22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2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7100</v>
      </c>
      <c r="AQ22" s="14">
        <v>0</v>
      </c>
      <c r="AR22" s="14">
        <v>0</v>
      </c>
      <c r="AS22" s="14">
        <v>7100</v>
      </c>
      <c r="AT22" s="14">
        <v>0</v>
      </c>
      <c r="AU22" s="14">
        <v>0</v>
      </c>
      <c r="AV22" s="14">
        <v>0</v>
      </c>
      <c r="AW22" s="9"/>
    </row>
    <row r="23" spans="1:49" ht="12.75" customHeight="1" x14ac:dyDescent="0.2">
      <c r="A23" t="s">
        <v>168</v>
      </c>
      <c r="B23" t="s">
        <v>169</v>
      </c>
      <c r="C23" t="s">
        <v>54</v>
      </c>
      <c r="D23" t="s">
        <v>54</v>
      </c>
      <c r="E23" t="s">
        <v>54</v>
      </c>
      <c r="F23" t="s">
        <v>55</v>
      </c>
      <c r="G23" s="2" t="s">
        <v>79</v>
      </c>
      <c r="H23" s="14">
        <v>0</v>
      </c>
      <c r="I23" s="14">
        <v>0</v>
      </c>
      <c r="J23" s="14">
        <f>Table1328103[[#This Row],[Adjusted Contract Price]]-Table1328103[[#This Row],[Base Contract]]-Table1328103[[#This Row],[Approved Change Orders]]</f>
        <v>0</v>
      </c>
      <c r="K23" s="14"/>
      <c r="L23" s="14">
        <v>0</v>
      </c>
      <c r="M23" s="14">
        <v>0</v>
      </c>
      <c r="N23" s="14">
        <v>0</v>
      </c>
      <c r="O23" s="14">
        <v>0</v>
      </c>
      <c r="P23" s="14">
        <f>Table1328103[[#This Row],[Base Contract]]-Table1328103[[#This Row],[QU Original Budget]]</f>
        <v>0</v>
      </c>
      <c r="Q23" s="14">
        <f>Table1328103[[#This Row],[Approved Change Orders]]-Table1328103[[#This Row],[CO Change Order Budget]]</f>
        <v>0</v>
      </c>
      <c r="R23" s="14">
        <v>0</v>
      </c>
      <c r="S23" s="14">
        <f>Table1328103[[#This Row],[Total Direct Budget]]-Table1328103[[#This Row],[Estimated Total Direct Costs]]</f>
        <v>0</v>
      </c>
      <c r="T23" s="14">
        <f>+Table1328103[[#This Row],[Adjusted Contract Price]]-Table1328103[[#This Row],[Total Direct Budget]]</f>
        <v>0</v>
      </c>
      <c r="U23" s="14">
        <f>+Table1328103[[#This Row],[Adjusted Contract Price]]-Table1328103[[#This Row],[Estimated Total Direct Costs]]</f>
        <v>0</v>
      </c>
      <c r="V23" s="15">
        <f>IF(Table1328103[[#This Row],[Adjusted Contract Price]]=0,0,+Table1328103[[#This Row],[Budgeted Gross Profit (Loss)]]/Table1328103[[#This Row],[Adjusted Contract Price]])</f>
        <v>0</v>
      </c>
      <c r="W23" s="15">
        <f>IF(Table1328103[[#This Row],[Adjusted Contract Price]]=0,0,+Table1328103[[#This Row],[Estimated Gross Profit (Loss)]]/Table1328103[[#This Row],[Adjusted Contract Price]])</f>
        <v>0</v>
      </c>
      <c r="X23" s="15">
        <v>0</v>
      </c>
      <c r="Y23" s="15">
        <f>Table1328103[[#This Row],[Current GP %]]-Table1328103[[#This Row],[Prior Month1 GP]]</f>
        <v>0</v>
      </c>
      <c r="Z23" s="15">
        <v>0</v>
      </c>
      <c r="AA23" s="15">
        <f>Table1328103[[#This Row],[Current GP %]]-Table1328103[[#This Row],[Prior Month2 GP]]</f>
        <v>0</v>
      </c>
      <c r="AB23" s="15">
        <v>0</v>
      </c>
      <c r="AC23" s="15">
        <f>Table1328103[[#This Row],[Current GP %]]-Table1328103[[#This Row],[Prior Month3 GP]]</f>
        <v>0</v>
      </c>
      <c r="AD23" s="14">
        <v>0</v>
      </c>
      <c r="AE23" s="16">
        <f>IF(Table1328103[[#This Row],[Estimated Total Direct Costs]]=0,0,+Table1328103[[#This Row],[Direct Cost To Date]]/Table1328103[[#This Row],[Estimated Total Direct Costs]])</f>
        <v>0</v>
      </c>
      <c r="AF23" s="14">
        <f>+Table1328103[[#This Row],[Estimated Gross Profit (Loss)]]*Table1328103[[#This Row],[% Complete]]</f>
        <v>0</v>
      </c>
      <c r="AG23" s="14"/>
      <c r="AH23" s="14">
        <f>+Table1328103[[#This Row],[Total Gross Profit Recognized To Date]]-Table1328103[[#This Row],[Gross Profit Recognized Prior Years]]</f>
        <v>0</v>
      </c>
      <c r="AI23" s="14">
        <v>0</v>
      </c>
      <c r="AJ23" s="14">
        <f>Table1328103[[#This Row],[Adjusted Contract Price]]-Table1328103[[#This Row],[Total Amount Billed To Date]]</f>
        <v>0</v>
      </c>
      <c r="AK23" s="14">
        <v>0</v>
      </c>
      <c r="AL23" s="15">
        <f>IF(Table1328103[[#This Row],[Total Amount Billed To Date]]=0,0,+Table1328103[[#This Row],[Current Retainage Amount]]/Table1328103[[#This Row],[Total Amount Billed To Date]])</f>
        <v>0</v>
      </c>
      <c r="AM23" s="14">
        <v>0</v>
      </c>
      <c r="AN23" s="14">
        <f>Table1328103[[#This Row],[Cash Received]]-Table1328103[[#This Row],[Direct Cost To Date]]</f>
        <v>0</v>
      </c>
      <c r="AO23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3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9"/>
    </row>
    <row r="24" spans="1:49" ht="12.75" customHeight="1" x14ac:dyDescent="0.2">
      <c r="A24" t="s">
        <v>170</v>
      </c>
      <c r="B24" t="s">
        <v>171</v>
      </c>
      <c r="C24" t="s">
        <v>54</v>
      </c>
      <c r="D24" t="s">
        <v>54</v>
      </c>
      <c r="E24" t="s">
        <v>54</v>
      </c>
      <c r="F24" t="s">
        <v>116</v>
      </c>
      <c r="G24" s="2" t="s">
        <v>79</v>
      </c>
      <c r="H24" s="14">
        <v>0</v>
      </c>
      <c r="I24" s="14">
        <v>0</v>
      </c>
      <c r="J24" s="14">
        <f>Table1328103[[#This Row],[Adjusted Contract Price]]-Table1328103[[#This Row],[Base Contract]]-Table1328103[[#This Row],[Approved Change Orders]]</f>
        <v>0</v>
      </c>
      <c r="K24" s="14"/>
      <c r="L24" s="14">
        <v>0</v>
      </c>
      <c r="M24" s="14">
        <v>0</v>
      </c>
      <c r="N24" s="14">
        <v>0</v>
      </c>
      <c r="O24" s="14">
        <v>0</v>
      </c>
      <c r="P24" s="14">
        <f>Table1328103[[#This Row],[Base Contract]]-Table1328103[[#This Row],[QU Original Budget]]</f>
        <v>0</v>
      </c>
      <c r="Q24" s="14">
        <f>Table1328103[[#This Row],[Approved Change Orders]]-Table1328103[[#This Row],[CO Change Order Budget]]</f>
        <v>0</v>
      </c>
      <c r="R24" s="14">
        <v>0</v>
      </c>
      <c r="S24" s="14">
        <f>Table1328103[[#This Row],[Total Direct Budget]]-Table1328103[[#This Row],[Estimated Total Direct Costs]]</f>
        <v>0</v>
      </c>
      <c r="T24" s="14">
        <f>+Table1328103[[#This Row],[Adjusted Contract Price]]-Table1328103[[#This Row],[Total Direct Budget]]</f>
        <v>0</v>
      </c>
      <c r="U24" s="14">
        <f>+Table1328103[[#This Row],[Adjusted Contract Price]]-Table1328103[[#This Row],[Estimated Total Direct Costs]]</f>
        <v>0</v>
      </c>
      <c r="V24" s="15">
        <f>IF(Table1328103[[#This Row],[Adjusted Contract Price]]=0,0,+Table1328103[[#This Row],[Budgeted Gross Profit (Loss)]]/Table1328103[[#This Row],[Adjusted Contract Price]])</f>
        <v>0</v>
      </c>
      <c r="W24" s="15">
        <f>IF(Table1328103[[#This Row],[Adjusted Contract Price]]=0,0,+Table1328103[[#This Row],[Estimated Gross Profit (Loss)]]/Table1328103[[#This Row],[Adjusted Contract Price]])</f>
        <v>0</v>
      </c>
      <c r="X24" s="15">
        <v>0</v>
      </c>
      <c r="Y24" s="15">
        <f>Table1328103[[#This Row],[Current GP %]]-Table1328103[[#This Row],[Prior Month1 GP]]</f>
        <v>0</v>
      </c>
      <c r="Z24" s="15">
        <v>0</v>
      </c>
      <c r="AA24" s="15">
        <f>Table1328103[[#This Row],[Current GP %]]-Table1328103[[#This Row],[Prior Month2 GP]]</f>
        <v>0</v>
      </c>
      <c r="AB24" s="15">
        <v>0</v>
      </c>
      <c r="AC24" s="15">
        <f>Table1328103[[#This Row],[Current GP %]]-Table1328103[[#This Row],[Prior Month3 GP]]</f>
        <v>0</v>
      </c>
      <c r="AD24" s="14">
        <v>0</v>
      </c>
      <c r="AE24" s="16">
        <f>IF(Table1328103[[#This Row],[Estimated Total Direct Costs]]=0,0,+Table1328103[[#This Row],[Direct Cost To Date]]/Table1328103[[#This Row],[Estimated Total Direct Costs]])</f>
        <v>0</v>
      </c>
      <c r="AF24" s="14">
        <f>+Table1328103[[#This Row],[Estimated Gross Profit (Loss)]]*Table1328103[[#This Row],[% Complete]]</f>
        <v>0</v>
      </c>
      <c r="AG24" s="14"/>
      <c r="AH24" s="14">
        <f>+Table1328103[[#This Row],[Total Gross Profit Recognized To Date]]-Table1328103[[#This Row],[Gross Profit Recognized Prior Years]]</f>
        <v>0</v>
      </c>
      <c r="AI24" s="14">
        <v>0</v>
      </c>
      <c r="AJ24" s="14">
        <f>Table1328103[[#This Row],[Adjusted Contract Price]]-Table1328103[[#This Row],[Total Amount Billed To Date]]</f>
        <v>0</v>
      </c>
      <c r="AK24" s="14">
        <v>0</v>
      </c>
      <c r="AL24" s="15">
        <f>IF(Table1328103[[#This Row],[Total Amount Billed To Date]]=0,0,+Table1328103[[#This Row],[Current Retainage Amount]]/Table1328103[[#This Row],[Total Amount Billed To Date]])</f>
        <v>0</v>
      </c>
      <c r="AM24" s="14">
        <v>0</v>
      </c>
      <c r="AN24" s="14">
        <f>Table1328103[[#This Row],[Cash Received]]-Table1328103[[#This Row],[Direct Cost To Date]]</f>
        <v>0</v>
      </c>
      <c r="AO24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4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9"/>
    </row>
    <row r="25" spans="1:49" ht="12.75" customHeight="1" x14ac:dyDescent="0.2">
      <c r="A25" t="s">
        <v>172</v>
      </c>
      <c r="B25" t="s">
        <v>173</v>
      </c>
      <c r="C25" t="s">
        <v>54</v>
      </c>
      <c r="D25" t="s">
        <v>54</v>
      </c>
      <c r="E25" t="s">
        <v>54</v>
      </c>
      <c r="F25" t="s">
        <v>99</v>
      </c>
      <c r="G25" s="2" t="s">
        <v>79</v>
      </c>
      <c r="H25" s="14">
        <v>0</v>
      </c>
      <c r="I25" s="14">
        <v>0</v>
      </c>
      <c r="J25" s="14">
        <f>Table1328103[[#This Row],[Adjusted Contract Price]]-Table1328103[[#This Row],[Base Contract]]-Table1328103[[#This Row],[Approved Change Orders]]</f>
        <v>0</v>
      </c>
      <c r="K25" s="14"/>
      <c r="L25" s="14">
        <v>0</v>
      </c>
      <c r="M25" s="14">
        <v>0</v>
      </c>
      <c r="N25" s="14">
        <v>0</v>
      </c>
      <c r="O25" s="14">
        <v>0</v>
      </c>
      <c r="P25" s="14">
        <f>Table1328103[[#This Row],[Base Contract]]-Table1328103[[#This Row],[QU Original Budget]]</f>
        <v>0</v>
      </c>
      <c r="Q25" s="14">
        <f>Table1328103[[#This Row],[Approved Change Orders]]-Table1328103[[#This Row],[CO Change Order Budget]]</f>
        <v>0</v>
      </c>
      <c r="R25" s="14">
        <v>0</v>
      </c>
      <c r="S25" s="14">
        <f>Table1328103[[#This Row],[Total Direct Budget]]-Table1328103[[#This Row],[Estimated Total Direct Costs]]</f>
        <v>0</v>
      </c>
      <c r="T25" s="14">
        <f>+Table1328103[[#This Row],[Adjusted Contract Price]]-Table1328103[[#This Row],[Total Direct Budget]]</f>
        <v>0</v>
      </c>
      <c r="U25" s="14">
        <f>+Table1328103[[#This Row],[Adjusted Contract Price]]-Table1328103[[#This Row],[Estimated Total Direct Costs]]</f>
        <v>0</v>
      </c>
      <c r="V25" s="15">
        <f>IF(Table1328103[[#This Row],[Adjusted Contract Price]]=0,0,+Table1328103[[#This Row],[Budgeted Gross Profit (Loss)]]/Table1328103[[#This Row],[Adjusted Contract Price]])</f>
        <v>0</v>
      </c>
      <c r="W25" s="15">
        <f>IF(Table1328103[[#This Row],[Adjusted Contract Price]]=0,0,+Table1328103[[#This Row],[Estimated Gross Profit (Loss)]]/Table1328103[[#This Row],[Adjusted Contract Price]])</f>
        <v>0</v>
      </c>
      <c r="X25" s="15">
        <v>0</v>
      </c>
      <c r="Y25" s="15">
        <f>Table1328103[[#This Row],[Current GP %]]-Table1328103[[#This Row],[Prior Month1 GP]]</f>
        <v>0</v>
      </c>
      <c r="Z25" s="15">
        <v>0</v>
      </c>
      <c r="AA25" s="15">
        <f>Table1328103[[#This Row],[Current GP %]]-Table1328103[[#This Row],[Prior Month2 GP]]</f>
        <v>0</v>
      </c>
      <c r="AB25" s="15">
        <v>0</v>
      </c>
      <c r="AC25" s="15">
        <f>Table1328103[[#This Row],[Current GP %]]-Table1328103[[#This Row],[Prior Month3 GP]]</f>
        <v>0</v>
      </c>
      <c r="AD25" s="14">
        <v>0</v>
      </c>
      <c r="AE25" s="16">
        <f>IF(Table1328103[[#This Row],[Estimated Total Direct Costs]]=0,0,+Table1328103[[#This Row],[Direct Cost To Date]]/Table1328103[[#This Row],[Estimated Total Direct Costs]])</f>
        <v>0</v>
      </c>
      <c r="AF25" s="14">
        <f>+Table1328103[[#This Row],[Estimated Gross Profit (Loss)]]*Table1328103[[#This Row],[% Complete]]</f>
        <v>0</v>
      </c>
      <c r="AG25" s="14"/>
      <c r="AH25" s="14">
        <f>+Table1328103[[#This Row],[Total Gross Profit Recognized To Date]]-Table1328103[[#This Row],[Gross Profit Recognized Prior Years]]</f>
        <v>0</v>
      </c>
      <c r="AI25" s="14">
        <v>0</v>
      </c>
      <c r="AJ25" s="14">
        <f>Table1328103[[#This Row],[Adjusted Contract Price]]-Table1328103[[#This Row],[Total Amount Billed To Date]]</f>
        <v>0</v>
      </c>
      <c r="AK25" s="14">
        <v>0</v>
      </c>
      <c r="AL25" s="15">
        <f>IF(Table1328103[[#This Row],[Total Amount Billed To Date]]=0,0,+Table1328103[[#This Row],[Current Retainage Amount]]/Table1328103[[#This Row],[Total Amount Billed To Date]])</f>
        <v>0</v>
      </c>
      <c r="AM25" s="14">
        <v>0</v>
      </c>
      <c r="AN25" s="14">
        <f>Table1328103[[#This Row],[Cash Received]]-Table1328103[[#This Row],[Direct Cost To Date]]</f>
        <v>0</v>
      </c>
      <c r="AO25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5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9"/>
    </row>
    <row r="26" spans="1:49" ht="12.75" customHeight="1" x14ac:dyDescent="0.2">
      <c r="A26" t="s">
        <v>174</v>
      </c>
      <c r="B26" t="s">
        <v>175</v>
      </c>
      <c r="C26" t="s">
        <v>54</v>
      </c>
      <c r="D26" t="s">
        <v>54</v>
      </c>
      <c r="E26" t="s">
        <v>54</v>
      </c>
      <c r="F26" t="s">
        <v>109</v>
      </c>
      <c r="G26" s="2" t="s">
        <v>79</v>
      </c>
      <c r="H26" s="14">
        <v>0</v>
      </c>
      <c r="I26" s="14">
        <v>0</v>
      </c>
      <c r="J26" s="14">
        <f>Table1328103[[#This Row],[Adjusted Contract Price]]-Table1328103[[#This Row],[Base Contract]]-Table1328103[[#This Row],[Approved Change Orders]]</f>
        <v>0</v>
      </c>
      <c r="K26" s="14"/>
      <c r="L26" s="14">
        <v>0</v>
      </c>
      <c r="M26" s="14">
        <v>0</v>
      </c>
      <c r="N26" s="14">
        <v>0</v>
      </c>
      <c r="O26" s="14">
        <v>0</v>
      </c>
      <c r="P26" s="14">
        <f>Table1328103[[#This Row],[Base Contract]]-Table1328103[[#This Row],[QU Original Budget]]</f>
        <v>0</v>
      </c>
      <c r="Q26" s="14">
        <f>Table1328103[[#This Row],[Approved Change Orders]]-Table1328103[[#This Row],[CO Change Order Budget]]</f>
        <v>0</v>
      </c>
      <c r="R26" s="14">
        <v>0</v>
      </c>
      <c r="S26" s="14">
        <f>Table1328103[[#This Row],[Total Direct Budget]]-Table1328103[[#This Row],[Estimated Total Direct Costs]]</f>
        <v>0</v>
      </c>
      <c r="T26" s="14">
        <f>+Table1328103[[#This Row],[Adjusted Contract Price]]-Table1328103[[#This Row],[Total Direct Budget]]</f>
        <v>0</v>
      </c>
      <c r="U26" s="14">
        <f>+Table1328103[[#This Row],[Adjusted Contract Price]]-Table1328103[[#This Row],[Estimated Total Direct Costs]]</f>
        <v>0</v>
      </c>
      <c r="V26" s="15">
        <f>IF(Table1328103[[#This Row],[Adjusted Contract Price]]=0,0,+Table1328103[[#This Row],[Budgeted Gross Profit (Loss)]]/Table1328103[[#This Row],[Adjusted Contract Price]])</f>
        <v>0</v>
      </c>
      <c r="W26" s="15">
        <f>IF(Table1328103[[#This Row],[Adjusted Contract Price]]=0,0,+Table1328103[[#This Row],[Estimated Gross Profit (Loss)]]/Table1328103[[#This Row],[Adjusted Contract Price]])</f>
        <v>0</v>
      </c>
      <c r="X26" s="15">
        <v>0</v>
      </c>
      <c r="Y26" s="15">
        <f>Table1328103[[#This Row],[Current GP %]]-Table1328103[[#This Row],[Prior Month1 GP]]</f>
        <v>0</v>
      </c>
      <c r="Z26" s="15">
        <v>0</v>
      </c>
      <c r="AA26" s="15">
        <f>Table1328103[[#This Row],[Current GP %]]-Table1328103[[#This Row],[Prior Month2 GP]]</f>
        <v>0</v>
      </c>
      <c r="AB26" s="15">
        <v>0</v>
      </c>
      <c r="AC26" s="15">
        <f>Table1328103[[#This Row],[Current GP %]]-Table1328103[[#This Row],[Prior Month3 GP]]</f>
        <v>0</v>
      </c>
      <c r="AD26" s="14">
        <v>0</v>
      </c>
      <c r="AE26" s="16">
        <f>IF(Table1328103[[#This Row],[Estimated Total Direct Costs]]=0,0,+Table1328103[[#This Row],[Direct Cost To Date]]/Table1328103[[#This Row],[Estimated Total Direct Costs]])</f>
        <v>0</v>
      </c>
      <c r="AF26" s="14">
        <f>+Table1328103[[#This Row],[Estimated Gross Profit (Loss)]]*Table1328103[[#This Row],[% Complete]]</f>
        <v>0</v>
      </c>
      <c r="AG26" s="14"/>
      <c r="AH26" s="14">
        <f>+Table1328103[[#This Row],[Total Gross Profit Recognized To Date]]-Table1328103[[#This Row],[Gross Profit Recognized Prior Years]]</f>
        <v>0</v>
      </c>
      <c r="AI26" s="14">
        <v>0</v>
      </c>
      <c r="AJ26" s="14">
        <f>Table1328103[[#This Row],[Adjusted Contract Price]]-Table1328103[[#This Row],[Total Amount Billed To Date]]</f>
        <v>0</v>
      </c>
      <c r="AK26" s="14">
        <v>0</v>
      </c>
      <c r="AL26" s="15">
        <f>IF(Table1328103[[#This Row],[Total Amount Billed To Date]]=0,0,+Table1328103[[#This Row],[Current Retainage Amount]]/Table1328103[[#This Row],[Total Amount Billed To Date]])</f>
        <v>0</v>
      </c>
      <c r="AM26" s="14">
        <v>0</v>
      </c>
      <c r="AN26" s="14">
        <f>Table1328103[[#This Row],[Cash Received]]-Table1328103[[#This Row],[Direct Cost To Date]]</f>
        <v>0</v>
      </c>
      <c r="AO26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6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9"/>
    </row>
    <row r="27" spans="1:49" ht="12.75" customHeight="1" x14ac:dyDescent="0.2">
      <c r="A27" t="s">
        <v>176</v>
      </c>
      <c r="B27" t="s">
        <v>177</v>
      </c>
      <c r="C27" t="s">
        <v>54</v>
      </c>
      <c r="D27" t="s">
        <v>54</v>
      </c>
      <c r="E27" t="s">
        <v>54</v>
      </c>
      <c r="F27" t="s">
        <v>78</v>
      </c>
      <c r="G27" s="2" t="s">
        <v>79</v>
      </c>
      <c r="H27" s="14">
        <v>0</v>
      </c>
      <c r="I27" s="14">
        <v>0</v>
      </c>
      <c r="J27" s="14">
        <f>Table1328103[[#This Row],[Adjusted Contract Price]]-Table1328103[[#This Row],[Base Contract]]-Table1328103[[#This Row],[Approved Change Orders]]</f>
        <v>0</v>
      </c>
      <c r="K27" s="14"/>
      <c r="L27" s="14">
        <v>0</v>
      </c>
      <c r="M27" s="14">
        <v>0</v>
      </c>
      <c r="N27" s="14">
        <v>0</v>
      </c>
      <c r="O27" s="14">
        <v>0</v>
      </c>
      <c r="P27" s="14">
        <f>Table1328103[[#This Row],[Base Contract]]-Table1328103[[#This Row],[QU Original Budget]]</f>
        <v>0</v>
      </c>
      <c r="Q27" s="14">
        <f>Table1328103[[#This Row],[Approved Change Orders]]-Table1328103[[#This Row],[CO Change Order Budget]]</f>
        <v>0</v>
      </c>
      <c r="R27" s="14">
        <v>0</v>
      </c>
      <c r="S27" s="14">
        <f>Table1328103[[#This Row],[Total Direct Budget]]-Table1328103[[#This Row],[Estimated Total Direct Costs]]</f>
        <v>0</v>
      </c>
      <c r="T27" s="14">
        <f>+Table1328103[[#This Row],[Adjusted Contract Price]]-Table1328103[[#This Row],[Total Direct Budget]]</f>
        <v>0</v>
      </c>
      <c r="U27" s="14">
        <f>+Table1328103[[#This Row],[Adjusted Contract Price]]-Table1328103[[#This Row],[Estimated Total Direct Costs]]</f>
        <v>0</v>
      </c>
      <c r="V27" s="15">
        <f>IF(Table1328103[[#This Row],[Adjusted Contract Price]]=0,0,+Table1328103[[#This Row],[Budgeted Gross Profit (Loss)]]/Table1328103[[#This Row],[Adjusted Contract Price]])</f>
        <v>0</v>
      </c>
      <c r="W27" s="15">
        <f>IF(Table1328103[[#This Row],[Adjusted Contract Price]]=0,0,+Table1328103[[#This Row],[Estimated Gross Profit (Loss)]]/Table1328103[[#This Row],[Adjusted Contract Price]])</f>
        <v>0</v>
      </c>
      <c r="X27" s="15">
        <v>0</v>
      </c>
      <c r="Y27" s="15">
        <f>Table1328103[[#This Row],[Current GP %]]-Table1328103[[#This Row],[Prior Month1 GP]]</f>
        <v>0</v>
      </c>
      <c r="Z27" s="15">
        <v>0</v>
      </c>
      <c r="AA27" s="15">
        <f>Table1328103[[#This Row],[Current GP %]]-Table1328103[[#This Row],[Prior Month2 GP]]</f>
        <v>0</v>
      </c>
      <c r="AB27" s="15">
        <v>0</v>
      </c>
      <c r="AC27" s="15">
        <f>Table1328103[[#This Row],[Current GP %]]-Table1328103[[#This Row],[Prior Month3 GP]]</f>
        <v>0</v>
      </c>
      <c r="AD27" s="14">
        <v>0</v>
      </c>
      <c r="AE27" s="16">
        <f>IF(Table1328103[[#This Row],[Estimated Total Direct Costs]]=0,0,+Table1328103[[#This Row],[Direct Cost To Date]]/Table1328103[[#This Row],[Estimated Total Direct Costs]])</f>
        <v>0</v>
      </c>
      <c r="AF27" s="14">
        <f>+Table1328103[[#This Row],[Estimated Gross Profit (Loss)]]*Table1328103[[#This Row],[% Complete]]</f>
        <v>0</v>
      </c>
      <c r="AG27" s="14"/>
      <c r="AH27" s="14">
        <f>+Table1328103[[#This Row],[Total Gross Profit Recognized To Date]]-Table1328103[[#This Row],[Gross Profit Recognized Prior Years]]</f>
        <v>0</v>
      </c>
      <c r="AI27" s="14">
        <v>0</v>
      </c>
      <c r="AJ27" s="14">
        <f>Table1328103[[#This Row],[Adjusted Contract Price]]-Table1328103[[#This Row],[Total Amount Billed To Date]]</f>
        <v>0</v>
      </c>
      <c r="AK27" s="14">
        <v>0</v>
      </c>
      <c r="AL27" s="15">
        <f>IF(Table1328103[[#This Row],[Total Amount Billed To Date]]=0,0,+Table1328103[[#This Row],[Current Retainage Amount]]/Table1328103[[#This Row],[Total Amount Billed To Date]])</f>
        <v>0</v>
      </c>
      <c r="AM27" s="14">
        <v>0</v>
      </c>
      <c r="AN27" s="14">
        <f>Table1328103[[#This Row],[Cash Received]]-Table1328103[[#This Row],[Direct Cost To Date]]</f>
        <v>0</v>
      </c>
      <c r="AO27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7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9"/>
    </row>
    <row r="28" spans="1:49" ht="12.75" customHeight="1" x14ac:dyDescent="0.2">
      <c r="A28" t="s">
        <v>178</v>
      </c>
      <c r="B28" t="s">
        <v>179</v>
      </c>
      <c r="C28" t="s">
        <v>54</v>
      </c>
      <c r="D28" t="s">
        <v>54</v>
      </c>
      <c r="E28" t="s">
        <v>54</v>
      </c>
      <c r="F28" t="s">
        <v>131</v>
      </c>
      <c r="G28" s="2" t="s">
        <v>79</v>
      </c>
      <c r="H28" s="14">
        <v>0</v>
      </c>
      <c r="I28" s="14">
        <v>0</v>
      </c>
      <c r="J28" s="14">
        <f>Table1328103[[#This Row],[Adjusted Contract Price]]-Table1328103[[#This Row],[Base Contract]]-Table1328103[[#This Row],[Approved Change Orders]]</f>
        <v>0</v>
      </c>
      <c r="K28" s="14"/>
      <c r="L28" s="14">
        <v>0</v>
      </c>
      <c r="M28" s="14">
        <v>0</v>
      </c>
      <c r="N28" s="14">
        <v>0</v>
      </c>
      <c r="O28" s="14">
        <v>0</v>
      </c>
      <c r="P28" s="14">
        <f>Table1328103[[#This Row],[Base Contract]]-Table1328103[[#This Row],[QU Original Budget]]</f>
        <v>0</v>
      </c>
      <c r="Q28" s="14">
        <f>Table1328103[[#This Row],[Approved Change Orders]]-Table1328103[[#This Row],[CO Change Order Budget]]</f>
        <v>0</v>
      </c>
      <c r="R28" s="14">
        <v>0</v>
      </c>
      <c r="S28" s="14">
        <f>Table1328103[[#This Row],[Total Direct Budget]]-Table1328103[[#This Row],[Estimated Total Direct Costs]]</f>
        <v>0</v>
      </c>
      <c r="T28" s="14">
        <f>+Table1328103[[#This Row],[Adjusted Contract Price]]-Table1328103[[#This Row],[Total Direct Budget]]</f>
        <v>0</v>
      </c>
      <c r="U28" s="14">
        <f>+Table1328103[[#This Row],[Adjusted Contract Price]]-Table1328103[[#This Row],[Estimated Total Direct Costs]]</f>
        <v>0</v>
      </c>
      <c r="V28" s="15">
        <f>IF(Table1328103[[#This Row],[Adjusted Contract Price]]=0,0,+Table1328103[[#This Row],[Budgeted Gross Profit (Loss)]]/Table1328103[[#This Row],[Adjusted Contract Price]])</f>
        <v>0</v>
      </c>
      <c r="W28" s="15">
        <f>IF(Table1328103[[#This Row],[Adjusted Contract Price]]=0,0,+Table1328103[[#This Row],[Estimated Gross Profit (Loss)]]/Table1328103[[#This Row],[Adjusted Contract Price]])</f>
        <v>0</v>
      </c>
      <c r="X28" s="15">
        <v>0</v>
      </c>
      <c r="Y28" s="15">
        <f>Table1328103[[#This Row],[Current GP %]]-Table1328103[[#This Row],[Prior Month1 GP]]</f>
        <v>0</v>
      </c>
      <c r="Z28" s="15">
        <v>0</v>
      </c>
      <c r="AA28" s="15">
        <f>Table1328103[[#This Row],[Current GP %]]-Table1328103[[#This Row],[Prior Month2 GP]]</f>
        <v>0</v>
      </c>
      <c r="AB28" s="15">
        <v>0</v>
      </c>
      <c r="AC28" s="15">
        <f>Table1328103[[#This Row],[Current GP %]]-Table1328103[[#This Row],[Prior Month3 GP]]</f>
        <v>0</v>
      </c>
      <c r="AD28" s="14">
        <v>0</v>
      </c>
      <c r="AE28" s="16">
        <f>IF(Table1328103[[#This Row],[Estimated Total Direct Costs]]=0,0,+Table1328103[[#This Row],[Direct Cost To Date]]/Table1328103[[#This Row],[Estimated Total Direct Costs]])</f>
        <v>0</v>
      </c>
      <c r="AF28" s="14">
        <f>+Table1328103[[#This Row],[Estimated Gross Profit (Loss)]]*Table1328103[[#This Row],[% Complete]]</f>
        <v>0</v>
      </c>
      <c r="AG28" s="14"/>
      <c r="AH28" s="14">
        <f>+Table1328103[[#This Row],[Total Gross Profit Recognized To Date]]-Table1328103[[#This Row],[Gross Profit Recognized Prior Years]]</f>
        <v>0</v>
      </c>
      <c r="AI28" s="14">
        <v>0</v>
      </c>
      <c r="AJ28" s="14">
        <f>Table1328103[[#This Row],[Adjusted Contract Price]]-Table1328103[[#This Row],[Total Amount Billed To Date]]</f>
        <v>0</v>
      </c>
      <c r="AK28" s="14">
        <v>0</v>
      </c>
      <c r="AL28" s="15">
        <f>IF(Table1328103[[#This Row],[Total Amount Billed To Date]]=0,0,+Table1328103[[#This Row],[Current Retainage Amount]]/Table1328103[[#This Row],[Total Amount Billed To Date]])</f>
        <v>0</v>
      </c>
      <c r="AM28" s="14">
        <v>0</v>
      </c>
      <c r="AN28" s="14">
        <f>Table1328103[[#This Row],[Cash Received]]-Table1328103[[#This Row],[Direct Cost To Date]]</f>
        <v>0</v>
      </c>
      <c r="AO28" s="14">
        <f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8" s="14">
        <f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9"/>
    </row>
    <row r="29" spans="1:49" ht="12.75" customHeight="1" x14ac:dyDescent="0.2">
      <c r="F29" s="1"/>
      <c r="G29" s="1"/>
      <c r="J29" s="1"/>
      <c r="K29" s="1"/>
      <c r="L29" s="1"/>
      <c r="R29" s="1"/>
      <c r="AC29" s="1"/>
      <c r="AE29" s="1"/>
      <c r="AG29" s="1"/>
    </row>
    <row r="30" spans="1:49" ht="12.75" customHeight="1" x14ac:dyDescent="0.2">
      <c r="F30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9" ht="12.75" customHeight="1" x14ac:dyDescent="0.2">
      <c r="F31" s="1"/>
      <c r="G31" s="1"/>
      <c r="J31" s="1"/>
      <c r="K31" s="1"/>
      <c r="L31" s="1"/>
      <c r="R31" s="1"/>
      <c r="AC31" s="1"/>
      <c r="AE31" s="1"/>
      <c r="AG31" s="1"/>
    </row>
    <row r="32" spans="1:49" ht="12.75" customHeight="1" x14ac:dyDescent="0.2">
      <c r="F32" s="1"/>
      <c r="G32" s="1"/>
      <c r="J32" s="1"/>
      <c r="K32" s="1"/>
      <c r="L32" s="1"/>
      <c r="R32" s="1"/>
      <c r="AC32" s="1"/>
      <c r="AE32" s="1"/>
      <c r="AG32" s="1"/>
    </row>
    <row r="33" spans="6:33" ht="12.75" customHeight="1" x14ac:dyDescent="0.2">
      <c r="G33" s="18"/>
      <c r="H33" s="18"/>
      <c r="J33" s="1"/>
      <c r="K33" s="1"/>
      <c r="L33" s="1"/>
      <c r="R33" s="1"/>
      <c r="AC33" s="1"/>
      <c r="AE33" s="1"/>
      <c r="AG33" s="1"/>
    </row>
    <row r="34" spans="6:33" ht="12.75" customHeight="1" x14ac:dyDescent="0.2">
      <c r="G34" s="17"/>
      <c r="J34" s="1"/>
      <c r="K34" s="1"/>
      <c r="L34" s="1"/>
      <c r="R34" s="1"/>
      <c r="AC34" s="1"/>
      <c r="AE34" s="1"/>
      <c r="AG34" s="1"/>
    </row>
    <row r="35" spans="6:33" ht="12.75" customHeight="1" x14ac:dyDescent="0.2">
      <c r="J35" s="1"/>
      <c r="K35" s="1"/>
      <c r="L35" s="1"/>
      <c r="R35" s="1"/>
      <c r="AC35" s="1"/>
      <c r="AE35" s="1"/>
      <c r="AG35" s="1"/>
    </row>
    <row r="36" spans="6:33" ht="12.75" customHeight="1" x14ac:dyDescent="0.2">
      <c r="G36" s="1"/>
      <c r="J36" s="1"/>
      <c r="K36" s="1"/>
      <c r="L36" s="1"/>
      <c r="R36" s="1"/>
      <c r="AC36" s="1"/>
      <c r="AE36" s="1"/>
      <c r="AG36" s="1"/>
    </row>
    <row r="37" spans="6:33" ht="12.75" customHeight="1" x14ac:dyDescent="0.2">
      <c r="G37" s="1"/>
      <c r="J37" s="1"/>
      <c r="K37" s="1"/>
      <c r="L37" s="1"/>
      <c r="R37" s="1"/>
      <c r="AC37" s="1"/>
      <c r="AE37" s="1"/>
      <c r="AG37" s="1"/>
    </row>
    <row r="38" spans="6:33" ht="12.75" customHeight="1" x14ac:dyDescent="0.2">
      <c r="F38" s="1"/>
      <c r="G38" s="1"/>
      <c r="J38" s="1"/>
      <c r="K38" s="1"/>
      <c r="L38" s="1"/>
      <c r="R38" s="1"/>
      <c r="AC38" s="1"/>
      <c r="AE38" s="1"/>
      <c r="AG38" s="1"/>
    </row>
    <row r="39" spans="6:33" ht="12.75" customHeight="1" x14ac:dyDescent="0.2">
      <c r="F39" s="1"/>
      <c r="G39" s="1"/>
      <c r="J39" s="1"/>
      <c r="K39" s="1"/>
      <c r="L39" s="1"/>
      <c r="R39" s="1"/>
      <c r="AC39" s="1"/>
      <c r="AE39" s="1"/>
      <c r="AG39" s="1"/>
    </row>
    <row r="40" spans="6:33" ht="12.75" customHeight="1" x14ac:dyDescent="0.2">
      <c r="F40" s="1"/>
      <c r="G40" s="1"/>
      <c r="J40" s="1"/>
      <c r="K40" s="1"/>
      <c r="L40" s="1"/>
      <c r="R40" s="1"/>
      <c r="AC40" s="1"/>
      <c r="AE40" s="1"/>
      <c r="AG40" s="1"/>
    </row>
    <row r="41" spans="6:33" ht="12.75" customHeight="1" x14ac:dyDescent="0.2">
      <c r="F41" s="1"/>
      <c r="G41" s="1"/>
      <c r="J41" s="1"/>
      <c r="K41" s="1"/>
      <c r="L41" s="1"/>
      <c r="R41" s="1"/>
      <c r="AC41" s="1"/>
      <c r="AE41" s="1"/>
      <c r="AG41" s="1"/>
    </row>
    <row r="42" spans="6:33" ht="12.75" customHeight="1" x14ac:dyDescent="0.2">
      <c r="F42" s="1"/>
      <c r="G42" s="1"/>
      <c r="J42" s="1"/>
      <c r="K42" s="1"/>
      <c r="L42" s="1"/>
      <c r="R42" s="1"/>
      <c r="AC42" s="1"/>
      <c r="AE42" s="1"/>
      <c r="AG42" s="1"/>
    </row>
    <row r="43" spans="6:33" ht="12.75" customHeight="1" x14ac:dyDescent="0.2">
      <c r="F43" s="1"/>
      <c r="G43" s="1"/>
      <c r="J43" s="1"/>
      <c r="K43" s="1"/>
      <c r="L43" s="1"/>
      <c r="R43" s="1"/>
      <c r="AC43" s="1"/>
      <c r="AE43" s="1"/>
      <c r="AG43" s="1"/>
    </row>
    <row r="44" spans="6:33" ht="12.75" customHeight="1" x14ac:dyDescent="0.2">
      <c r="F44" s="1"/>
      <c r="G44" s="1"/>
      <c r="J44" s="1"/>
      <c r="K44" s="1"/>
      <c r="L44" s="1"/>
      <c r="R44" s="1"/>
      <c r="AC44" s="1"/>
      <c r="AE44" s="1"/>
      <c r="AG44" s="1"/>
    </row>
    <row r="45" spans="6:33" ht="12.75" customHeight="1" x14ac:dyDescent="0.2">
      <c r="F45" s="1"/>
      <c r="G45" s="1"/>
      <c r="J45" s="1"/>
      <c r="K45" s="1"/>
      <c r="L45" s="1"/>
      <c r="R45" s="1"/>
      <c r="AC45" s="1"/>
      <c r="AE45" s="1"/>
      <c r="AG45" s="1"/>
    </row>
    <row r="46" spans="6:33" ht="12.75" customHeight="1" x14ac:dyDescent="0.2">
      <c r="F46" s="1"/>
      <c r="G46" s="1"/>
      <c r="J46" s="1"/>
      <c r="K46" s="1"/>
      <c r="L46" s="1"/>
      <c r="R46" s="1"/>
      <c r="AC46" s="1"/>
      <c r="AE46" s="1"/>
      <c r="AG46" s="1"/>
    </row>
    <row r="47" spans="6:33" ht="12.75" customHeight="1" x14ac:dyDescent="0.2">
      <c r="F47" s="1"/>
      <c r="G47" s="1"/>
      <c r="J47" s="1"/>
      <c r="K47" s="1"/>
      <c r="L47" s="1"/>
      <c r="R47" s="1"/>
      <c r="AC47" s="1"/>
      <c r="AE47" s="1"/>
      <c r="AG47" s="1"/>
    </row>
    <row r="48" spans="6:33" ht="12.75" customHeight="1" x14ac:dyDescent="0.2">
      <c r="F48" s="1"/>
      <c r="G48" s="1"/>
      <c r="J48" s="1"/>
      <c r="K48" s="1"/>
      <c r="L48" s="1"/>
      <c r="R48" s="1"/>
      <c r="AC48" s="1"/>
      <c r="AE48" s="1"/>
      <c r="AG48" s="1"/>
    </row>
    <row r="49" spans="6:33" ht="12.75" customHeight="1" x14ac:dyDescent="0.2">
      <c r="F49" s="1"/>
      <c r="G49" s="1"/>
      <c r="J49" s="1"/>
      <c r="K49" s="1"/>
      <c r="L49" s="1"/>
      <c r="R49" s="1"/>
      <c r="AC49" s="1"/>
      <c r="AE49" s="1"/>
      <c r="AG49" s="1"/>
    </row>
    <row r="50" spans="6:33" ht="12.75" customHeight="1" x14ac:dyDescent="0.2">
      <c r="F50" s="1"/>
      <c r="G50" s="1"/>
      <c r="J50" s="1"/>
      <c r="K50" s="1"/>
      <c r="L50" s="1"/>
      <c r="R50" s="1"/>
      <c r="AC50" s="1"/>
      <c r="AE50" s="1"/>
      <c r="AG50" s="1"/>
    </row>
    <row r="51" spans="6:33" ht="12.75" customHeight="1" x14ac:dyDescent="0.2">
      <c r="F51" s="1"/>
      <c r="G51" s="1"/>
      <c r="J51" s="1"/>
      <c r="K51" s="1"/>
      <c r="L51" s="1"/>
      <c r="R51" s="1"/>
      <c r="AC51" s="1"/>
      <c r="AE51" s="1"/>
      <c r="AG51" s="1"/>
    </row>
    <row r="52" spans="6:33" ht="12.75" customHeight="1" x14ac:dyDescent="0.2">
      <c r="F52" s="1"/>
      <c r="G52" s="1"/>
      <c r="J52" s="1"/>
      <c r="K52" s="1"/>
      <c r="L52" s="1"/>
      <c r="R52" s="1"/>
      <c r="AC52" s="1"/>
      <c r="AE52" s="1"/>
      <c r="AG52" s="1"/>
    </row>
    <row r="53" spans="6:33" ht="12.75" customHeight="1" x14ac:dyDescent="0.2">
      <c r="F53" s="1"/>
      <c r="G53" s="1"/>
      <c r="J53" s="1"/>
      <c r="K53" s="1"/>
      <c r="L53" s="1"/>
      <c r="R53" s="1"/>
      <c r="AC53" s="1"/>
      <c r="AE53" s="1"/>
      <c r="AG53" s="1"/>
    </row>
    <row r="54" spans="6:33" ht="12.75" customHeight="1" x14ac:dyDescent="0.2">
      <c r="F54" s="1"/>
      <c r="G54" s="1"/>
      <c r="J54" s="1"/>
      <c r="K54" s="1"/>
      <c r="L54" s="1"/>
      <c r="R54" s="1"/>
      <c r="AC54" s="1"/>
      <c r="AE54" s="1"/>
      <c r="AG54" s="1"/>
    </row>
    <row r="55" spans="6:33" ht="12.75" customHeight="1" x14ac:dyDescent="0.2">
      <c r="F55" s="1"/>
      <c r="G55" s="1"/>
      <c r="J55" s="1"/>
      <c r="K55" s="1"/>
      <c r="L55" s="1"/>
      <c r="R55" s="1"/>
      <c r="AC55" s="1"/>
      <c r="AE55" s="1"/>
      <c r="AG55" s="1"/>
    </row>
    <row r="56" spans="6:33" ht="12.75" customHeight="1" x14ac:dyDescent="0.2">
      <c r="F56" s="1"/>
      <c r="G56" s="1"/>
      <c r="J56" s="1"/>
      <c r="K56" s="1"/>
      <c r="L56" s="1"/>
      <c r="R56" s="1"/>
      <c r="AC56" s="1"/>
      <c r="AE56" s="1"/>
      <c r="AG56" s="1"/>
    </row>
    <row r="57" spans="6:33" ht="12.75" customHeight="1" x14ac:dyDescent="0.2">
      <c r="F57" s="1"/>
      <c r="G57" s="1"/>
      <c r="J57" s="1"/>
      <c r="K57" s="1"/>
      <c r="L57" s="1"/>
      <c r="R57" s="1"/>
      <c r="AC57" s="1"/>
      <c r="AE57" s="1"/>
      <c r="AG57" s="1"/>
    </row>
    <row r="58" spans="6:33" ht="12.75" customHeight="1" x14ac:dyDescent="0.2">
      <c r="F58" s="1"/>
      <c r="G58" s="1"/>
      <c r="J58" s="1"/>
      <c r="K58" s="1"/>
      <c r="L58" s="1"/>
      <c r="R58" s="1"/>
      <c r="AC58" s="1"/>
      <c r="AE58" s="1"/>
      <c r="AG58" s="1"/>
    </row>
    <row r="59" spans="6:33" ht="12.75" customHeight="1" x14ac:dyDescent="0.2">
      <c r="F59" s="1"/>
      <c r="G59" s="1"/>
      <c r="J59" s="1"/>
      <c r="K59" s="1"/>
      <c r="L59" s="1"/>
      <c r="R59" s="1"/>
      <c r="AC59" s="1"/>
      <c r="AE59" s="1"/>
      <c r="AG59" s="1"/>
    </row>
    <row r="60" spans="6:33" ht="12.75" customHeight="1" x14ac:dyDescent="0.2">
      <c r="F60" s="1"/>
      <c r="G60" s="1"/>
      <c r="J60" s="1"/>
      <c r="K60" s="1"/>
      <c r="L60" s="1"/>
      <c r="R60" s="1"/>
      <c r="AC60" s="1"/>
      <c r="AE60" s="1"/>
      <c r="AG60" s="1"/>
    </row>
    <row r="61" spans="6:33" ht="12.75" customHeight="1" x14ac:dyDescent="0.2">
      <c r="F61" s="1"/>
      <c r="G61" s="1"/>
      <c r="J61" s="1"/>
      <c r="K61" s="1"/>
      <c r="L61" s="1"/>
      <c r="R61" s="1"/>
      <c r="AC61" s="1"/>
      <c r="AE61" s="1"/>
      <c r="AG61" s="1"/>
    </row>
    <row r="62" spans="6:33" ht="12.75" customHeight="1" x14ac:dyDescent="0.2">
      <c r="F62" s="1"/>
      <c r="G62" s="1"/>
      <c r="J62" s="1"/>
      <c r="K62" s="1"/>
      <c r="L62" s="1"/>
      <c r="R62" s="1"/>
      <c r="AC62" s="1"/>
      <c r="AE62" s="1"/>
      <c r="AG62" s="1"/>
    </row>
    <row r="63" spans="6:33" ht="12.75" customHeight="1" x14ac:dyDescent="0.2">
      <c r="F63" s="1"/>
      <c r="G63" s="1"/>
      <c r="J63" s="1"/>
      <c r="K63" s="1"/>
      <c r="L63" s="1"/>
      <c r="R63" s="1"/>
      <c r="AC63" s="1"/>
      <c r="AE63" s="1"/>
      <c r="AG63" s="1"/>
    </row>
    <row r="64" spans="6:33" ht="12.75" customHeight="1" x14ac:dyDescent="0.2">
      <c r="F64" s="1"/>
      <c r="G64" s="1"/>
      <c r="J64" s="1"/>
      <c r="K64" s="1"/>
      <c r="L64" s="1"/>
      <c r="R64" s="1"/>
      <c r="AC64" s="1"/>
      <c r="AE64" s="1"/>
      <c r="AG64" s="1"/>
    </row>
    <row r="65" spans="6:33" ht="12.75" customHeight="1" x14ac:dyDescent="0.2">
      <c r="F65" s="1"/>
      <c r="G65" s="1"/>
      <c r="J65" s="1"/>
      <c r="K65" s="1"/>
      <c r="L65" s="1"/>
      <c r="R65" s="1"/>
      <c r="AC65" s="1"/>
      <c r="AE65" s="1"/>
      <c r="AG65" s="1"/>
    </row>
    <row r="66" spans="6:33" ht="12.75" customHeight="1" x14ac:dyDescent="0.2">
      <c r="F66" s="1"/>
      <c r="G66" s="1"/>
      <c r="J66" s="1"/>
      <c r="K66" s="1"/>
      <c r="L66" s="1"/>
      <c r="R66" s="1"/>
      <c r="AC66" s="1"/>
      <c r="AE66" s="1"/>
      <c r="AG66" s="1"/>
    </row>
    <row r="67" spans="6:33" ht="12.75" customHeight="1" x14ac:dyDescent="0.2">
      <c r="F67" s="1"/>
      <c r="G67" s="1"/>
      <c r="J67" s="1"/>
      <c r="K67" s="1"/>
      <c r="L67" s="1"/>
      <c r="R67" s="1"/>
      <c r="AC67" s="1"/>
      <c r="AE67" s="1"/>
      <c r="AG67" s="1"/>
    </row>
    <row r="68" spans="6:33" ht="12.75" customHeight="1" x14ac:dyDescent="0.2">
      <c r="F68" s="1"/>
      <c r="G68" s="1"/>
      <c r="J68" s="1"/>
      <c r="K68" s="1"/>
      <c r="L68" s="1"/>
      <c r="R68" s="1"/>
      <c r="AC68" s="1"/>
      <c r="AE68" s="1"/>
      <c r="AG68" s="1"/>
    </row>
    <row r="69" spans="6:33" ht="12.75" customHeight="1" x14ac:dyDescent="0.2">
      <c r="F69" s="1"/>
      <c r="G69" s="1"/>
      <c r="J69" s="1"/>
      <c r="K69" s="1"/>
      <c r="L69" s="1"/>
      <c r="R69" s="1"/>
      <c r="AC69" s="1"/>
      <c r="AE69" s="1"/>
      <c r="AG69" s="1"/>
    </row>
    <row r="70" spans="6:33" ht="12.75" customHeight="1" x14ac:dyDescent="0.2">
      <c r="F70" s="1"/>
      <c r="G70" s="1"/>
      <c r="J70" s="1"/>
      <c r="K70" s="1"/>
      <c r="L70" s="1"/>
      <c r="R70" s="1"/>
      <c r="AC70" s="1"/>
      <c r="AE70" s="1"/>
      <c r="AG70" s="1"/>
    </row>
    <row r="71" spans="6:33" ht="12.75" customHeight="1" x14ac:dyDescent="0.2">
      <c r="F71" s="1"/>
      <c r="G71" s="1"/>
      <c r="J71" s="1"/>
      <c r="K71" s="1"/>
      <c r="L71" s="1"/>
      <c r="R71" s="1"/>
      <c r="AC71" s="1"/>
      <c r="AE71" s="1"/>
      <c r="AG71" s="1"/>
    </row>
    <row r="72" spans="6:33" ht="12.75" customHeight="1" x14ac:dyDescent="0.2">
      <c r="F72" s="1"/>
      <c r="G72" s="1"/>
      <c r="J72" s="1"/>
      <c r="K72" s="1"/>
      <c r="L72" s="1"/>
      <c r="R72" s="1"/>
      <c r="AC72" s="1"/>
      <c r="AE72" s="1"/>
      <c r="AG72" s="1"/>
    </row>
    <row r="73" spans="6:33" ht="12.75" customHeight="1" x14ac:dyDescent="0.2">
      <c r="F73" s="1"/>
      <c r="G73" s="1"/>
      <c r="J73" s="1"/>
      <c r="K73" s="1"/>
      <c r="L73" s="1"/>
      <c r="R73" s="1"/>
      <c r="AC73" s="1"/>
      <c r="AE73" s="1"/>
      <c r="AG73" s="1"/>
    </row>
    <row r="74" spans="6:33" ht="12.75" customHeight="1" x14ac:dyDescent="0.2">
      <c r="F74" s="1"/>
      <c r="G74" s="1"/>
      <c r="J74" s="1"/>
      <c r="K74" s="1"/>
      <c r="L74" s="1"/>
      <c r="R74" s="1"/>
      <c r="AC74" s="1"/>
      <c r="AE74" s="1"/>
      <c r="AG74" s="1"/>
    </row>
    <row r="75" spans="6:33" ht="12.75" customHeight="1" x14ac:dyDescent="0.2">
      <c r="F75" s="1"/>
      <c r="G75" s="1"/>
      <c r="J75" s="1"/>
      <c r="K75" s="1"/>
      <c r="L75" s="1"/>
      <c r="R75" s="1"/>
      <c r="AC75" s="1"/>
      <c r="AE75" s="1"/>
      <c r="AG75" s="1"/>
    </row>
    <row r="76" spans="6:33" ht="12.75" customHeight="1" x14ac:dyDescent="0.2">
      <c r="F76" s="1"/>
      <c r="G76" s="1"/>
      <c r="J76" s="1"/>
      <c r="K76" s="1"/>
      <c r="L76" s="1"/>
      <c r="R76" s="1"/>
      <c r="AC76" s="1"/>
      <c r="AE76" s="1"/>
      <c r="AG76" s="1"/>
    </row>
    <row r="77" spans="6:33" ht="12.75" customHeight="1" x14ac:dyDescent="0.2">
      <c r="F77" s="1"/>
      <c r="G77" s="1"/>
      <c r="J77" s="1"/>
      <c r="K77" s="1"/>
      <c r="L77" s="1"/>
      <c r="R77" s="1"/>
      <c r="AC77" s="1"/>
      <c r="AE77" s="1"/>
      <c r="AG77" s="1"/>
    </row>
    <row r="78" spans="6:33" ht="12.75" customHeight="1" x14ac:dyDescent="0.2">
      <c r="F78" s="1"/>
      <c r="G78" s="1"/>
      <c r="J78" s="1"/>
      <c r="K78" s="1"/>
      <c r="L78" s="1"/>
      <c r="R78" s="1"/>
      <c r="AC78" s="1"/>
      <c r="AE78" s="1"/>
      <c r="AG78" s="1"/>
    </row>
    <row r="79" spans="6:33" ht="12.75" customHeight="1" x14ac:dyDescent="0.2">
      <c r="F79" s="1"/>
      <c r="G79" s="1"/>
      <c r="J79" s="1"/>
      <c r="K79" s="1"/>
      <c r="L79" s="1"/>
      <c r="R79" s="1"/>
      <c r="AC79" s="1"/>
      <c r="AE79" s="1"/>
      <c r="AG79" s="1"/>
    </row>
    <row r="80" spans="6:33" ht="12.75" customHeight="1" x14ac:dyDescent="0.2">
      <c r="F80" s="1"/>
      <c r="G80" s="1"/>
      <c r="J80" s="1"/>
      <c r="K80" s="1"/>
      <c r="L80" s="1"/>
      <c r="R80" s="1"/>
      <c r="AC80" s="1"/>
      <c r="AE80" s="1"/>
      <c r="AG80" s="1"/>
    </row>
    <row r="81" spans="6:33" ht="12.75" customHeight="1" x14ac:dyDescent="0.2">
      <c r="F81" s="1"/>
      <c r="G81" s="1"/>
      <c r="J81" s="1"/>
      <c r="K81" s="1"/>
      <c r="L81" s="1"/>
      <c r="R81" s="1"/>
      <c r="AC81" s="1"/>
      <c r="AE81" s="1"/>
      <c r="AG81" s="1"/>
    </row>
    <row r="82" spans="6:33" ht="12.75" customHeight="1" x14ac:dyDescent="0.2">
      <c r="F82" s="1"/>
      <c r="G82" s="1"/>
      <c r="J82" s="1"/>
      <c r="K82" s="1"/>
      <c r="L82" s="1"/>
      <c r="R82" s="1"/>
      <c r="AC82" s="1"/>
      <c r="AE82" s="1"/>
      <c r="AG82" s="1"/>
    </row>
    <row r="83" spans="6:33" ht="12.75" customHeight="1" x14ac:dyDescent="0.2">
      <c r="F83" s="1"/>
      <c r="G83" s="1"/>
      <c r="J83" s="1"/>
      <c r="K83" s="1"/>
      <c r="L83" s="1"/>
      <c r="R83" s="1"/>
      <c r="AC83" s="1"/>
      <c r="AE83" s="1"/>
      <c r="AG83" s="1"/>
    </row>
    <row r="84" spans="6:33" ht="12.75" customHeight="1" x14ac:dyDescent="0.2">
      <c r="F84" s="1"/>
      <c r="G84" s="1"/>
      <c r="J84" s="1"/>
      <c r="K84" s="1"/>
      <c r="L84" s="1"/>
      <c r="R84" s="1"/>
      <c r="AC84" s="1"/>
      <c r="AE84" s="1"/>
      <c r="AG84" s="1"/>
    </row>
    <row r="85" spans="6:33" ht="12.75" customHeight="1" x14ac:dyDescent="0.2">
      <c r="F85" s="1"/>
      <c r="G85" s="1"/>
      <c r="J85" s="1"/>
      <c r="K85" s="1"/>
      <c r="L85" s="1"/>
      <c r="R85" s="1"/>
      <c r="AC85" s="1"/>
      <c r="AE85" s="1"/>
      <c r="AG85" s="1"/>
    </row>
    <row r="86" spans="6:33" ht="12.75" customHeight="1" x14ac:dyDescent="0.2">
      <c r="F86" s="1"/>
      <c r="G86" s="1"/>
      <c r="J86" s="1"/>
      <c r="K86" s="1"/>
      <c r="L86" s="1"/>
      <c r="R86" s="1"/>
      <c r="AC86" s="1"/>
      <c r="AE86" s="1"/>
      <c r="AG86" s="1"/>
    </row>
    <row r="87" spans="6:33" ht="12.75" customHeight="1" x14ac:dyDescent="0.2">
      <c r="F87" s="1"/>
      <c r="G87" s="1"/>
      <c r="J87" s="1"/>
      <c r="K87" s="1"/>
      <c r="L87" s="1"/>
      <c r="R87" s="1"/>
      <c r="AC87" s="1"/>
      <c r="AE87" s="1"/>
      <c r="AG87" s="1"/>
    </row>
    <row r="88" spans="6:33" ht="12.75" customHeight="1" x14ac:dyDescent="0.2">
      <c r="F88" s="1"/>
      <c r="G88" s="1"/>
      <c r="J88" s="1"/>
      <c r="K88" s="1"/>
      <c r="L88" s="1"/>
      <c r="R88" s="1"/>
      <c r="AC88" s="1"/>
      <c r="AE88" s="1"/>
      <c r="AG88" s="1"/>
    </row>
    <row r="89" spans="6:33" ht="12.75" customHeight="1" x14ac:dyDescent="0.2">
      <c r="F89" s="1"/>
      <c r="G89" s="1"/>
      <c r="J89" s="1"/>
      <c r="K89" s="1"/>
      <c r="L89" s="1"/>
      <c r="R89" s="1"/>
      <c r="AC89" s="1"/>
      <c r="AE89" s="1"/>
      <c r="AG89" s="1"/>
    </row>
    <row r="90" spans="6:33" ht="12.75" customHeight="1" x14ac:dyDescent="0.2">
      <c r="F90" s="1"/>
      <c r="G90" s="1"/>
      <c r="J90" s="1"/>
      <c r="K90" s="1"/>
      <c r="L90" s="1"/>
      <c r="R90" s="1"/>
      <c r="AC90" s="1"/>
      <c r="AE90" s="1"/>
      <c r="AG90" s="1"/>
    </row>
    <row r="91" spans="6:33" ht="12.75" customHeight="1" x14ac:dyDescent="0.2">
      <c r="F91" s="1"/>
      <c r="G91" s="1"/>
      <c r="J91" s="1"/>
      <c r="K91" s="1"/>
      <c r="L91" s="1"/>
      <c r="R91" s="1"/>
      <c r="AC91" s="1"/>
      <c r="AE91" s="1"/>
      <c r="AG91" s="1"/>
    </row>
    <row r="92" spans="6:33" ht="12.75" customHeight="1" x14ac:dyDescent="0.2">
      <c r="F92" s="1"/>
      <c r="G92" s="1"/>
      <c r="J92" s="1"/>
      <c r="K92" s="1"/>
      <c r="L92" s="1"/>
      <c r="R92" s="1"/>
      <c r="AC92" s="1"/>
      <c r="AE92" s="1"/>
      <c r="AG92" s="1"/>
    </row>
    <row r="93" spans="6:33" ht="12.75" customHeight="1" x14ac:dyDescent="0.2">
      <c r="F93" s="1"/>
      <c r="G93" s="1"/>
      <c r="J93" s="1"/>
      <c r="K93" s="1"/>
      <c r="L93" s="1"/>
      <c r="R93" s="1"/>
      <c r="AC93" s="1"/>
      <c r="AE93" s="1"/>
      <c r="AG93" s="1"/>
    </row>
    <row r="94" spans="6:33" ht="12.75" customHeight="1" x14ac:dyDescent="0.2">
      <c r="F94" s="1"/>
      <c r="G94" s="1"/>
      <c r="J94" s="1"/>
      <c r="K94" s="1"/>
      <c r="L94" s="1"/>
      <c r="R94" s="1"/>
      <c r="AC94" s="1"/>
      <c r="AE94" s="1"/>
      <c r="AG94" s="1"/>
    </row>
    <row r="95" spans="6:33" ht="12.75" customHeight="1" x14ac:dyDescent="0.2">
      <c r="F95" s="1"/>
      <c r="G95" s="1"/>
      <c r="J95" s="1"/>
      <c r="K95" s="1"/>
      <c r="L95" s="1"/>
      <c r="R95" s="1"/>
      <c r="AC95" s="1"/>
      <c r="AE95" s="1"/>
      <c r="AG95" s="1"/>
    </row>
    <row r="96" spans="6:33" ht="12.75" customHeight="1" x14ac:dyDescent="0.2">
      <c r="F96" s="1"/>
      <c r="G96" s="1"/>
      <c r="J96" s="1"/>
      <c r="K96" s="1"/>
      <c r="L96" s="1"/>
      <c r="R96" s="1"/>
      <c r="AC96" s="1"/>
      <c r="AE96" s="1"/>
      <c r="AG96" s="1"/>
    </row>
    <row r="97" spans="6:33" ht="12.75" customHeight="1" x14ac:dyDescent="0.2">
      <c r="F97" s="1"/>
      <c r="G97" s="1"/>
      <c r="J97" s="1"/>
      <c r="K97" s="1"/>
      <c r="L97" s="1"/>
      <c r="R97" s="1"/>
      <c r="AC97" s="1"/>
      <c r="AE97" s="1"/>
      <c r="AG97" s="1"/>
    </row>
    <row r="98" spans="6:33" ht="12.75" customHeight="1" x14ac:dyDescent="0.2">
      <c r="F98" s="1"/>
      <c r="G98" s="1"/>
      <c r="J98" s="1"/>
      <c r="K98" s="1"/>
      <c r="L98" s="1"/>
      <c r="R98" s="1"/>
      <c r="AC98" s="1"/>
      <c r="AE98" s="1"/>
      <c r="AG98" s="1"/>
    </row>
    <row r="99" spans="6:33" ht="12.75" customHeight="1" x14ac:dyDescent="0.2">
      <c r="F99" s="1"/>
      <c r="G99" s="1"/>
      <c r="J99" s="1"/>
      <c r="K99" s="1"/>
      <c r="L99" s="1"/>
      <c r="R99" s="1"/>
      <c r="AC99" s="1"/>
      <c r="AE99" s="1"/>
      <c r="AG99" s="1"/>
    </row>
    <row r="100" spans="6:33" ht="12.75" customHeight="1" x14ac:dyDescent="0.2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ht="12.75" customHeight="1" x14ac:dyDescent="0.2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ht="12.75" customHeight="1" x14ac:dyDescent="0.2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ht="12.75" customHeight="1" x14ac:dyDescent="0.2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ht="12.75" customHeight="1" x14ac:dyDescent="0.2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ht="12.75" customHeight="1" x14ac:dyDescent="0.2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ht="12.75" customHeight="1" x14ac:dyDescent="0.2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ht="12.75" customHeight="1" x14ac:dyDescent="0.2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ht="12.75" customHeight="1" x14ac:dyDescent="0.2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ht="12.75" customHeight="1" x14ac:dyDescent="0.2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ht="12.75" customHeight="1" x14ac:dyDescent="0.2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ht="12.75" customHeight="1" x14ac:dyDescent="0.2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ht="12.75" customHeight="1" x14ac:dyDescent="0.2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ht="12.75" customHeight="1" x14ac:dyDescent="0.2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ht="12.75" customHeight="1" x14ac:dyDescent="0.2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ht="12.75" customHeight="1" x14ac:dyDescent="0.2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ht="12.75" customHeight="1" x14ac:dyDescent="0.2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ht="12.75" customHeight="1" x14ac:dyDescent="0.2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ht="12.75" customHeight="1" x14ac:dyDescent="0.2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ht="12.75" customHeight="1" x14ac:dyDescent="0.2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ht="12.75" customHeight="1" x14ac:dyDescent="0.2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ht="12.75" customHeight="1" x14ac:dyDescent="0.2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ht="12.75" customHeight="1" x14ac:dyDescent="0.2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ht="12.75" customHeight="1" x14ac:dyDescent="0.2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ht="12.75" customHeight="1" x14ac:dyDescent="0.2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ht="12.75" customHeight="1" x14ac:dyDescent="0.2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ht="12.75" customHeight="1" x14ac:dyDescent="0.2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ht="12.75" customHeight="1" x14ac:dyDescent="0.2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ht="12.75" customHeight="1" x14ac:dyDescent="0.2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ht="12.75" customHeight="1" x14ac:dyDescent="0.2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ht="12.75" customHeight="1" x14ac:dyDescent="0.2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ht="12.75" customHeight="1" x14ac:dyDescent="0.2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ht="12.75" customHeight="1" x14ac:dyDescent="0.2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ht="12.75" customHeight="1" x14ac:dyDescent="0.2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ht="12.75" customHeight="1" x14ac:dyDescent="0.2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ht="12.75" customHeight="1" x14ac:dyDescent="0.2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ht="12.75" customHeight="1" x14ac:dyDescent="0.2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ht="12.75" customHeight="1" x14ac:dyDescent="0.2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ht="12.75" customHeight="1" x14ac:dyDescent="0.2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ht="12.75" customHeight="1" x14ac:dyDescent="0.2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ht="12.75" customHeight="1" x14ac:dyDescent="0.2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ht="12.75" customHeight="1" x14ac:dyDescent="0.2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ht="12.75" customHeight="1" x14ac:dyDescent="0.2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ht="12.75" customHeight="1" x14ac:dyDescent="0.2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ht="12.75" customHeight="1" x14ac:dyDescent="0.2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ht="12.75" customHeight="1" x14ac:dyDescent="0.2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ht="12.75" customHeight="1" x14ac:dyDescent="0.2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ht="12.75" customHeight="1" x14ac:dyDescent="0.2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ht="12.75" customHeight="1" x14ac:dyDescent="0.2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ht="12.75" customHeight="1" x14ac:dyDescent="0.2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ht="12.75" customHeight="1" x14ac:dyDescent="0.2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ht="12.75" customHeight="1" x14ac:dyDescent="0.2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ht="12.75" customHeight="1" x14ac:dyDescent="0.2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ht="12.75" customHeight="1" x14ac:dyDescent="0.2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ht="12.75" customHeight="1" x14ac:dyDescent="0.2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ht="12.75" customHeight="1" x14ac:dyDescent="0.2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ht="12.75" customHeight="1" x14ac:dyDescent="0.2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ht="12.75" customHeight="1" x14ac:dyDescent="0.2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ht="12.75" customHeight="1" x14ac:dyDescent="0.2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ht="12.75" customHeight="1" x14ac:dyDescent="0.2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ht="12.75" customHeight="1" x14ac:dyDescent="0.2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ht="12.75" customHeight="1" x14ac:dyDescent="0.2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ht="12.75" customHeight="1" x14ac:dyDescent="0.2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ht="12.75" customHeight="1" x14ac:dyDescent="0.2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ht="12.75" customHeight="1" x14ac:dyDescent="0.2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ht="12.75" customHeight="1" x14ac:dyDescent="0.2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ht="12.75" customHeight="1" x14ac:dyDescent="0.2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ht="12.75" customHeight="1" x14ac:dyDescent="0.2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ht="12.75" customHeight="1" x14ac:dyDescent="0.2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ht="12.75" customHeight="1" x14ac:dyDescent="0.2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ht="12.75" customHeight="1" x14ac:dyDescent="0.2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ht="12.75" customHeight="1" x14ac:dyDescent="0.2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ht="12.75" customHeight="1" x14ac:dyDescent="0.2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ht="12.75" customHeight="1" x14ac:dyDescent="0.2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ht="12.75" customHeight="1" x14ac:dyDescent="0.2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ht="12.75" customHeight="1" x14ac:dyDescent="0.2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ht="12.75" customHeight="1" x14ac:dyDescent="0.2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ht="12.75" customHeight="1" x14ac:dyDescent="0.2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ht="12.75" customHeight="1" x14ac:dyDescent="0.2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ht="12.75" customHeight="1" x14ac:dyDescent="0.2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ht="12.75" customHeight="1" x14ac:dyDescent="0.2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ht="12.75" customHeight="1" x14ac:dyDescent="0.2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ht="12.75" customHeight="1" x14ac:dyDescent="0.2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ht="12.75" customHeight="1" x14ac:dyDescent="0.2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ht="12.75" customHeight="1" x14ac:dyDescent="0.2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ht="12.75" customHeight="1" x14ac:dyDescent="0.2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ht="12.75" customHeight="1" x14ac:dyDescent="0.2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ht="12.75" customHeight="1" x14ac:dyDescent="0.2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ht="12.75" customHeight="1" x14ac:dyDescent="0.2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ht="12.75" customHeight="1" x14ac:dyDescent="0.2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ht="12.75" customHeight="1" x14ac:dyDescent="0.2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ht="12.75" customHeight="1" x14ac:dyDescent="0.2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ht="12.75" customHeight="1" x14ac:dyDescent="0.2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ht="12.75" customHeight="1" x14ac:dyDescent="0.2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ht="12.75" customHeight="1" x14ac:dyDescent="0.2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ht="12.75" customHeight="1" x14ac:dyDescent="0.2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ht="12.75" customHeight="1" x14ac:dyDescent="0.2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ht="12.75" customHeight="1" x14ac:dyDescent="0.2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ht="12.75" customHeight="1" x14ac:dyDescent="0.2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ht="12.75" customHeight="1" x14ac:dyDescent="0.2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ht="12.75" customHeight="1" x14ac:dyDescent="0.2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ht="12.75" customHeight="1" x14ac:dyDescent="0.2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ht="12.75" customHeight="1" x14ac:dyDescent="0.2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ht="12.75" customHeight="1" x14ac:dyDescent="0.2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ht="12.75" customHeight="1" x14ac:dyDescent="0.2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ht="12.75" customHeight="1" x14ac:dyDescent="0.2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ht="12.75" customHeight="1" x14ac:dyDescent="0.2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ht="12.75" customHeight="1" x14ac:dyDescent="0.2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ht="12.75" customHeight="1" x14ac:dyDescent="0.2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ht="12.75" customHeight="1" x14ac:dyDescent="0.2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ht="12.75" customHeight="1" x14ac:dyDescent="0.2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ht="12.75" customHeight="1" x14ac:dyDescent="0.2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ht="12.75" customHeight="1" x14ac:dyDescent="0.2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ht="12.75" customHeight="1" x14ac:dyDescent="0.2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ht="12.75" customHeight="1" x14ac:dyDescent="0.2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ht="12.75" customHeight="1" x14ac:dyDescent="0.2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ht="12.75" customHeight="1" x14ac:dyDescent="0.2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ht="12.75" customHeight="1" x14ac:dyDescent="0.2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ht="12.75" customHeight="1" x14ac:dyDescent="0.2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ht="12.75" customHeight="1" x14ac:dyDescent="0.2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ht="12.75" customHeight="1" x14ac:dyDescent="0.2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ht="12.75" customHeight="1" x14ac:dyDescent="0.2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ht="12.75" customHeight="1" x14ac:dyDescent="0.2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ht="12.75" customHeight="1" x14ac:dyDescent="0.2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ht="12.75" customHeight="1" x14ac:dyDescent="0.2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ht="12.75" customHeight="1" x14ac:dyDescent="0.2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ht="12.75" customHeight="1" x14ac:dyDescent="0.2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ht="12.75" customHeight="1" x14ac:dyDescent="0.2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ht="12.75" customHeight="1" x14ac:dyDescent="0.2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ht="12.75" customHeight="1" x14ac:dyDescent="0.2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ht="12.75" customHeight="1" x14ac:dyDescent="0.2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ht="12.75" customHeight="1" x14ac:dyDescent="0.2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ht="12.75" customHeight="1" x14ac:dyDescent="0.2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ht="12.75" customHeight="1" x14ac:dyDescent="0.2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ht="12.75" customHeight="1" x14ac:dyDescent="0.2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ht="12.75" customHeight="1" x14ac:dyDescent="0.2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ht="12.75" customHeight="1" x14ac:dyDescent="0.2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ht="12.75" customHeight="1" x14ac:dyDescent="0.2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ht="12.75" customHeight="1" x14ac:dyDescent="0.2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ht="12.75" customHeight="1" x14ac:dyDescent="0.2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ht="12.75" customHeight="1" x14ac:dyDescent="0.2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ht="12.75" customHeight="1" x14ac:dyDescent="0.2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ht="12.75" customHeight="1" x14ac:dyDescent="0.2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ht="12.75" customHeight="1" x14ac:dyDescent="0.2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ht="12.75" customHeight="1" x14ac:dyDescent="0.2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ht="12.75" customHeight="1" x14ac:dyDescent="0.2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ht="12.75" customHeight="1" x14ac:dyDescent="0.2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ht="12.75" customHeight="1" x14ac:dyDescent="0.2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ht="12.75" customHeight="1" x14ac:dyDescent="0.2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ht="12.75" customHeight="1" x14ac:dyDescent="0.2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ht="12.75" customHeight="1" x14ac:dyDescent="0.2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ht="12.75" customHeight="1" x14ac:dyDescent="0.2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ht="12.75" customHeight="1" x14ac:dyDescent="0.2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ht="12.75" customHeight="1" x14ac:dyDescent="0.2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ht="12.75" customHeight="1" x14ac:dyDescent="0.2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ht="12.75" customHeight="1" x14ac:dyDescent="0.2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ht="12.75" customHeight="1" x14ac:dyDescent="0.2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ht="12.75" customHeight="1" x14ac:dyDescent="0.2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ht="12.75" customHeight="1" x14ac:dyDescent="0.2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ht="12.75" customHeight="1" x14ac:dyDescent="0.2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ht="12.75" customHeight="1" x14ac:dyDescent="0.2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ht="12.75" customHeight="1" x14ac:dyDescent="0.2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ht="12.75" customHeight="1" x14ac:dyDescent="0.2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ht="12.75" customHeight="1" x14ac:dyDescent="0.2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ht="12.75" customHeight="1" x14ac:dyDescent="0.2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ht="12.75" customHeight="1" x14ac:dyDescent="0.2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ht="12.75" customHeight="1" x14ac:dyDescent="0.2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ht="12.75" customHeight="1" x14ac:dyDescent="0.2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ht="12.75" customHeight="1" x14ac:dyDescent="0.2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ht="12.75" customHeight="1" x14ac:dyDescent="0.2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ht="12.75" customHeight="1" x14ac:dyDescent="0.2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ht="12.75" customHeight="1" x14ac:dyDescent="0.2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ht="12.75" customHeight="1" x14ac:dyDescent="0.2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ht="12.75" customHeight="1" x14ac:dyDescent="0.2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ht="12.75" customHeight="1" x14ac:dyDescent="0.2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ht="12.75" customHeight="1" x14ac:dyDescent="0.2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ht="12.75" customHeight="1" x14ac:dyDescent="0.2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ht="12.75" customHeight="1" x14ac:dyDescent="0.2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ht="12.75" customHeight="1" x14ac:dyDescent="0.2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ht="12.75" customHeight="1" x14ac:dyDescent="0.2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ht="12.75" customHeight="1" x14ac:dyDescent="0.2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ht="12.75" customHeight="1" x14ac:dyDescent="0.2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ht="12.75" customHeight="1" x14ac:dyDescent="0.2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ht="12.75" customHeight="1" x14ac:dyDescent="0.2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ht="12.75" customHeight="1" x14ac:dyDescent="0.2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ht="12.75" customHeight="1" x14ac:dyDescent="0.2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ht="12.75" customHeight="1" x14ac:dyDescent="0.2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ht="12.75" customHeight="1" x14ac:dyDescent="0.2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ht="12.75" customHeight="1" x14ac:dyDescent="0.2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ht="12.75" customHeight="1" x14ac:dyDescent="0.2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ht="12.75" customHeight="1" x14ac:dyDescent="0.2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ht="12.75" customHeight="1" x14ac:dyDescent="0.2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ht="12.75" customHeight="1" x14ac:dyDescent="0.2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ht="12.75" customHeight="1" x14ac:dyDescent="0.2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ht="12.75" customHeight="1" x14ac:dyDescent="0.2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ht="12.75" customHeight="1" x14ac:dyDescent="0.2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ht="12.75" customHeight="1" x14ac:dyDescent="0.2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ht="12.75" customHeight="1" x14ac:dyDescent="0.2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ht="12.75" customHeight="1" x14ac:dyDescent="0.2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ht="12.75" customHeight="1" x14ac:dyDescent="0.2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ht="12.75" customHeight="1" x14ac:dyDescent="0.2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ht="12.75" customHeight="1" x14ac:dyDescent="0.2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ht="12.75" customHeight="1" x14ac:dyDescent="0.2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ht="12.75" customHeight="1" x14ac:dyDescent="0.2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ht="12.75" customHeight="1" x14ac:dyDescent="0.2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ht="12.75" customHeight="1" x14ac:dyDescent="0.2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ht="12.75" customHeight="1" x14ac:dyDescent="0.2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ht="12.75" customHeight="1" x14ac:dyDescent="0.2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ht="12.75" customHeight="1" x14ac:dyDescent="0.2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ht="12.75" customHeight="1" x14ac:dyDescent="0.2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ht="12.75" customHeight="1" x14ac:dyDescent="0.2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ht="12.75" customHeight="1" x14ac:dyDescent="0.2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ht="12.75" customHeight="1" x14ac:dyDescent="0.2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ht="12.75" customHeight="1" x14ac:dyDescent="0.2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ht="12.75" customHeight="1" x14ac:dyDescent="0.2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ht="12.75" customHeight="1" x14ac:dyDescent="0.2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ht="12.75" customHeight="1" x14ac:dyDescent="0.2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ht="12.75" customHeight="1" x14ac:dyDescent="0.2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ht="12.75" customHeight="1" x14ac:dyDescent="0.2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ht="12.75" customHeight="1" x14ac:dyDescent="0.2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ht="12.75" customHeight="1" x14ac:dyDescent="0.2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ht="12.75" customHeight="1" x14ac:dyDescent="0.2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ht="12.75" customHeight="1" x14ac:dyDescent="0.2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ht="12.75" customHeight="1" x14ac:dyDescent="0.2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ht="12.75" customHeight="1" x14ac:dyDescent="0.2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ht="12.75" customHeight="1" x14ac:dyDescent="0.2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ht="12.75" customHeight="1" x14ac:dyDescent="0.2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ht="12.75" customHeight="1" x14ac:dyDescent="0.2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ht="12.75" customHeight="1" x14ac:dyDescent="0.2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ht="12.75" customHeight="1" x14ac:dyDescent="0.2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ht="12.75" customHeight="1" x14ac:dyDescent="0.2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ht="12.75" customHeight="1" x14ac:dyDescent="0.2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ht="12.75" customHeight="1" x14ac:dyDescent="0.2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ht="12.75" customHeight="1" x14ac:dyDescent="0.2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ht="12.75" customHeight="1" x14ac:dyDescent="0.2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ht="12.75" customHeight="1" x14ac:dyDescent="0.2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ht="12.75" customHeight="1" x14ac:dyDescent="0.2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ht="12.75" customHeight="1" x14ac:dyDescent="0.2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ht="12.75" customHeight="1" x14ac:dyDescent="0.2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ht="12.75" customHeight="1" x14ac:dyDescent="0.2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ht="12.75" customHeight="1" x14ac:dyDescent="0.2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ht="12.75" customHeight="1" x14ac:dyDescent="0.2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ht="12.75" customHeight="1" x14ac:dyDescent="0.2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ht="12.75" customHeight="1" x14ac:dyDescent="0.2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ht="12.75" customHeight="1" x14ac:dyDescent="0.2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ht="12.75" customHeight="1" x14ac:dyDescent="0.2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ht="12.75" customHeight="1" x14ac:dyDescent="0.2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ht="12.75" customHeight="1" x14ac:dyDescent="0.2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ht="12.75" customHeight="1" x14ac:dyDescent="0.2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ht="12.75" customHeight="1" x14ac:dyDescent="0.2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ht="12.75" customHeight="1" x14ac:dyDescent="0.2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ht="12.75" customHeight="1" x14ac:dyDescent="0.2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ht="12.75" customHeight="1" x14ac:dyDescent="0.2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ht="12.75" customHeight="1" x14ac:dyDescent="0.2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ht="12.75" customHeight="1" x14ac:dyDescent="0.2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ht="12.75" customHeight="1" x14ac:dyDescent="0.2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ht="12.75" customHeight="1" x14ac:dyDescent="0.2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ht="12.75" customHeight="1" x14ac:dyDescent="0.2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ht="12.75" customHeight="1" x14ac:dyDescent="0.2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ht="12.75" customHeight="1" x14ac:dyDescent="0.2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ht="12.75" customHeight="1" x14ac:dyDescent="0.2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ht="12.75" customHeight="1" x14ac:dyDescent="0.2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ht="12.75" customHeight="1" x14ac:dyDescent="0.2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ht="12.75" customHeight="1" x14ac:dyDescent="0.2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ht="12.75" customHeight="1" x14ac:dyDescent="0.2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ht="12.75" customHeight="1" x14ac:dyDescent="0.2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ht="12.75" customHeight="1" x14ac:dyDescent="0.2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ht="12.75" customHeight="1" x14ac:dyDescent="0.2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ht="12.75" customHeight="1" x14ac:dyDescent="0.2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ht="12.75" customHeight="1" x14ac:dyDescent="0.2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ht="12.75" customHeight="1" x14ac:dyDescent="0.2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ht="12.75" customHeight="1" x14ac:dyDescent="0.2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ht="12.75" customHeight="1" x14ac:dyDescent="0.2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ht="12.75" customHeight="1" x14ac:dyDescent="0.2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ht="12.75" customHeight="1" x14ac:dyDescent="0.2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ht="12.75" customHeight="1" x14ac:dyDescent="0.2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ht="12.75" customHeight="1" x14ac:dyDescent="0.2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ht="12.75" customHeight="1" x14ac:dyDescent="0.2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ht="12.75" customHeight="1" x14ac:dyDescent="0.2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ht="12.75" customHeight="1" x14ac:dyDescent="0.2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ht="12.75" customHeight="1" x14ac:dyDescent="0.2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ht="12.75" customHeight="1" x14ac:dyDescent="0.2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ht="12.75" customHeight="1" x14ac:dyDescent="0.2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ht="12.75" customHeight="1" x14ac:dyDescent="0.2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ht="12.75" customHeight="1" x14ac:dyDescent="0.2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ht="12.75" customHeight="1" x14ac:dyDescent="0.2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ht="12.75" customHeight="1" x14ac:dyDescent="0.2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ht="12.75" customHeight="1" x14ac:dyDescent="0.2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ht="12.75" customHeight="1" x14ac:dyDescent="0.2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ht="12.75" customHeight="1" x14ac:dyDescent="0.2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ht="12.75" customHeight="1" x14ac:dyDescent="0.2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ht="12.75" customHeight="1" x14ac:dyDescent="0.2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ht="12.75" customHeight="1" x14ac:dyDescent="0.2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ht="12.75" customHeight="1" x14ac:dyDescent="0.2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ht="12.75" customHeight="1" x14ac:dyDescent="0.2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ht="12.75" customHeight="1" x14ac:dyDescent="0.2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ht="12.75" customHeight="1" x14ac:dyDescent="0.2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ht="12.75" customHeight="1" x14ac:dyDescent="0.2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ht="12.75" customHeight="1" x14ac:dyDescent="0.2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ht="12.75" customHeight="1" x14ac:dyDescent="0.2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ht="12.75" customHeight="1" x14ac:dyDescent="0.2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ht="12.75" customHeight="1" x14ac:dyDescent="0.2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ht="12.75" customHeight="1" x14ac:dyDescent="0.2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ht="12.75" customHeight="1" x14ac:dyDescent="0.2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ht="12.75" customHeight="1" x14ac:dyDescent="0.2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ht="12.75" customHeight="1" x14ac:dyDescent="0.2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ht="12.75" customHeight="1" x14ac:dyDescent="0.2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ht="12.75" customHeight="1" x14ac:dyDescent="0.2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ht="12.75" customHeight="1" x14ac:dyDescent="0.2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ht="12.75" customHeight="1" x14ac:dyDescent="0.2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ht="12.75" customHeight="1" x14ac:dyDescent="0.2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ht="12.75" customHeight="1" x14ac:dyDescent="0.2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ht="12.75" customHeight="1" x14ac:dyDescent="0.2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ht="12.75" customHeight="1" x14ac:dyDescent="0.2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ht="12.75" customHeight="1" x14ac:dyDescent="0.2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ht="12.75" customHeight="1" x14ac:dyDescent="0.2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ht="12.75" customHeight="1" x14ac:dyDescent="0.2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ht="12.75" customHeight="1" x14ac:dyDescent="0.2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ht="12.75" customHeight="1" x14ac:dyDescent="0.2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ht="12.75" customHeight="1" x14ac:dyDescent="0.2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ht="12.75" customHeight="1" x14ac:dyDescent="0.2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ht="12.75" customHeight="1" x14ac:dyDescent="0.2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ht="12.75" customHeight="1" x14ac:dyDescent="0.2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ht="12.75" customHeight="1" x14ac:dyDescent="0.2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ht="12.75" customHeight="1" x14ac:dyDescent="0.2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ht="12.75" customHeight="1" x14ac:dyDescent="0.2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ht="12.75" customHeight="1" x14ac:dyDescent="0.2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ht="12.75" customHeight="1" x14ac:dyDescent="0.2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ht="12.75" customHeight="1" x14ac:dyDescent="0.2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ht="12.75" customHeight="1" x14ac:dyDescent="0.2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ht="12.75" customHeight="1" x14ac:dyDescent="0.2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ht="12.75" customHeight="1" x14ac:dyDescent="0.2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ht="12.75" customHeight="1" x14ac:dyDescent="0.2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ht="12.75" customHeight="1" x14ac:dyDescent="0.2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ht="12.75" customHeight="1" x14ac:dyDescent="0.2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ht="12.75" customHeight="1" x14ac:dyDescent="0.2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ht="12.75" customHeight="1" x14ac:dyDescent="0.2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ht="12.75" customHeight="1" x14ac:dyDescent="0.2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ht="12.75" customHeight="1" x14ac:dyDescent="0.2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ht="12.75" customHeight="1" x14ac:dyDescent="0.2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ht="12.75" customHeight="1" x14ac:dyDescent="0.2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ht="12.75" customHeight="1" x14ac:dyDescent="0.2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ht="12.75" customHeight="1" x14ac:dyDescent="0.2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ht="12.75" customHeight="1" x14ac:dyDescent="0.2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ht="12.75" customHeight="1" x14ac:dyDescent="0.2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ht="12.75" customHeight="1" x14ac:dyDescent="0.2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ht="12.75" customHeight="1" x14ac:dyDescent="0.2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ht="12.75" customHeight="1" x14ac:dyDescent="0.2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ht="12.75" customHeight="1" x14ac:dyDescent="0.2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ht="12.75" customHeight="1" x14ac:dyDescent="0.2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ht="12.75" customHeight="1" x14ac:dyDescent="0.2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ht="12.75" customHeight="1" x14ac:dyDescent="0.2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ht="12.75" customHeight="1" x14ac:dyDescent="0.2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ht="12.75" customHeight="1" x14ac:dyDescent="0.2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ht="12.75" customHeight="1" x14ac:dyDescent="0.2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ht="12.75" customHeight="1" x14ac:dyDescent="0.2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ht="12.75" customHeight="1" x14ac:dyDescent="0.2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ht="12.75" customHeight="1" x14ac:dyDescent="0.2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ht="12.75" customHeight="1" x14ac:dyDescent="0.2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ht="12.75" customHeight="1" x14ac:dyDescent="0.2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ht="12.75" customHeight="1" x14ac:dyDescent="0.2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ht="12.75" customHeight="1" x14ac:dyDescent="0.2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ht="12.75" customHeight="1" x14ac:dyDescent="0.2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ht="12.75" customHeight="1" x14ac:dyDescent="0.2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ht="12.75" customHeight="1" x14ac:dyDescent="0.2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ht="12.75" customHeight="1" x14ac:dyDescent="0.2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ht="12.75" customHeight="1" x14ac:dyDescent="0.2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ht="12.75" customHeight="1" x14ac:dyDescent="0.2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ht="12.75" customHeight="1" x14ac:dyDescent="0.2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ht="12.75" customHeight="1" x14ac:dyDescent="0.2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ht="12.75" customHeight="1" x14ac:dyDescent="0.2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ht="12.75" customHeight="1" x14ac:dyDescent="0.2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ht="12.75" customHeight="1" x14ac:dyDescent="0.2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ht="12.75" customHeight="1" x14ac:dyDescent="0.2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ht="12.75" customHeight="1" x14ac:dyDescent="0.2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ht="12.75" customHeight="1" x14ac:dyDescent="0.2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ht="12.75" customHeight="1" x14ac:dyDescent="0.2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ht="12.75" customHeight="1" x14ac:dyDescent="0.2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ht="12.75" customHeight="1" x14ac:dyDescent="0.2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ht="12.75" customHeight="1" x14ac:dyDescent="0.2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ht="12.75" customHeight="1" x14ac:dyDescent="0.2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ht="12.75" customHeight="1" x14ac:dyDescent="0.2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ht="12.75" customHeight="1" x14ac:dyDescent="0.2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ht="12.75" customHeight="1" x14ac:dyDescent="0.2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ht="12.75" customHeight="1" x14ac:dyDescent="0.2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ht="12.75" customHeight="1" x14ac:dyDescent="0.2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ht="12.75" customHeight="1" x14ac:dyDescent="0.2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ht="12.75" customHeight="1" x14ac:dyDescent="0.2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ht="12.75" customHeight="1" x14ac:dyDescent="0.2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ht="12.75" customHeight="1" x14ac:dyDescent="0.2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ht="12.75" customHeight="1" x14ac:dyDescent="0.2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ht="12.75" customHeight="1" x14ac:dyDescent="0.2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ht="12.75" customHeight="1" x14ac:dyDescent="0.2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ht="12.75" customHeight="1" x14ac:dyDescent="0.2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ht="12.75" customHeight="1" x14ac:dyDescent="0.2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ht="12.75" customHeight="1" x14ac:dyDescent="0.2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ht="12.75" customHeight="1" x14ac:dyDescent="0.2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ht="12.75" customHeight="1" x14ac:dyDescent="0.2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ht="12.75" customHeight="1" x14ac:dyDescent="0.2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ht="12.75" customHeight="1" x14ac:dyDescent="0.2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ht="12.75" customHeight="1" x14ac:dyDescent="0.2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ht="12.75" customHeight="1" x14ac:dyDescent="0.2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ht="12.75" customHeight="1" x14ac:dyDescent="0.2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ht="12.75" customHeight="1" x14ac:dyDescent="0.2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ht="12.75" customHeight="1" x14ac:dyDescent="0.2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ht="12.75" customHeight="1" x14ac:dyDescent="0.2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ht="12.75" customHeight="1" x14ac:dyDescent="0.2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ht="12.75" customHeight="1" x14ac:dyDescent="0.2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ht="12.75" customHeight="1" x14ac:dyDescent="0.2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ht="12.75" customHeight="1" x14ac:dyDescent="0.2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ht="12.75" customHeight="1" x14ac:dyDescent="0.2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ht="12.75" customHeight="1" x14ac:dyDescent="0.2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ht="12.75" customHeight="1" x14ac:dyDescent="0.2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ht="12.75" customHeight="1" x14ac:dyDescent="0.2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ht="12.75" customHeight="1" x14ac:dyDescent="0.2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ht="12.75" customHeight="1" x14ac:dyDescent="0.2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ht="12.75" customHeight="1" x14ac:dyDescent="0.2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ht="12.75" customHeight="1" x14ac:dyDescent="0.2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ht="12.75" customHeight="1" x14ac:dyDescent="0.2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ht="12.75" customHeight="1" x14ac:dyDescent="0.2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ht="12.75" customHeight="1" x14ac:dyDescent="0.2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ht="12.75" customHeight="1" x14ac:dyDescent="0.2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ht="12.75" customHeight="1" x14ac:dyDescent="0.2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ht="12.75" customHeight="1" x14ac:dyDescent="0.2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ht="12.75" customHeight="1" x14ac:dyDescent="0.2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ht="12.75" customHeight="1" x14ac:dyDescent="0.2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ht="12.75" customHeight="1" x14ac:dyDescent="0.2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ht="12.75" customHeight="1" x14ac:dyDescent="0.2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ht="12.75" customHeight="1" x14ac:dyDescent="0.2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ht="12.75" customHeight="1" x14ac:dyDescent="0.2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ht="12.75" customHeight="1" x14ac:dyDescent="0.2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ht="12.75" customHeight="1" x14ac:dyDescent="0.2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ht="12.75" customHeight="1" x14ac:dyDescent="0.2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ht="12.75" customHeight="1" x14ac:dyDescent="0.2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ht="12.75" customHeight="1" x14ac:dyDescent="0.2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ht="12.75" customHeight="1" x14ac:dyDescent="0.2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ht="12.75" customHeight="1" x14ac:dyDescent="0.2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ht="12.75" customHeight="1" x14ac:dyDescent="0.2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ht="12.75" customHeight="1" x14ac:dyDescent="0.2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ht="12.75" customHeight="1" x14ac:dyDescent="0.2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ht="12.75" customHeight="1" x14ac:dyDescent="0.2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ht="12.75" customHeight="1" x14ac:dyDescent="0.2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ht="12.75" customHeight="1" x14ac:dyDescent="0.2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ht="12.75" customHeight="1" x14ac:dyDescent="0.2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ht="12.75" customHeight="1" x14ac:dyDescent="0.2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ht="12.75" customHeight="1" x14ac:dyDescent="0.2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ht="12.75" customHeight="1" x14ac:dyDescent="0.2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ht="12.75" customHeight="1" x14ac:dyDescent="0.2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ht="12.75" customHeight="1" x14ac:dyDescent="0.2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ht="12.75" customHeight="1" x14ac:dyDescent="0.2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ht="12.75" customHeight="1" x14ac:dyDescent="0.2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ht="12.75" customHeight="1" x14ac:dyDescent="0.2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ht="12.75" customHeight="1" x14ac:dyDescent="0.2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ht="12.75" customHeight="1" x14ac:dyDescent="0.2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ht="12.75" customHeight="1" x14ac:dyDescent="0.2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ht="12.75" customHeight="1" x14ac:dyDescent="0.2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ht="12.75" customHeight="1" x14ac:dyDescent="0.2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ht="12.75" customHeight="1" x14ac:dyDescent="0.2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ht="12.75" customHeight="1" x14ac:dyDescent="0.2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ht="12.75" customHeight="1" x14ac:dyDescent="0.2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ht="12.75" customHeight="1" x14ac:dyDescent="0.2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ht="12.75" customHeight="1" x14ac:dyDescent="0.2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ht="12.75" customHeight="1" x14ac:dyDescent="0.2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ht="12.75" customHeight="1" x14ac:dyDescent="0.2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ht="12.75" customHeight="1" x14ac:dyDescent="0.2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ht="12.75" customHeight="1" x14ac:dyDescent="0.2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ht="12.75" customHeight="1" x14ac:dyDescent="0.2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ht="12.75" customHeight="1" x14ac:dyDescent="0.2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ht="12.75" customHeight="1" x14ac:dyDescent="0.2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ht="12.75" customHeight="1" x14ac:dyDescent="0.2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ht="12.75" customHeight="1" x14ac:dyDescent="0.2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ht="12.75" customHeight="1" x14ac:dyDescent="0.2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ht="12.75" customHeight="1" x14ac:dyDescent="0.2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ht="12.75" customHeight="1" x14ac:dyDescent="0.2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ht="12.75" customHeight="1" x14ac:dyDescent="0.2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ht="12.75" customHeight="1" x14ac:dyDescent="0.2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ht="12.75" customHeight="1" x14ac:dyDescent="0.2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ht="12.75" customHeight="1" x14ac:dyDescent="0.2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ht="12.75" customHeight="1" x14ac:dyDescent="0.2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ht="12.75" customHeight="1" x14ac:dyDescent="0.2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ht="12.75" customHeight="1" x14ac:dyDescent="0.2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ht="12.75" customHeight="1" x14ac:dyDescent="0.2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ht="12.75" customHeight="1" x14ac:dyDescent="0.2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ht="12.75" customHeight="1" x14ac:dyDescent="0.2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ht="12.75" customHeight="1" x14ac:dyDescent="0.2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ht="12.75" customHeight="1" x14ac:dyDescent="0.2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ht="12.75" customHeight="1" x14ac:dyDescent="0.2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ht="12.75" customHeight="1" x14ac:dyDescent="0.2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ht="12.75" customHeight="1" x14ac:dyDescent="0.2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ht="12.75" customHeight="1" x14ac:dyDescent="0.2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ht="12.75" customHeight="1" x14ac:dyDescent="0.2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ht="12.75" customHeight="1" x14ac:dyDescent="0.2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ht="12.75" customHeight="1" x14ac:dyDescent="0.2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ht="12.75" customHeight="1" x14ac:dyDescent="0.2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ht="12.75" customHeight="1" x14ac:dyDescent="0.2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ht="12.75" customHeight="1" x14ac:dyDescent="0.2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ht="12.75" customHeight="1" x14ac:dyDescent="0.2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ht="12.75" customHeight="1" x14ac:dyDescent="0.2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ht="12.75" customHeight="1" x14ac:dyDescent="0.2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ht="12.75" customHeight="1" x14ac:dyDescent="0.2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ht="12.75" customHeight="1" x14ac:dyDescent="0.2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ht="12.75" customHeight="1" x14ac:dyDescent="0.2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ht="12.75" customHeight="1" x14ac:dyDescent="0.2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ht="12.75" customHeight="1" x14ac:dyDescent="0.2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ht="12.75" customHeight="1" x14ac:dyDescent="0.2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ht="12.75" customHeight="1" x14ac:dyDescent="0.2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ht="12.75" customHeight="1" x14ac:dyDescent="0.2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ht="12.75" customHeight="1" x14ac:dyDescent="0.2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ht="12.75" customHeight="1" x14ac:dyDescent="0.2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ht="12.75" customHeight="1" x14ac:dyDescent="0.2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ht="12.75" customHeight="1" x14ac:dyDescent="0.2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ht="12.75" customHeight="1" x14ac:dyDescent="0.2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ht="12.75" customHeight="1" x14ac:dyDescent="0.2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ht="12.75" customHeight="1" x14ac:dyDescent="0.2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ht="12.75" customHeight="1" x14ac:dyDescent="0.2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ht="12.75" customHeight="1" x14ac:dyDescent="0.2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ht="12.75" customHeight="1" x14ac:dyDescent="0.2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ht="12.75" customHeight="1" x14ac:dyDescent="0.2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ht="12.75" customHeight="1" x14ac:dyDescent="0.2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ht="12.75" customHeight="1" x14ac:dyDescent="0.2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ht="12.75" customHeight="1" x14ac:dyDescent="0.2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ht="12.75" customHeight="1" x14ac:dyDescent="0.2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ht="12.75" customHeight="1" x14ac:dyDescent="0.2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ht="12.75" customHeight="1" x14ac:dyDescent="0.2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ht="12.75" customHeight="1" x14ac:dyDescent="0.2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ht="12.75" customHeight="1" x14ac:dyDescent="0.2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ht="12.75" customHeight="1" x14ac:dyDescent="0.2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ht="12.75" customHeight="1" x14ac:dyDescent="0.2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ht="12.75" customHeight="1" x14ac:dyDescent="0.2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ht="12.75" customHeight="1" x14ac:dyDescent="0.2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ht="12.75" customHeight="1" x14ac:dyDescent="0.2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ht="12.75" customHeight="1" x14ac:dyDescent="0.2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ht="12.75" customHeight="1" x14ac:dyDescent="0.2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ht="12.75" customHeight="1" x14ac:dyDescent="0.2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ht="12.75" customHeight="1" x14ac:dyDescent="0.2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ht="12.75" customHeight="1" x14ac:dyDescent="0.2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ht="12.75" customHeight="1" x14ac:dyDescent="0.2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ht="12.75" customHeight="1" x14ac:dyDescent="0.2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ht="12.75" customHeight="1" x14ac:dyDescent="0.2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ht="12.75" customHeight="1" x14ac:dyDescent="0.2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ht="12.75" customHeight="1" x14ac:dyDescent="0.2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ht="12.75" customHeight="1" x14ac:dyDescent="0.2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ht="12.75" customHeight="1" x14ac:dyDescent="0.2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ht="12.75" customHeight="1" x14ac:dyDescent="0.2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ht="12.75" customHeight="1" x14ac:dyDescent="0.2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ht="12.75" customHeight="1" x14ac:dyDescent="0.2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ht="12.75" customHeight="1" x14ac:dyDescent="0.2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ht="12.75" customHeight="1" x14ac:dyDescent="0.2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ht="12.75" customHeight="1" x14ac:dyDescent="0.2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ht="12.75" customHeight="1" x14ac:dyDescent="0.2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ht="12.75" customHeight="1" x14ac:dyDescent="0.2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ht="12.75" customHeight="1" x14ac:dyDescent="0.2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ht="12.75" customHeight="1" x14ac:dyDescent="0.2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ht="12.75" customHeight="1" x14ac:dyDescent="0.2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ht="12.75" customHeight="1" x14ac:dyDescent="0.2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ht="12.75" customHeight="1" x14ac:dyDescent="0.2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ht="12.75" customHeight="1" x14ac:dyDescent="0.2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ht="12.75" customHeight="1" x14ac:dyDescent="0.2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ht="12.75" customHeight="1" x14ac:dyDescent="0.2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ht="12.75" customHeight="1" x14ac:dyDescent="0.2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ht="12.75" customHeight="1" x14ac:dyDescent="0.2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ht="12.75" customHeight="1" x14ac:dyDescent="0.2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ht="12.75" customHeight="1" x14ac:dyDescent="0.2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ht="12.75" customHeight="1" x14ac:dyDescent="0.2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ht="12.75" customHeight="1" x14ac:dyDescent="0.2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ht="12.75" customHeight="1" x14ac:dyDescent="0.2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ht="12.75" customHeight="1" x14ac:dyDescent="0.2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ht="12.75" customHeight="1" x14ac:dyDescent="0.2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ht="12.75" customHeight="1" x14ac:dyDescent="0.2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ht="12.75" customHeight="1" x14ac:dyDescent="0.2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ht="12.75" customHeight="1" x14ac:dyDescent="0.2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ht="12.75" customHeight="1" x14ac:dyDescent="0.2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ht="12.75" customHeight="1" x14ac:dyDescent="0.2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ht="12.75" customHeight="1" x14ac:dyDescent="0.2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ht="12.75" customHeight="1" x14ac:dyDescent="0.2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ht="12.75" customHeight="1" x14ac:dyDescent="0.2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ht="12.75" customHeight="1" x14ac:dyDescent="0.2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ht="12.75" customHeight="1" x14ac:dyDescent="0.2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ht="12.75" customHeight="1" x14ac:dyDescent="0.2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ht="12.75" customHeight="1" x14ac:dyDescent="0.2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ht="12.75" customHeight="1" x14ac:dyDescent="0.2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ht="12.75" customHeight="1" x14ac:dyDescent="0.2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ht="12.75" customHeight="1" x14ac:dyDescent="0.2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ht="12.75" customHeight="1" x14ac:dyDescent="0.2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ht="12.75" customHeight="1" x14ac:dyDescent="0.2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ht="12.75" customHeight="1" x14ac:dyDescent="0.2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ht="12.75" customHeight="1" x14ac:dyDescent="0.2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ht="12.75" customHeight="1" x14ac:dyDescent="0.2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ht="12.75" customHeight="1" x14ac:dyDescent="0.2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ht="12.75" customHeight="1" x14ac:dyDescent="0.2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ht="12.75" customHeight="1" x14ac:dyDescent="0.2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ht="12.75" customHeight="1" x14ac:dyDescent="0.2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ht="12.75" customHeight="1" x14ac:dyDescent="0.2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ht="12.75" customHeight="1" x14ac:dyDescent="0.2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ht="12.75" customHeight="1" x14ac:dyDescent="0.2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ht="12.75" customHeight="1" x14ac:dyDescent="0.2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ht="12.75" customHeight="1" x14ac:dyDescent="0.2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ht="12.75" customHeight="1" x14ac:dyDescent="0.2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ht="12.75" customHeight="1" x14ac:dyDescent="0.2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ht="12.75" customHeight="1" x14ac:dyDescent="0.2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ht="12.75" customHeight="1" x14ac:dyDescent="0.2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ht="12.75" customHeight="1" x14ac:dyDescent="0.2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ht="12.75" customHeight="1" x14ac:dyDescent="0.2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ht="12.75" customHeight="1" x14ac:dyDescent="0.2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ht="12.75" customHeight="1" x14ac:dyDescent="0.2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ht="12.75" customHeight="1" x14ac:dyDescent="0.2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ht="12.75" customHeight="1" x14ac:dyDescent="0.2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ht="12.75" customHeight="1" x14ac:dyDescent="0.2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ht="12.75" customHeight="1" x14ac:dyDescent="0.2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ht="12.75" customHeight="1" x14ac:dyDescent="0.2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ht="12.75" customHeight="1" x14ac:dyDescent="0.2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ht="12.75" customHeight="1" x14ac:dyDescent="0.2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ht="12.75" customHeight="1" x14ac:dyDescent="0.2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ht="12.75" customHeight="1" x14ac:dyDescent="0.2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ht="12.75" customHeight="1" x14ac:dyDescent="0.2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ht="12.75" customHeight="1" x14ac:dyDescent="0.2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ht="12.75" customHeight="1" x14ac:dyDescent="0.2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ht="12.75" customHeight="1" x14ac:dyDescent="0.2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ht="12.75" customHeight="1" x14ac:dyDescent="0.2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ht="12.75" customHeight="1" x14ac:dyDescent="0.2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ht="12.75" customHeight="1" x14ac:dyDescent="0.2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ht="12.75" customHeight="1" x14ac:dyDescent="0.2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ht="12.75" customHeight="1" x14ac:dyDescent="0.2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ht="12.75" customHeight="1" x14ac:dyDescent="0.2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ht="12.75" customHeight="1" x14ac:dyDescent="0.2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ht="12.75" customHeight="1" x14ac:dyDescent="0.2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ht="12.75" customHeight="1" x14ac:dyDescent="0.2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ht="12.75" customHeight="1" x14ac:dyDescent="0.2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ht="12.75" customHeight="1" x14ac:dyDescent="0.2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ht="12.75" customHeight="1" x14ac:dyDescent="0.2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ht="12.75" customHeight="1" x14ac:dyDescent="0.2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ht="12.75" customHeight="1" x14ac:dyDescent="0.2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ht="12.75" customHeight="1" x14ac:dyDescent="0.2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ht="12.75" customHeight="1" x14ac:dyDescent="0.2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ht="12.75" customHeight="1" x14ac:dyDescent="0.2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ht="12.75" customHeight="1" x14ac:dyDescent="0.2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ht="12.75" customHeight="1" x14ac:dyDescent="0.2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ht="12.75" customHeight="1" x14ac:dyDescent="0.2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ht="12.75" customHeight="1" x14ac:dyDescent="0.2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ht="12.75" customHeight="1" x14ac:dyDescent="0.2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ht="12.75" customHeight="1" x14ac:dyDescent="0.2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ht="12.75" customHeight="1" x14ac:dyDescent="0.2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ht="12.75" customHeight="1" x14ac:dyDescent="0.2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ht="12.75" customHeight="1" x14ac:dyDescent="0.2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ht="12.75" customHeight="1" x14ac:dyDescent="0.2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ht="12.75" customHeight="1" x14ac:dyDescent="0.2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ht="12.75" customHeight="1" x14ac:dyDescent="0.2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ht="12.75" customHeight="1" x14ac:dyDescent="0.2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ht="12.75" customHeight="1" x14ac:dyDescent="0.2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ht="12.75" customHeight="1" x14ac:dyDescent="0.2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ht="12.75" customHeight="1" x14ac:dyDescent="0.2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ht="12.75" customHeight="1" x14ac:dyDescent="0.2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ht="12.75" customHeight="1" x14ac:dyDescent="0.2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ht="12.75" customHeight="1" x14ac:dyDescent="0.2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ht="12.75" customHeight="1" x14ac:dyDescent="0.2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ht="12.75" customHeight="1" x14ac:dyDescent="0.2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ht="12.75" customHeight="1" x14ac:dyDescent="0.2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ht="12.75" customHeight="1" x14ac:dyDescent="0.2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ht="12.75" customHeight="1" x14ac:dyDescent="0.2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ht="12.75" customHeight="1" x14ac:dyDescent="0.2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ht="12.75" customHeight="1" x14ac:dyDescent="0.2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ht="12.75" customHeight="1" x14ac:dyDescent="0.2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ht="12.75" customHeight="1" x14ac:dyDescent="0.2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ht="12.75" customHeight="1" x14ac:dyDescent="0.2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ht="12.75" customHeight="1" x14ac:dyDescent="0.2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ht="12.75" customHeight="1" x14ac:dyDescent="0.2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ht="12.75" customHeight="1" x14ac:dyDescent="0.2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ht="12.75" customHeight="1" x14ac:dyDescent="0.2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ht="12.75" customHeight="1" x14ac:dyDescent="0.2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ht="12.75" customHeight="1" x14ac:dyDescent="0.2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ht="12.75" customHeight="1" x14ac:dyDescent="0.2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ht="12.75" customHeight="1" x14ac:dyDescent="0.2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ht="12.75" customHeight="1" x14ac:dyDescent="0.2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ht="12.75" customHeight="1" x14ac:dyDescent="0.2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ht="12.75" customHeight="1" x14ac:dyDescent="0.2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ht="12.75" customHeight="1" x14ac:dyDescent="0.2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ht="12.75" customHeight="1" x14ac:dyDescent="0.2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ht="12.75" customHeight="1" x14ac:dyDescent="0.2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ht="12.75" customHeight="1" x14ac:dyDescent="0.2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ht="12.75" customHeight="1" x14ac:dyDescent="0.2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ht="12.75" customHeight="1" x14ac:dyDescent="0.2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ht="12.75" customHeight="1" x14ac:dyDescent="0.2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ht="12.75" customHeight="1" x14ac:dyDescent="0.2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ht="12.75" customHeight="1" x14ac:dyDescent="0.2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ht="12.75" customHeight="1" x14ac:dyDescent="0.2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ht="12.75" customHeight="1" x14ac:dyDescent="0.2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ht="12.75" customHeight="1" x14ac:dyDescent="0.2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ht="12.75" customHeight="1" x14ac:dyDescent="0.2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ht="12.75" customHeight="1" x14ac:dyDescent="0.2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ht="12.75" customHeight="1" x14ac:dyDescent="0.2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ht="12.75" customHeight="1" x14ac:dyDescent="0.2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ht="12.75" customHeight="1" x14ac:dyDescent="0.2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ht="12.75" customHeight="1" x14ac:dyDescent="0.2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ht="12.75" customHeight="1" x14ac:dyDescent="0.2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ht="12.75" customHeight="1" x14ac:dyDescent="0.2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ht="12.75" customHeight="1" x14ac:dyDescent="0.2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ht="12.75" customHeight="1" x14ac:dyDescent="0.2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ht="12.75" customHeight="1" x14ac:dyDescent="0.2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ht="12.75" customHeight="1" x14ac:dyDescent="0.2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ht="12.75" customHeight="1" x14ac:dyDescent="0.2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ht="12.75" customHeight="1" x14ac:dyDescent="0.2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ht="12.75" customHeight="1" x14ac:dyDescent="0.2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ht="12.75" customHeight="1" x14ac:dyDescent="0.2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ht="12.75" customHeight="1" x14ac:dyDescent="0.2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ht="12.75" customHeight="1" x14ac:dyDescent="0.2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ht="12.75" customHeight="1" x14ac:dyDescent="0.2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ht="12.75" customHeight="1" x14ac:dyDescent="0.2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ht="12.75" customHeight="1" x14ac:dyDescent="0.2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ht="12.75" customHeight="1" x14ac:dyDescent="0.2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ht="12.75" customHeight="1" x14ac:dyDescent="0.2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ht="12.75" customHeight="1" x14ac:dyDescent="0.2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ht="12.75" customHeight="1" x14ac:dyDescent="0.2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ht="12.75" customHeight="1" x14ac:dyDescent="0.2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ht="12.75" customHeight="1" x14ac:dyDescent="0.2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ht="12.75" customHeight="1" x14ac:dyDescent="0.2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ht="12.75" customHeight="1" x14ac:dyDescent="0.2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ht="12.75" customHeight="1" x14ac:dyDescent="0.2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ht="12.75" customHeight="1" x14ac:dyDescent="0.2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ht="12.75" customHeight="1" x14ac:dyDescent="0.2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ht="12.75" customHeight="1" x14ac:dyDescent="0.2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ht="12.75" customHeight="1" x14ac:dyDescent="0.2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ht="12.75" customHeight="1" x14ac:dyDescent="0.2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ht="12.75" customHeight="1" x14ac:dyDescent="0.2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ht="12.75" customHeight="1" x14ac:dyDescent="0.2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ht="12.75" customHeight="1" x14ac:dyDescent="0.2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ht="12.75" customHeight="1" x14ac:dyDescent="0.2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ht="12.75" customHeight="1" x14ac:dyDescent="0.2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ht="12.75" customHeight="1" x14ac:dyDescent="0.2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ht="12.75" customHeight="1" x14ac:dyDescent="0.2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ht="12.75" customHeight="1" x14ac:dyDescent="0.2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ht="12.75" customHeight="1" x14ac:dyDescent="0.2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ht="12.75" customHeight="1" x14ac:dyDescent="0.2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ht="12.75" customHeight="1" x14ac:dyDescent="0.2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ht="12.75" customHeight="1" x14ac:dyDescent="0.2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ht="12.75" customHeight="1" x14ac:dyDescent="0.2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ht="12.75" customHeight="1" x14ac:dyDescent="0.2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ht="12.75" customHeight="1" x14ac:dyDescent="0.2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ht="12.75" customHeight="1" x14ac:dyDescent="0.2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ht="12.75" customHeight="1" x14ac:dyDescent="0.2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ht="12.75" customHeight="1" x14ac:dyDescent="0.2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ht="12.75" customHeight="1" x14ac:dyDescent="0.2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ht="12.75" customHeight="1" x14ac:dyDescent="0.2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ht="12.75" customHeight="1" x14ac:dyDescent="0.2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ht="12.75" customHeight="1" x14ac:dyDescent="0.2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ht="12.75" customHeight="1" x14ac:dyDescent="0.2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ht="12.75" customHeight="1" x14ac:dyDescent="0.2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ht="12.75" customHeight="1" x14ac:dyDescent="0.2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ht="12.75" customHeight="1" x14ac:dyDescent="0.2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ht="12.75" customHeight="1" x14ac:dyDescent="0.2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ht="12.75" customHeight="1" x14ac:dyDescent="0.2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ht="12.75" customHeight="1" x14ac:dyDescent="0.2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ht="12.75" customHeight="1" x14ac:dyDescent="0.2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ht="12.75" customHeight="1" x14ac:dyDescent="0.2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ht="12.75" customHeight="1" x14ac:dyDescent="0.2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ht="12.75" customHeight="1" x14ac:dyDescent="0.2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ht="12.75" customHeight="1" x14ac:dyDescent="0.2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ht="12.75" customHeight="1" x14ac:dyDescent="0.2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ht="12.75" customHeight="1" x14ac:dyDescent="0.2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ht="12.75" customHeight="1" x14ac:dyDescent="0.2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ht="12.75" customHeight="1" x14ac:dyDescent="0.2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ht="12.75" customHeight="1" x14ac:dyDescent="0.2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ht="12.75" customHeight="1" x14ac:dyDescent="0.2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ht="12.75" customHeight="1" x14ac:dyDescent="0.2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ht="12.75" customHeight="1" x14ac:dyDescent="0.2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ht="12.75" customHeight="1" x14ac:dyDescent="0.2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ht="12.75" customHeight="1" x14ac:dyDescent="0.2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ht="12.75" customHeight="1" x14ac:dyDescent="0.2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ht="12.75" customHeight="1" x14ac:dyDescent="0.2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ht="12.75" customHeight="1" x14ac:dyDescent="0.2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ht="12.75" customHeight="1" x14ac:dyDescent="0.2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ht="12.75" customHeight="1" x14ac:dyDescent="0.2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ht="12.75" customHeight="1" x14ac:dyDescent="0.2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ht="12.75" customHeight="1" x14ac:dyDescent="0.2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ht="12.75" customHeight="1" x14ac:dyDescent="0.2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ht="12.75" customHeight="1" x14ac:dyDescent="0.2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ht="12.75" customHeight="1" x14ac:dyDescent="0.2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ht="12.75" customHeight="1" x14ac:dyDescent="0.2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ht="12.75" customHeight="1" x14ac:dyDescent="0.2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ht="12.75" customHeight="1" x14ac:dyDescent="0.2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ht="12.75" customHeight="1" x14ac:dyDescent="0.2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ht="12.75" customHeight="1" x14ac:dyDescent="0.2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ht="12.75" customHeight="1" x14ac:dyDescent="0.2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ht="12.75" customHeight="1" x14ac:dyDescent="0.2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ht="12.75" customHeight="1" x14ac:dyDescent="0.2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ht="12.75" customHeight="1" x14ac:dyDescent="0.2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ht="12.75" customHeight="1" x14ac:dyDescent="0.2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ht="12.75" customHeight="1" x14ac:dyDescent="0.2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ht="12.75" customHeight="1" x14ac:dyDescent="0.2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ht="12.75" customHeight="1" x14ac:dyDescent="0.2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ht="12.75" customHeight="1" x14ac:dyDescent="0.2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ht="12.75" customHeight="1" x14ac:dyDescent="0.2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ht="12.75" customHeight="1" x14ac:dyDescent="0.2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ht="12.75" customHeight="1" x14ac:dyDescent="0.2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ht="12.75" customHeight="1" x14ac:dyDescent="0.2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ht="12.75" customHeight="1" x14ac:dyDescent="0.2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ht="12.75" customHeight="1" x14ac:dyDescent="0.2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ht="12.75" customHeight="1" x14ac:dyDescent="0.2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ht="12.75" customHeight="1" x14ac:dyDescent="0.2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ht="12.75" customHeight="1" x14ac:dyDescent="0.2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ht="12.75" customHeight="1" x14ac:dyDescent="0.2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ht="12.75" customHeight="1" x14ac:dyDescent="0.2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ht="12.75" customHeight="1" x14ac:dyDescent="0.2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ht="12.75" customHeight="1" x14ac:dyDescent="0.2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ht="12.75" customHeight="1" x14ac:dyDescent="0.2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ht="12.75" customHeight="1" x14ac:dyDescent="0.2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ht="12.75" customHeight="1" x14ac:dyDescent="0.2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ht="12.75" customHeight="1" x14ac:dyDescent="0.2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ht="12.75" customHeight="1" x14ac:dyDescent="0.2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ht="12.75" customHeight="1" x14ac:dyDescent="0.2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ht="12.75" customHeight="1" x14ac:dyDescent="0.2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ht="12.75" customHeight="1" x14ac:dyDescent="0.2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ht="12.75" customHeight="1" x14ac:dyDescent="0.2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ht="12.75" customHeight="1" x14ac:dyDescent="0.2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ht="12.75" customHeight="1" x14ac:dyDescent="0.2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ht="12.75" customHeight="1" x14ac:dyDescent="0.2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ht="12.75" customHeight="1" x14ac:dyDescent="0.2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ht="12.75" customHeight="1" x14ac:dyDescent="0.2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ht="12.75" customHeight="1" x14ac:dyDescent="0.2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ht="12.75" customHeight="1" x14ac:dyDescent="0.2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ht="12.75" customHeight="1" x14ac:dyDescent="0.2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ht="12.75" customHeight="1" x14ac:dyDescent="0.2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ht="12.75" customHeight="1" x14ac:dyDescent="0.2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ht="12.75" customHeight="1" x14ac:dyDescent="0.2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ht="12.75" customHeight="1" x14ac:dyDescent="0.2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ht="12.75" customHeight="1" x14ac:dyDescent="0.2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ht="12.75" customHeight="1" x14ac:dyDescent="0.2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ht="12.75" customHeight="1" x14ac:dyDescent="0.2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ht="12.75" customHeight="1" x14ac:dyDescent="0.2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ht="12.75" customHeight="1" x14ac:dyDescent="0.2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ht="12.75" customHeight="1" x14ac:dyDescent="0.2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ht="12.75" customHeight="1" x14ac:dyDescent="0.2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ht="12.75" customHeight="1" x14ac:dyDescent="0.2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ht="12.75" customHeight="1" x14ac:dyDescent="0.2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ht="12.75" customHeight="1" x14ac:dyDescent="0.2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ht="12.75" customHeight="1" x14ac:dyDescent="0.2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ht="12.75" customHeight="1" x14ac:dyDescent="0.2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ht="12.75" customHeight="1" x14ac:dyDescent="0.2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ht="12.75" customHeight="1" x14ac:dyDescent="0.2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ht="12.75" customHeight="1" x14ac:dyDescent="0.2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ht="12.75" customHeight="1" x14ac:dyDescent="0.2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ht="12.75" customHeight="1" x14ac:dyDescent="0.2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ht="12.75" customHeight="1" x14ac:dyDescent="0.2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ht="12.75" customHeight="1" x14ac:dyDescent="0.2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ht="12.75" customHeight="1" x14ac:dyDescent="0.2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ht="12.75" customHeight="1" x14ac:dyDescent="0.2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ht="12.75" customHeight="1" x14ac:dyDescent="0.2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ht="12.75" customHeight="1" x14ac:dyDescent="0.2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ht="12.75" customHeight="1" x14ac:dyDescent="0.2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ht="12.75" customHeight="1" x14ac:dyDescent="0.2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ht="12.75" customHeight="1" x14ac:dyDescent="0.2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ht="12.75" customHeight="1" x14ac:dyDescent="0.2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ht="12.75" customHeight="1" x14ac:dyDescent="0.2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ht="12.75" customHeight="1" x14ac:dyDescent="0.2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ht="12.75" customHeight="1" x14ac:dyDescent="0.2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ht="12.75" customHeight="1" x14ac:dyDescent="0.2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ht="12.75" customHeight="1" x14ac:dyDescent="0.2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ht="12.75" customHeight="1" x14ac:dyDescent="0.2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ht="12.75" customHeight="1" x14ac:dyDescent="0.2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ht="12.75" customHeight="1" x14ac:dyDescent="0.2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ht="12.75" customHeight="1" x14ac:dyDescent="0.2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ht="12.75" customHeight="1" x14ac:dyDescent="0.2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ht="12.75" customHeight="1" x14ac:dyDescent="0.2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ht="12.75" customHeight="1" x14ac:dyDescent="0.2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ht="12.75" customHeight="1" x14ac:dyDescent="0.2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ht="12.75" customHeight="1" x14ac:dyDescent="0.2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ht="12.75" customHeight="1" x14ac:dyDescent="0.2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ht="12.75" customHeight="1" x14ac:dyDescent="0.2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ht="12.75" customHeight="1" x14ac:dyDescent="0.2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ht="12.75" customHeight="1" x14ac:dyDescent="0.2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ht="12.75" customHeight="1" x14ac:dyDescent="0.2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ht="12.75" customHeight="1" x14ac:dyDescent="0.2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ht="12.75" customHeight="1" x14ac:dyDescent="0.2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ht="12.75" customHeight="1" x14ac:dyDescent="0.2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ht="12.75" customHeight="1" x14ac:dyDescent="0.2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ht="12.75" customHeight="1" x14ac:dyDescent="0.2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ht="12.75" customHeight="1" x14ac:dyDescent="0.2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ht="12.75" customHeight="1" x14ac:dyDescent="0.2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ht="12.75" customHeight="1" x14ac:dyDescent="0.2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ht="12.75" customHeight="1" x14ac:dyDescent="0.2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ht="12.75" customHeight="1" x14ac:dyDescent="0.2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ht="12.75" customHeight="1" x14ac:dyDescent="0.2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ht="12.75" customHeight="1" x14ac:dyDescent="0.2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ht="12.75" customHeight="1" x14ac:dyDescent="0.2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ht="12.75" customHeight="1" x14ac:dyDescent="0.2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ht="12.75" customHeight="1" x14ac:dyDescent="0.2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ht="12.75" customHeight="1" x14ac:dyDescent="0.2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ht="12.75" customHeight="1" x14ac:dyDescent="0.2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ht="12.75" customHeight="1" x14ac:dyDescent="0.2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ht="12.75" customHeight="1" x14ac:dyDescent="0.2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ht="12.75" customHeight="1" x14ac:dyDescent="0.2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ht="12.75" customHeight="1" x14ac:dyDescent="0.2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ht="12.75" customHeight="1" x14ac:dyDescent="0.2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ht="12.75" customHeight="1" x14ac:dyDescent="0.2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ht="12.75" customHeight="1" x14ac:dyDescent="0.2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ht="12.75" customHeight="1" x14ac:dyDescent="0.2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ht="12.75" customHeight="1" x14ac:dyDescent="0.2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ht="12.75" customHeight="1" x14ac:dyDescent="0.2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ht="12.75" customHeight="1" x14ac:dyDescent="0.2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ht="12.75" customHeight="1" x14ac:dyDescent="0.2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ht="12.75" customHeight="1" x14ac:dyDescent="0.2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ht="12.75" customHeight="1" x14ac:dyDescent="0.2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ht="12.75" customHeight="1" x14ac:dyDescent="0.2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ht="12.75" customHeight="1" x14ac:dyDescent="0.2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ht="12.75" customHeight="1" x14ac:dyDescent="0.2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ht="12.75" customHeight="1" x14ac:dyDescent="0.2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ht="12.75" customHeight="1" x14ac:dyDescent="0.2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ht="12.75" customHeight="1" x14ac:dyDescent="0.2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ht="12.75" customHeight="1" x14ac:dyDescent="0.2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ht="12.75" customHeight="1" x14ac:dyDescent="0.2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ht="12.75" customHeight="1" x14ac:dyDescent="0.2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ht="12.75" customHeight="1" x14ac:dyDescent="0.2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ht="12.75" customHeight="1" x14ac:dyDescent="0.2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ht="12.75" customHeight="1" x14ac:dyDescent="0.2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ht="12.75" customHeight="1" x14ac:dyDescent="0.2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ht="12.75" customHeight="1" x14ac:dyDescent="0.2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ht="12.75" customHeight="1" x14ac:dyDescent="0.2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ht="12.75" customHeight="1" x14ac:dyDescent="0.2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ht="12.75" customHeight="1" x14ac:dyDescent="0.2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ht="12.75" customHeight="1" x14ac:dyDescent="0.2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ht="12.75" customHeight="1" x14ac:dyDescent="0.2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ht="12.75" customHeight="1" x14ac:dyDescent="0.2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ht="12.75" customHeight="1" x14ac:dyDescent="0.2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ht="12.75" customHeight="1" x14ac:dyDescent="0.2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ht="12.75" customHeight="1" x14ac:dyDescent="0.2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ht="12.75" customHeight="1" x14ac:dyDescent="0.2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ht="12.75" customHeight="1" x14ac:dyDescent="0.2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ht="12.75" customHeight="1" x14ac:dyDescent="0.2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ht="12.75" customHeight="1" x14ac:dyDescent="0.2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ht="12.75" customHeight="1" x14ac:dyDescent="0.2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ht="12.75" customHeight="1" x14ac:dyDescent="0.2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ht="12.75" customHeight="1" x14ac:dyDescent="0.2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ht="12.75" customHeight="1" x14ac:dyDescent="0.2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ht="12.75" customHeight="1" x14ac:dyDescent="0.2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ht="12.75" customHeight="1" x14ac:dyDescent="0.2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ht="12.75" customHeight="1" x14ac:dyDescent="0.2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ht="12.75" customHeight="1" x14ac:dyDescent="0.2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ht="12.75" customHeight="1" x14ac:dyDescent="0.2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ht="12.75" customHeight="1" x14ac:dyDescent="0.2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ht="12.75" customHeight="1" x14ac:dyDescent="0.2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ht="12.75" customHeight="1" x14ac:dyDescent="0.2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ht="12.75" customHeight="1" x14ac:dyDescent="0.2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ht="12.75" customHeight="1" x14ac:dyDescent="0.2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ht="12.75" customHeight="1" x14ac:dyDescent="0.2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ht="12.75" customHeight="1" x14ac:dyDescent="0.2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ht="12.75" customHeight="1" x14ac:dyDescent="0.2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ht="12.75" customHeight="1" x14ac:dyDescent="0.2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ht="12.75" customHeight="1" x14ac:dyDescent="0.2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ht="12.75" customHeight="1" x14ac:dyDescent="0.2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ht="12.75" customHeight="1" x14ac:dyDescent="0.2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ht="12.75" customHeight="1" x14ac:dyDescent="0.2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ht="12.75" customHeight="1" x14ac:dyDescent="0.2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ht="12.75" customHeight="1" x14ac:dyDescent="0.2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ht="12.75" customHeight="1" x14ac:dyDescent="0.2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ht="12.75" customHeight="1" x14ac:dyDescent="0.2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ht="12.75" customHeight="1" x14ac:dyDescent="0.2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ht="12.75" customHeight="1" x14ac:dyDescent="0.2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ht="12.75" customHeight="1" x14ac:dyDescent="0.2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ht="12.75" customHeight="1" x14ac:dyDescent="0.2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ht="12.75" customHeight="1" x14ac:dyDescent="0.2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ht="12.75" customHeight="1" x14ac:dyDescent="0.2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ht="12.75" customHeight="1" x14ac:dyDescent="0.2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ht="12.75" customHeight="1" x14ac:dyDescent="0.2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ht="12.75" customHeight="1" x14ac:dyDescent="0.2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ht="12.75" customHeight="1" x14ac:dyDescent="0.2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ht="12.75" customHeight="1" x14ac:dyDescent="0.2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ht="12.75" customHeight="1" x14ac:dyDescent="0.2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ht="12.75" customHeight="1" x14ac:dyDescent="0.2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ht="12.75" customHeight="1" x14ac:dyDescent="0.2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ht="12.75" customHeight="1" x14ac:dyDescent="0.2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ht="12.75" customHeight="1" x14ac:dyDescent="0.2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ht="12.75" customHeight="1" x14ac:dyDescent="0.2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ht="12.75" customHeight="1" x14ac:dyDescent="0.2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ht="12.75" customHeight="1" x14ac:dyDescent="0.2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ht="12.75" customHeight="1" x14ac:dyDescent="0.2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ht="12.75" customHeight="1" x14ac:dyDescent="0.2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ht="12.75" customHeight="1" x14ac:dyDescent="0.2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ht="12.75" customHeight="1" x14ac:dyDescent="0.2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ht="12.75" customHeight="1" x14ac:dyDescent="0.2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ht="12.75" customHeight="1" x14ac:dyDescent="0.2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ht="12.75" customHeight="1" x14ac:dyDescent="0.2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ht="12.75" customHeight="1" x14ac:dyDescent="0.2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ht="12.75" customHeight="1" x14ac:dyDescent="0.2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ht="12.75" customHeight="1" x14ac:dyDescent="0.2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ht="12.75" customHeight="1" x14ac:dyDescent="0.2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ht="12.75" customHeight="1" x14ac:dyDescent="0.2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ht="12.75" customHeight="1" x14ac:dyDescent="0.2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ht="12.75" customHeight="1" x14ac:dyDescent="0.2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ht="12.75" customHeight="1" x14ac:dyDescent="0.2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ht="12.75" customHeight="1" x14ac:dyDescent="0.2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ht="12.75" customHeight="1" x14ac:dyDescent="0.2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ht="12.75" customHeight="1" x14ac:dyDescent="0.2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ht="12.75" customHeight="1" x14ac:dyDescent="0.2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ht="12.75" customHeight="1" x14ac:dyDescent="0.2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ht="12.75" customHeight="1" x14ac:dyDescent="0.2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ht="12.75" customHeight="1" x14ac:dyDescent="0.2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ht="12.75" customHeight="1" x14ac:dyDescent="0.2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ht="12.75" customHeight="1" x14ac:dyDescent="0.2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ht="12.75" customHeight="1" x14ac:dyDescent="0.2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ht="12.75" customHeight="1" x14ac:dyDescent="0.2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ht="12.75" customHeight="1" x14ac:dyDescent="0.2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ht="12.75" customHeight="1" x14ac:dyDescent="0.2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ht="12.75" customHeight="1" x14ac:dyDescent="0.2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ht="12.75" customHeight="1" x14ac:dyDescent="0.2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ht="12.75" customHeight="1" x14ac:dyDescent="0.2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ht="12.75" customHeight="1" x14ac:dyDescent="0.2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ht="12.75" customHeight="1" x14ac:dyDescent="0.2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ht="12.75" customHeight="1" x14ac:dyDescent="0.2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ht="12.75" customHeight="1" x14ac:dyDescent="0.2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ht="12.75" customHeight="1" x14ac:dyDescent="0.2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ht="12.75" customHeight="1" x14ac:dyDescent="0.2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ht="12.75" customHeight="1" x14ac:dyDescent="0.2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ht="12.75" customHeight="1" x14ac:dyDescent="0.2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ht="12.75" customHeight="1" x14ac:dyDescent="0.2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ht="12.75" customHeight="1" x14ac:dyDescent="0.2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ht="12.75" customHeight="1" x14ac:dyDescent="0.2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ht="12.75" customHeight="1" x14ac:dyDescent="0.2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ht="12.75" customHeight="1" x14ac:dyDescent="0.2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ht="12.75" customHeight="1" x14ac:dyDescent="0.2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ht="12.75" customHeight="1" x14ac:dyDescent="0.2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ht="12.75" customHeight="1" x14ac:dyDescent="0.2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ht="12.75" customHeight="1" x14ac:dyDescent="0.2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ht="12.75" customHeight="1" x14ac:dyDescent="0.2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ht="12.75" customHeight="1" x14ac:dyDescent="0.2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ht="12.75" customHeight="1" x14ac:dyDescent="0.2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ht="12.75" customHeight="1" x14ac:dyDescent="0.2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ht="12.75" customHeight="1" x14ac:dyDescent="0.2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ht="12.75" customHeight="1" x14ac:dyDescent="0.2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ht="12.75" customHeight="1" x14ac:dyDescent="0.2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ht="12.75" customHeight="1" x14ac:dyDescent="0.2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ht="12.75" customHeight="1" x14ac:dyDescent="0.2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ht="12.75" customHeight="1" x14ac:dyDescent="0.2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ht="12.75" customHeight="1" x14ac:dyDescent="0.2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ht="12.75" customHeight="1" x14ac:dyDescent="0.2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ht="12.75" customHeight="1" x14ac:dyDescent="0.2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ht="12.75" customHeight="1" x14ac:dyDescent="0.2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ht="12.75" customHeight="1" x14ac:dyDescent="0.2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ht="12.75" customHeight="1" x14ac:dyDescent="0.2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ht="12.75" customHeight="1" x14ac:dyDescent="0.2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ht="12.75" customHeight="1" x14ac:dyDescent="0.2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ht="12.75" customHeight="1" x14ac:dyDescent="0.2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ht="12.75" customHeight="1" x14ac:dyDescent="0.2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ht="12.75" customHeight="1" x14ac:dyDescent="0.2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ht="12.75" customHeight="1" x14ac:dyDescent="0.2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ht="12.75" customHeight="1" x14ac:dyDescent="0.2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ht="12.75" customHeight="1" x14ac:dyDescent="0.2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ht="12.75" customHeight="1" x14ac:dyDescent="0.2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ht="12.75" customHeight="1" x14ac:dyDescent="0.2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ht="12.75" customHeight="1" x14ac:dyDescent="0.2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ht="12.75" customHeight="1" x14ac:dyDescent="0.2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ht="12.75" customHeight="1" x14ac:dyDescent="0.2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ht="12.75" customHeight="1" x14ac:dyDescent="0.2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ht="12.75" customHeight="1" x14ac:dyDescent="0.2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ht="12.75" customHeight="1" x14ac:dyDescent="0.2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ht="12.75" customHeight="1" x14ac:dyDescent="0.2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ht="12.75" customHeight="1" x14ac:dyDescent="0.2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ht="12.75" customHeight="1" x14ac:dyDescent="0.2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ht="12.75" customHeight="1" x14ac:dyDescent="0.2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ht="12.75" customHeight="1" x14ac:dyDescent="0.2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ht="12.75" customHeight="1" x14ac:dyDescent="0.2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ht="12.75" customHeight="1" x14ac:dyDescent="0.2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ht="12.75" customHeight="1" x14ac:dyDescent="0.2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ht="12.75" customHeight="1" x14ac:dyDescent="0.2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ht="12.75" customHeight="1" x14ac:dyDescent="0.2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ht="12.75" customHeight="1" x14ac:dyDescent="0.2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ht="12.75" customHeight="1" x14ac:dyDescent="0.2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ht="12.75" customHeight="1" x14ac:dyDescent="0.2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ht="12.75" customHeight="1" x14ac:dyDescent="0.2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ht="12.75" customHeight="1" x14ac:dyDescent="0.2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ht="12.75" customHeight="1" x14ac:dyDescent="0.2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ht="12.75" customHeight="1" x14ac:dyDescent="0.2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ht="12.75" customHeight="1" x14ac:dyDescent="0.2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ht="12.75" customHeight="1" x14ac:dyDescent="0.2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ht="12.75" customHeight="1" x14ac:dyDescent="0.2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ht="12.75" customHeight="1" x14ac:dyDescent="0.2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ht="12.75" customHeight="1" x14ac:dyDescent="0.2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ht="12.75" customHeight="1" x14ac:dyDescent="0.2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ht="12.75" customHeight="1" x14ac:dyDescent="0.2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ht="12.75" customHeight="1" x14ac:dyDescent="0.2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ht="12.75" customHeight="1" x14ac:dyDescent="0.2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ht="12.75" customHeight="1" x14ac:dyDescent="0.2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ht="12.75" customHeight="1" x14ac:dyDescent="0.2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ht="12.75" customHeight="1" x14ac:dyDescent="0.2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ht="12.75" customHeight="1" x14ac:dyDescent="0.2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ht="12.75" customHeight="1" x14ac:dyDescent="0.2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ht="12.75" customHeight="1" x14ac:dyDescent="0.2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ht="12.75" customHeight="1" x14ac:dyDescent="0.2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ht="12.75" customHeight="1" x14ac:dyDescent="0.2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ht="12.75" customHeight="1" x14ac:dyDescent="0.2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ht="12.75" customHeight="1" x14ac:dyDescent="0.2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ht="12.75" customHeight="1" x14ac:dyDescent="0.2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ht="12.75" customHeight="1" x14ac:dyDescent="0.2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ht="12.75" customHeight="1" x14ac:dyDescent="0.2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ht="12.75" customHeight="1" x14ac:dyDescent="0.2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ht="12.75" customHeight="1" x14ac:dyDescent="0.2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ht="12.75" customHeight="1" x14ac:dyDescent="0.2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ht="12.75" customHeight="1" x14ac:dyDescent="0.2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ht="12.75" customHeight="1" x14ac:dyDescent="0.2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ht="12.75" customHeight="1" x14ac:dyDescent="0.2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ht="12.75" customHeight="1" x14ac:dyDescent="0.2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ht="12.75" customHeight="1" x14ac:dyDescent="0.2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ht="12.75" customHeight="1" x14ac:dyDescent="0.2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ht="12.75" customHeight="1" x14ac:dyDescent="0.2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ht="12.75" customHeight="1" x14ac:dyDescent="0.2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ht="12.75" customHeight="1" x14ac:dyDescent="0.2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ht="12.75" customHeight="1" x14ac:dyDescent="0.2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ht="12.75" customHeight="1" x14ac:dyDescent="0.2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ht="12.75" customHeight="1" x14ac:dyDescent="0.2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ht="12.75" customHeight="1" x14ac:dyDescent="0.2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ht="12.75" customHeight="1" x14ac:dyDescent="0.2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ht="12.75" customHeight="1" x14ac:dyDescent="0.2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ht="12.75" customHeight="1" x14ac:dyDescent="0.2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ht="12.75" customHeight="1" x14ac:dyDescent="0.2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ht="12.75" customHeight="1" x14ac:dyDescent="0.2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ht="12.75" customHeight="1" x14ac:dyDescent="0.2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ht="12.75" customHeight="1" x14ac:dyDescent="0.2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ht="12.75" customHeight="1" x14ac:dyDescent="0.2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ht="12.75" customHeight="1" x14ac:dyDescent="0.2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ht="12.75" customHeight="1" x14ac:dyDescent="0.2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ht="12.75" customHeight="1" x14ac:dyDescent="0.2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ht="12.75" customHeight="1" x14ac:dyDescent="0.2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ht="12.75" customHeight="1" x14ac:dyDescent="0.2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ht="12.75" customHeight="1" x14ac:dyDescent="0.2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ht="12.75" customHeight="1" x14ac:dyDescent="0.2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ht="12.75" customHeight="1" x14ac:dyDescent="0.2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ht="12.75" customHeight="1" x14ac:dyDescent="0.2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ht="12.75" customHeight="1" x14ac:dyDescent="0.2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ht="12.75" customHeight="1" x14ac:dyDescent="0.2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ht="12.75" customHeight="1" x14ac:dyDescent="0.2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ht="12.75" customHeight="1" x14ac:dyDescent="0.2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ht="12.75" customHeight="1" x14ac:dyDescent="0.2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ht="12.75" customHeight="1" x14ac:dyDescent="0.2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ht="12.75" customHeight="1" x14ac:dyDescent="0.2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ht="12.75" customHeight="1" x14ac:dyDescent="0.2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ht="12.75" customHeight="1" x14ac:dyDescent="0.2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ht="12.75" customHeight="1" x14ac:dyDescent="0.2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ht="12.75" customHeight="1" x14ac:dyDescent="0.2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ht="12.75" customHeight="1" x14ac:dyDescent="0.2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ht="12.75" customHeight="1" x14ac:dyDescent="0.2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ht="12.75" customHeight="1" x14ac:dyDescent="0.2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ht="12.75" customHeight="1" x14ac:dyDescent="0.2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ht="12.75" customHeight="1" x14ac:dyDescent="0.2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ht="12.75" customHeight="1" x14ac:dyDescent="0.2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ht="12.75" customHeight="1" x14ac:dyDescent="0.2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ht="12.75" customHeight="1" x14ac:dyDescent="0.2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ht="12.75" customHeight="1" x14ac:dyDescent="0.2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ht="12.75" customHeight="1" x14ac:dyDescent="0.2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ht="12.75" customHeight="1" x14ac:dyDescent="0.2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ht="12.75" customHeight="1" x14ac:dyDescent="0.2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ht="12.75" customHeight="1" x14ac:dyDescent="0.2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ht="12.75" customHeight="1" x14ac:dyDescent="0.2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ht="12.75" customHeight="1" x14ac:dyDescent="0.2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ht="12.75" customHeight="1" x14ac:dyDescent="0.2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ht="12.75" customHeight="1" x14ac:dyDescent="0.2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ht="12.75" customHeight="1" x14ac:dyDescent="0.2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ht="12.75" customHeight="1" x14ac:dyDescent="0.2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ht="12.75" customHeight="1" x14ac:dyDescent="0.2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ht="12.75" customHeight="1" x14ac:dyDescent="0.2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ht="12.75" customHeight="1" x14ac:dyDescent="0.2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ht="12.75" customHeight="1" x14ac:dyDescent="0.2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ht="12.75" customHeight="1" x14ac:dyDescent="0.2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ht="12.75" customHeight="1" x14ac:dyDescent="0.2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ht="12.75" customHeight="1" x14ac:dyDescent="0.2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ht="12.75" customHeight="1" x14ac:dyDescent="0.2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ht="12.75" customHeight="1" x14ac:dyDescent="0.2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ht="12.75" customHeight="1" x14ac:dyDescent="0.2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ht="12.75" customHeight="1" x14ac:dyDescent="0.2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ht="12.75" customHeight="1" x14ac:dyDescent="0.2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ht="12.75" customHeight="1" x14ac:dyDescent="0.2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ht="12.75" customHeight="1" x14ac:dyDescent="0.2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ht="12.75" customHeight="1" x14ac:dyDescent="0.2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ht="12.75" customHeight="1" x14ac:dyDescent="0.2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ht="12.75" customHeight="1" x14ac:dyDescent="0.2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ht="12.75" customHeight="1" x14ac:dyDescent="0.2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ht="12.75" customHeight="1" x14ac:dyDescent="0.2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ht="12.75" customHeight="1" x14ac:dyDescent="0.2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ht="12.75" customHeight="1" x14ac:dyDescent="0.2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ht="12.75" customHeight="1" x14ac:dyDescent="0.2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ht="12.75" customHeight="1" x14ac:dyDescent="0.2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ht="12.75" customHeight="1" x14ac:dyDescent="0.2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ht="12.75" customHeight="1" x14ac:dyDescent="0.2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ht="12.75" customHeight="1" x14ac:dyDescent="0.2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ht="12.75" customHeight="1" x14ac:dyDescent="0.2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ht="12.75" customHeight="1" x14ac:dyDescent="0.2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ht="12.75" customHeight="1" x14ac:dyDescent="0.2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ht="12.75" customHeight="1" x14ac:dyDescent="0.2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ht="12.75" customHeight="1" x14ac:dyDescent="0.2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ht="12.75" customHeight="1" x14ac:dyDescent="0.2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ht="12.75" customHeight="1" x14ac:dyDescent="0.2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ht="12.75" customHeight="1" x14ac:dyDescent="0.2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ht="12.75" customHeight="1" x14ac:dyDescent="0.2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ht="12.75" customHeight="1" x14ac:dyDescent="0.2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ht="12.75" customHeight="1" x14ac:dyDescent="0.2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ht="12.75" customHeight="1" x14ac:dyDescent="0.2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ht="12.75" customHeight="1" x14ac:dyDescent="0.2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ht="12.75" customHeight="1" x14ac:dyDescent="0.2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ht="12.75" customHeight="1" x14ac:dyDescent="0.2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ht="12.75" customHeight="1" x14ac:dyDescent="0.2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ht="12.75" customHeight="1" x14ac:dyDescent="0.2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ht="12.75" customHeight="1" x14ac:dyDescent="0.2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ht="12.75" customHeight="1" x14ac:dyDescent="0.2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ht="12.75" customHeight="1" x14ac:dyDescent="0.2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ht="12.75" customHeight="1" x14ac:dyDescent="0.2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ht="12.75" customHeight="1" x14ac:dyDescent="0.2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ht="12.75" customHeight="1" x14ac:dyDescent="0.2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ht="12.75" customHeight="1" x14ac:dyDescent="0.2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ht="12.75" customHeight="1" x14ac:dyDescent="0.2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ht="12.75" customHeight="1" x14ac:dyDescent="0.2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ht="12.75" customHeight="1" x14ac:dyDescent="0.2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ht="12.75" customHeight="1" x14ac:dyDescent="0.2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ht="12.75" customHeight="1" x14ac:dyDescent="0.2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ht="12.75" customHeight="1" x14ac:dyDescent="0.2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ht="12.75" customHeight="1" x14ac:dyDescent="0.2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ht="12.75" customHeight="1" x14ac:dyDescent="0.2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ht="12.75" customHeight="1" x14ac:dyDescent="0.2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ht="12.75" customHeight="1" x14ac:dyDescent="0.2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ht="12.75" customHeight="1" x14ac:dyDescent="0.2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ht="12.75" customHeight="1" x14ac:dyDescent="0.2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ht="12.75" customHeight="1" x14ac:dyDescent="0.2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ht="12.75" customHeight="1" x14ac:dyDescent="0.2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ht="12.75" customHeight="1" x14ac:dyDescent="0.2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ht="12.75" customHeight="1" x14ac:dyDescent="0.2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ht="12.75" customHeight="1" x14ac:dyDescent="0.2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ht="12.75" customHeight="1" x14ac:dyDescent="0.2">
      <c r="F1322" s="1"/>
      <c r="G1322" s="1"/>
      <c r="J1322" s="1"/>
      <c r="K1322" s="1"/>
      <c r="L1322" s="1"/>
      <c r="R1322" s="1"/>
      <c r="AC1322" s="1"/>
      <c r="AE1322" s="1"/>
      <c r="AG1322" s="1"/>
    </row>
    <row r="1323" spans="6:33" ht="12.75" customHeight="1" x14ac:dyDescent="0.2">
      <c r="F1323" s="1"/>
      <c r="G1323" s="1"/>
      <c r="J1323" s="1"/>
      <c r="K1323" s="1"/>
      <c r="L1323" s="1"/>
      <c r="R1323" s="1"/>
      <c r="AC1323" s="1"/>
      <c r="AE1323" s="1"/>
      <c r="AG1323" s="1"/>
    </row>
    <row r="1324" spans="6:33" ht="12.75" customHeight="1" x14ac:dyDescent="0.2">
      <c r="F1324" s="1"/>
      <c r="G1324" s="1"/>
      <c r="J1324" s="1"/>
      <c r="K1324" s="1"/>
      <c r="L1324" s="1"/>
      <c r="R1324" s="1"/>
      <c r="AC1324" s="1"/>
      <c r="AE1324" s="1"/>
      <c r="AG1324" s="1"/>
    </row>
    <row r="1325" spans="6:33" ht="12.75" customHeight="1" x14ac:dyDescent="0.2">
      <c r="F1325" s="1"/>
      <c r="G1325" s="1"/>
      <c r="J1325" s="1"/>
      <c r="K1325" s="1"/>
      <c r="L1325" s="1"/>
      <c r="R1325" s="1"/>
      <c r="AC1325" s="1"/>
      <c r="AE1325" s="1"/>
      <c r="AG1325" s="1"/>
    </row>
    <row r="1326" spans="6:33" ht="12.75" customHeight="1" x14ac:dyDescent="0.2">
      <c r="F1326" s="1"/>
      <c r="G1326" s="1"/>
      <c r="J1326" s="1"/>
      <c r="K1326" s="1"/>
      <c r="L1326" s="1"/>
      <c r="R1326" s="1"/>
      <c r="AC1326" s="1"/>
      <c r="AE1326" s="1"/>
      <c r="AG1326" s="1"/>
    </row>
  </sheetData>
  <mergeCells count="3">
    <mergeCell ref="A1:AJ1"/>
    <mergeCell ref="A2:AJ2"/>
    <mergeCell ref="A3:AJ3"/>
  </mergeCells>
  <conditionalFormatting sqref="H7:AV8 H31:AV31">
    <cfRule type="cellIs" dxfId="2" priority="2" operator="lessThan">
      <formula>0</formula>
    </cfRule>
  </conditionalFormatting>
  <conditionalFormatting sqref="H9:AV30">
    <cfRule type="cellIs" dxfId="1" priority="1" operator="lessThan">
      <formula>0</formula>
    </cfRule>
  </conditionalFormatting>
  <pageMargins left="0" right="0" top="0" bottom="0" header="0" footer="0"/>
  <pageSetup fitToWidth="0" fitToHeight="0"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Completed Contracts</vt:lpstr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Admin</cp:lastModifiedBy>
  <dcterms:created xsi:type="dcterms:W3CDTF">2023-09-13T16:45:40Z</dcterms:created>
  <dcterms:modified xsi:type="dcterms:W3CDTF">2025-04-07T00:56:20Z</dcterms:modified>
</cp:coreProperties>
</file>