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MATT\Documents\League_Results\MASTERS\"/>
    </mc:Choice>
  </mc:AlternateContent>
  <bookViews>
    <workbookView xWindow="0" yWindow="0" windowWidth="1681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52" i="1" l="1"/>
  <c r="CC52" i="1"/>
  <c r="CB52" i="1"/>
  <c r="CG52" i="1" s="1"/>
  <c r="CE52" i="1" s="1"/>
  <c r="CA52" i="1"/>
  <c r="BR52" i="1"/>
  <c r="CD51" i="1"/>
  <c r="CC51" i="1"/>
  <c r="CB51" i="1"/>
  <c r="CG51" i="1" s="1"/>
  <c r="CE51" i="1" s="1"/>
  <c r="CA51" i="1"/>
  <c r="BR51" i="1"/>
  <c r="CD50" i="1"/>
  <c r="CC50" i="1"/>
  <c r="CB50" i="1"/>
  <c r="CG50" i="1" s="1"/>
  <c r="CE50" i="1" s="1"/>
  <c r="CA50" i="1"/>
  <c r="BR50" i="1"/>
  <c r="CD49" i="1"/>
  <c r="CC49" i="1"/>
  <c r="CB49" i="1"/>
  <c r="CG49" i="1" s="1"/>
  <c r="CE49" i="1" s="1"/>
  <c r="CA49" i="1"/>
  <c r="BR49" i="1"/>
  <c r="CD48" i="1"/>
  <c r="CC48" i="1"/>
  <c r="CB48" i="1"/>
  <c r="CG48" i="1" s="1"/>
  <c r="CE48" i="1" s="1"/>
  <c r="CA48" i="1"/>
  <c r="BR48" i="1"/>
  <c r="CD47" i="1"/>
  <c r="CC47" i="1"/>
  <c r="CB47" i="1"/>
  <c r="CG47" i="1" s="1"/>
  <c r="CE47" i="1" s="1"/>
  <c r="CA47" i="1"/>
  <c r="BR47" i="1"/>
  <c r="CD46" i="1"/>
  <c r="CC46" i="1"/>
  <c r="CB46" i="1"/>
  <c r="CA46" i="1"/>
  <c r="CG46" i="1" s="1"/>
  <c r="CE46" i="1" s="1"/>
  <c r="BR46" i="1"/>
  <c r="CD45" i="1"/>
  <c r="CC45" i="1"/>
  <c r="CB45" i="1"/>
  <c r="CA45" i="1"/>
  <c r="CG45" i="1" s="1"/>
  <c r="CE45" i="1" s="1"/>
  <c r="BR45" i="1"/>
  <c r="CD44" i="1"/>
  <c r="CC44" i="1"/>
  <c r="CB44" i="1"/>
  <c r="CA44" i="1"/>
  <c r="CG44" i="1" s="1"/>
  <c r="CE44" i="1" s="1"/>
  <c r="BR44" i="1"/>
  <c r="CD43" i="1"/>
  <c r="CC43" i="1"/>
  <c r="CB43" i="1"/>
  <c r="CA43" i="1"/>
  <c r="CG43" i="1" s="1"/>
  <c r="CE43" i="1" s="1"/>
  <c r="BR43" i="1"/>
  <c r="CD42" i="1"/>
  <c r="CC42" i="1"/>
  <c r="CB42" i="1"/>
  <c r="CA42" i="1"/>
  <c r="CG42" i="1" s="1"/>
  <c r="CE42" i="1" s="1"/>
  <c r="BR42" i="1"/>
  <c r="CD41" i="1"/>
  <c r="CC41" i="1"/>
  <c r="CB41" i="1"/>
  <c r="CA41" i="1"/>
  <c r="CG41" i="1" s="1"/>
  <c r="CE41" i="1" s="1"/>
  <c r="BR41" i="1"/>
  <c r="CD40" i="1"/>
  <c r="CC40" i="1"/>
  <c r="CB40" i="1"/>
  <c r="CA40" i="1"/>
  <c r="CG40" i="1" s="1"/>
  <c r="CE40" i="1" s="1"/>
  <c r="BR40" i="1"/>
  <c r="CD39" i="1"/>
  <c r="CC39" i="1"/>
  <c r="CB39" i="1"/>
  <c r="CA39" i="1"/>
  <c r="CG39" i="1" s="1"/>
  <c r="CE39" i="1" s="1"/>
  <c r="BR39" i="1"/>
  <c r="CD38" i="1"/>
  <c r="CC38" i="1"/>
  <c r="CB38" i="1"/>
  <c r="CA38" i="1"/>
  <c r="CG38" i="1" s="1"/>
  <c r="CE38" i="1" s="1"/>
  <c r="BR38" i="1"/>
  <c r="CD37" i="1"/>
  <c r="CC37" i="1"/>
  <c r="CB37" i="1"/>
  <c r="CA37" i="1"/>
  <c r="CG37" i="1" s="1"/>
  <c r="CE37" i="1" s="1"/>
  <c r="BR37" i="1"/>
  <c r="CD36" i="1"/>
  <c r="CC36" i="1"/>
  <c r="CB36" i="1"/>
  <c r="CA36" i="1"/>
  <c r="CG36" i="1" s="1"/>
  <c r="CE36" i="1" s="1"/>
  <c r="BR36" i="1"/>
  <c r="CF35" i="1"/>
  <c r="CD35" i="1"/>
  <c r="CC35" i="1"/>
  <c r="CB35" i="1"/>
  <c r="CA35" i="1"/>
  <c r="CG35" i="1" s="1"/>
  <c r="CE35" i="1" s="1"/>
  <c r="BS35" i="1"/>
  <c r="BR35" i="1"/>
  <c r="CF34" i="1"/>
  <c r="CD34" i="1"/>
  <c r="CC34" i="1"/>
  <c r="BR34" i="1" s="1"/>
  <c r="CB34" i="1"/>
  <c r="CG34" i="1" s="1"/>
  <c r="CE34" i="1" s="1"/>
  <c r="CA34" i="1"/>
  <c r="BY34" i="1"/>
  <c r="BT34" i="1"/>
  <c r="BQ34" i="1" s="1"/>
  <c r="BS34" i="1"/>
  <c r="BZ34" i="1" s="1"/>
  <c r="CG33" i="1"/>
  <c r="CE33" i="1" s="1"/>
  <c r="CD33" i="1"/>
  <c r="CC33" i="1"/>
  <c r="CB33" i="1"/>
  <c r="CA33" i="1"/>
  <c r="BR33" i="1"/>
  <c r="CD32" i="1"/>
  <c r="CF32" i="1" s="1"/>
  <c r="CC32" i="1"/>
  <c r="CB32" i="1"/>
  <c r="CA32" i="1"/>
  <c r="CG32" i="1" s="1"/>
  <c r="CE32" i="1" s="1"/>
  <c r="BS32" i="1"/>
  <c r="BT32" i="1" s="1"/>
  <c r="BR32" i="1"/>
  <c r="BQ32" i="1" s="1"/>
  <c r="CD31" i="1"/>
  <c r="CC31" i="1"/>
  <c r="CB31" i="1"/>
  <c r="CA31" i="1"/>
  <c r="CG31" i="1" s="1"/>
  <c r="CE31" i="1" s="1"/>
  <c r="BR31" i="1"/>
  <c r="CF30" i="1"/>
  <c r="CD30" i="1"/>
  <c r="CC30" i="1"/>
  <c r="CB30" i="1"/>
  <c r="CA30" i="1"/>
  <c r="CG30" i="1" s="1"/>
  <c r="CE30" i="1" s="1"/>
  <c r="BS30" i="1"/>
  <c r="BR30" i="1"/>
  <c r="CF29" i="1"/>
  <c r="CD29" i="1"/>
  <c r="CC29" i="1"/>
  <c r="CB29" i="1"/>
  <c r="CA29" i="1"/>
  <c r="CG29" i="1" s="1"/>
  <c r="CE29" i="1" s="1"/>
  <c r="BS29" i="1"/>
  <c r="BR29" i="1"/>
  <c r="CF28" i="1"/>
  <c r="CD28" i="1"/>
  <c r="CC28" i="1"/>
  <c r="CB28" i="1"/>
  <c r="CA28" i="1"/>
  <c r="CG28" i="1" s="1"/>
  <c r="CE28" i="1" s="1"/>
  <c r="BS28" i="1"/>
  <c r="BR28" i="1"/>
  <c r="CF27" i="1"/>
  <c r="CD27" i="1"/>
  <c r="CC27" i="1"/>
  <c r="CB27" i="1"/>
  <c r="CA27" i="1"/>
  <c r="CG27" i="1" s="1"/>
  <c r="CE27" i="1" s="1"/>
  <c r="BS27" i="1"/>
  <c r="BR27" i="1"/>
  <c r="CF26" i="1"/>
  <c r="CD26" i="1"/>
  <c r="CC26" i="1"/>
  <c r="CB26" i="1"/>
  <c r="CA26" i="1"/>
  <c r="CG26" i="1" s="1"/>
  <c r="CE26" i="1" s="1"/>
  <c r="BS26" i="1"/>
  <c r="BR26" i="1"/>
  <c r="CF25" i="1"/>
  <c r="CD25" i="1"/>
  <c r="CC25" i="1"/>
  <c r="CB25" i="1"/>
  <c r="CA25" i="1"/>
  <c r="CG25" i="1" s="1"/>
  <c r="CE25" i="1" s="1"/>
  <c r="BS25" i="1"/>
  <c r="BR25" i="1"/>
  <c r="CF24" i="1"/>
  <c r="CD24" i="1"/>
  <c r="CC24" i="1"/>
  <c r="CB24" i="1"/>
  <c r="CA24" i="1"/>
  <c r="CG24" i="1" s="1"/>
  <c r="CE24" i="1" s="1"/>
  <c r="BS24" i="1"/>
  <c r="BR24" i="1"/>
  <c r="CF23" i="1"/>
  <c r="CD23" i="1"/>
  <c r="CC23" i="1"/>
  <c r="CB23" i="1"/>
  <c r="CA23" i="1"/>
  <c r="CG23" i="1" s="1"/>
  <c r="CE23" i="1" s="1"/>
  <c r="BS23" i="1"/>
  <c r="BR23" i="1"/>
  <c r="CE21" i="1"/>
  <c r="CC21" i="1"/>
  <c r="CA21" i="1"/>
  <c r="BZ24" i="1" l="1"/>
  <c r="BY24" i="1"/>
  <c r="BT24" i="1"/>
  <c r="BZ26" i="1"/>
  <c r="BY26" i="1"/>
  <c r="BT26" i="1"/>
  <c r="BZ30" i="1"/>
  <c r="BT30" i="1"/>
  <c r="BQ30" i="1" s="1"/>
  <c r="BY30" i="1"/>
  <c r="BQ25" i="1"/>
  <c r="BX32" i="1"/>
  <c r="BP32" i="1"/>
  <c r="BV32" i="1"/>
  <c r="BU32" i="1"/>
  <c r="BN32" i="1"/>
  <c r="BO33" i="1" s="1"/>
  <c r="BZ35" i="1"/>
  <c r="BY35" i="1"/>
  <c r="BT35" i="1"/>
  <c r="BZ25" i="1"/>
  <c r="BY25" i="1"/>
  <c r="BT25" i="1"/>
  <c r="BZ27" i="1"/>
  <c r="BT27" i="1"/>
  <c r="BY27" i="1"/>
  <c r="BZ29" i="1"/>
  <c r="BT29" i="1"/>
  <c r="BQ29" i="1" s="1"/>
  <c r="BY29" i="1"/>
  <c r="BZ28" i="1"/>
  <c r="BT28" i="1"/>
  <c r="BY28" i="1"/>
  <c r="BQ27" i="1"/>
  <c r="BW34" i="1"/>
  <c r="BV34" i="1"/>
  <c r="BN34" i="1"/>
  <c r="BO35" i="1" s="1"/>
  <c r="BX34" i="1"/>
  <c r="BU34" i="1"/>
  <c r="BP34" i="1"/>
  <c r="BZ23" i="1"/>
  <c r="BM35" i="1" s="1"/>
  <c r="BY23" i="1"/>
  <c r="BM34" i="1" s="1"/>
  <c r="BT23" i="1"/>
  <c r="BQ23" i="1" s="1"/>
  <c r="BQ24" i="1"/>
  <c r="BQ26" i="1"/>
  <c r="BQ28" i="1"/>
  <c r="BS31" i="1"/>
  <c r="CF31" i="1"/>
  <c r="BW32" i="1"/>
  <c r="BZ32" i="1"/>
  <c r="BY32" i="1"/>
  <c r="CF33" i="1"/>
  <c r="BS33" i="1"/>
  <c r="BQ35" i="1"/>
  <c r="CF36" i="1"/>
  <c r="BS36" i="1"/>
  <c r="CF37" i="1"/>
  <c r="BS37" i="1"/>
  <c r="CF38" i="1"/>
  <c r="BS38" i="1"/>
  <c r="CF39" i="1"/>
  <c r="BS39" i="1"/>
  <c r="CF40" i="1"/>
  <c r="BS40" i="1"/>
  <c r="CF41" i="1"/>
  <c r="BS41" i="1"/>
  <c r="CF42" i="1"/>
  <c r="BS42" i="1"/>
  <c r="CF43" i="1"/>
  <c r="BS43" i="1"/>
  <c r="CF44" i="1"/>
  <c r="BS44" i="1"/>
  <c r="CF45" i="1"/>
  <c r="BS45" i="1"/>
  <c r="CF46" i="1"/>
  <c r="BS46" i="1"/>
  <c r="CF47" i="1"/>
  <c r="BS47" i="1"/>
  <c r="CF48" i="1"/>
  <c r="BS48" i="1"/>
  <c r="CF49" i="1"/>
  <c r="BS49" i="1"/>
  <c r="CF50" i="1"/>
  <c r="BS50" i="1"/>
  <c r="CF51" i="1"/>
  <c r="BS51" i="1"/>
  <c r="CF52" i="1"/>
  <c r="BS52" i="1"/>
  <c r="BV30" i="1" l="1"/>
  <c r="BN30" i="1"/>
  <c r="BO31" i="1" s="1"/>
  <c r="BX30" i="1"/>
  <c r="BP30" i="1"/>
  <c r="BU30" i="1"/>
  <c r="BW30" i="1"/>
  <c r="BV29" i="1"/>
  <c r="BN29" i="1"/>
  <c r="BO30" i="1" s="1"/>
  <c r="BX29" i="1"/>
  <c r="BP29" i="1"/>
  <c r="BU29" i="1"/>
  <c r="BW29" i="1"/>
  <c r="BV23" i="1"/>
  <c r="BU23" i="1"/>
  <c r="BX23" i="1"/>
  <c r="BP23" i="1"/>
  <c r="BW23" i="1"/>
  <c r="BM36" i="1" s="1"/>
  <c r="BN23" i="1"/>
  <c r="BY51" i="1"/>
  <c r="BT51" i="1"/>
  <c r="BQ51" i="1" s="1"/>
  <c r="BZ51" i="1"/>
  <c r="BY49" i="1"/>
  <c r="BT49" i="1"/>
  <c r="BQ49" i="1" s="1"/>
  <c r="BZ49" i="1"/>
  <c r="BY45" i="1"/>
  <c r="BT45" i="1"/>
  <c r="BQ45" i="1" s="1"/>
  <c r="BZ45" i="1"/>
  <c r="BY41" i="1"/>
  <c r="BT41" i="1"/>
  <c r="BQ41" i="1" s="1"/>
  <c r="BZ41" i="1"/>
  <c r="BY39" i="1"/>
  <c r="BT39" i="1"/>
  <c r="BQ39" i="1" s="1"/>
  <c r="BZ39" i="1"/>
  <c r="BV35" i="1"/>
  <c r="BN35" i="1"/>
  <c r="BO36" i="1" s="1"/>
  <c r="BU35" i="1"/>
  <c r="BX35" i="1"/>
  <c r="BP35" i="1"/>
  <c r="BW35" i="1"/>
  <c r="BY31" i="1"/>
  <c r="BT31" i="1"/>
  <c r="BQ31" i="1" s="1"/>
  <c r="BZ31" i="1"/>
  <c r="BV24" i="1"/>
  <c r="BN24" i="1"/>
  <c r="BO25" i="1" s="1"/>
  <c r="BU24" i="1"/>
  <c r="BX24" i="1"/>
  <c r="BP24" i="1"/>
  <c r="BW24" i="1"/>
  <c r="BV25" i="1"/>
  <c r="BN25" i="1"/>
  <c r="BO26" i="1" s="1"/>
  <c r="BU25" i="1"/>
  <c r="BX25" i="1"/>
  <c r="BP25" i="1"/>
  <c r="BW25" i="1"/>
  <c r="BM32" i="1"/>
  <c r="BY47" i="1"/>
  <c r="BT47" i="1"/>
  <c r="BQ47" i="1" s="1"/>
  <c r="BZ47" i="1"/>
  <c r="BY43" i="1"/>
  <c r="BT43" i="1"/>
  <c r="BQ43" i="1" s="1"/>
  <c r="BZ43" i="1"/>
  <c r="BY37" i="1"/>
  <c r="BT37" i="1"/>
  <c r="BQ37" i="1" s="1"/>
  <c r="BZ37" i="1"/>
  <c r="BM31" i="1"/>
  <c r="BV27" i="1"/>
  <c r="BN27" i="1"/>
  <c r="BO28" i="1" s="1"/>
  <c r="BX27" i="1"/>
  <c r="BP27" i="1"/>
  <c r="BU27" i="1"/>
  <c r="BW27" i="1"/>
  <c r="BT33" i="1"/>
  <c r="BQ33" i="1" s="1"/>
  <c r="BZ33" i="1"/>
  <c r="BY33" i="1"/>
  <c r="BM33" i="1"/>
  <c r="BY52" i="1"/>
  <c r="BT52" i="1"/>
  <c r="BQ52" i="1" s="1"/>
  <c r="BZ52" i="1"/>
  <c r="BY50" i="1"/>
  <c r="BT50" i="1"/>
  <c r="BQ50" i="1" s="1"/>
  <c r="BZ50" i="1"/>
  <c r="BY48" i="1"/>
  <c r="BT48" i="1"/>
  <c r="BQ48" i="1" s="1"/>
  <c r="BZ48" i="1"/>
  <c r="BY46" i="1"/>
  <c r="BT46" i="1"/>
  <c r="BQ46" i="1" s="1"/>
  <c r="BZ46" i="1"/>
  <c r="BY44" i="1"/>
  <c r="BT44" i="1"/>
  <c r="BQ44" i="1" s="1"/>
  <c r="BZ44" i="1"/>
  <c r="BY42" i="1"/>
  <c r="BT42" i="1"/>
  <c r="BQ42" i="1" s="1"/>
  <c r="BZ42" i="1"/>
  <c r="BY40" i="1"/>
  <c r="BT40" i="1"/>
  <c r="BQ40" i="1" s="1"/>
  <c r="BZ40" i="1"/>
  <c r="BY38" i="1"/>
  <c r="BT38" i="1"/>
  <c r="BQ38" i="1" s="1"/>
  <c r="BZ38" i="1"/>
  <c r="BY36" i="1"/>
  <c r="BT36" i="1"/>
  <c r="BQ36" i="1" s="1"/>
  <c r="BZ36" i="1"/>
  <c r="BV28" i="1"/>
  <c r="BN28" i="1"/>
  <c r="BO29" i="1" s="1"/>
  <c r="BX28" i="1"/>
  <c r="BP28" i="1"/>
  <c r="BU28" i="1"/>
  <c r="BW28" i="1"/>
  <c r="BV26" i="1"/>
  <c r="BN26" i="1"/>
  <c r="BO27" i="1" s="1"/>
  <c r="BU26" i="1"/>
  <c r="BX26" i="1"/>
  <c r="BP26" i="1"/>
  <c r="BW26" i="1"/>
  <c r="BU44" i="1" l="1"/>
  <c r="BX44" i="1"/>
  <c r="BP44" i="1"/>
  <c r="BW44" i="1"/>
  <c r="BN44" i="1"/>
  <c r="BO45" i="1" s="1"/>
  <c r="BV44" i="1"/>
  <c r="BU42" i="1"/>
  <c r="BX42" i="1"/>
  <c r="BP42" i="1"/>
  <c r="BW42" i="1"/>
  <c r="BN42" i="1"/>
  <c r="BO43" i="1" s="1"/>
  <c r="BV42" i="1"/>
  <c r="BU50" i="1"/>
  <c r="BX50" i="1"/>
  <c r="BP50" i="1"/>
  <c r="BW50" i="1"/>
  <c r="BN50" i="1"/>
  <c r="BO51" i="1" s="1"/>
  <c r="BV50" i="1"/>
  <c r="BU37" i="1"/>
  <c r="BX37" i="1"/>
  <c r="BP37" i="1"/>
  <c r="BW37" i="1"/>
  <c r="BV37" i="1"/>
  <c r="BN37" i="1"/>
  <c r="BO38" i="1" s="1"/>
  <c r="BU49" i="1"/>
  <c r="BX49" i="1"/>
  <c r="BP49" i="1"/>
  <c r="BW49" i="1"/>
  <c r="BV49" i="1"/>
  <c r="BN49" i="1"/>
  <c r="BO50" i="1" s="1"/>
  <c r="BU52" i="1"/>
  <c r="BX52" i="1"/>
  <c r="BP52" i="1"/>
  <c r="BW52" i="1"/>
  <c r="BN52" i="1"/>
  <c r="BV52" i="1"/>
  <c r="BX33" i="1"/>
  <c r="BP33" i="1"/>
  <c r="BW33" i="1"/>
  <c r="BV33" i="1"/>
  <c r="BN33" i="1"/>
  <c r="BO34" i="1" s="1"/>
  <c r="BU33" i="1"/>
  <c r="BU43" i="1"/>
  <c r="BX43" i="1"/>
  <c r="BP43" i="1"/>
  <c r="BW43" i="1"/>
  <c r="BV43" i="1"/>
  <c r="BN43" i="1"/>
  <c r="BO44" i="1" s="1"/>
  <c r="BU39" i="1"/>
  <c r="BX39" i="1"/>
  <c r="BP39" i="1"/>
  <c r="BW39" i="1"/>
  <c r="BV39" i="1"/>
  <c r="BN39" i="1"/>
  <c r="BO40" i="1" s="1"/>
  <c r="BU51" i="1"/>
  <c r="BX51" i="1"/>
  <c r="BP51" i="1"/>
  <c r="BW51" i="1"/>
  <c r="BV51" i="1"/>
  <c r="BN51" i="1"/>
  <c r="BO52" i="1" s="1"/>
  <c r="BU40" i="1"/>
  <c r="BX40" i="1"/>
  <c r="BP40" i="1"/>
  <c r="BW40" i="1"/>
  <c r="BN40" i="1"/>
  <c r="BO41" i="1" s="1"/>
  <c r="BV40" i="1"/>
  <c r="BU48" i="1"/>
  <c r="BX48" i="1"/>
  <c r="BP48" i="1"/>
  <c r="BW48" i="1"/>
  <c r="BN48" i="1"/>
  <c r="BO49" i="1" s="1"/>
  <c r="BV48" i="1"/>
  <c r="BU38" i="1"/>
  <c r="BX38" i="1"/>
  <c r="BP38" i="1"/>
  <c r="BW38" i="1"/>
  <c r="BV38" i="1"/>
  <c r="BN38" i="1"/>
  <c r="BO39" i="1" s="1"/>
  <c r="BU46" i="1"/>
  <c r="BX46" i="1"/>
  <c r="BP46" i="1"/>
  <c r="BW46" i="1"/>
  <c r="BV46" i="1"/>
  <c r="BN46" i="1"/>
  <c r="BO47" i="1" s="1"/>
  <c r="BU45" i="1"/>
  <c r="BX45" i="1"/>
  <c r="BP45" i="1"/>
  <c r="BW45" i="1"/>
  <c r="BN45" i="1"/>
  <c r="BO46" i="1" s="1"/>
  <c r="BV45" i="1"/>
  <c r="BO24" i="1"/>
  <c r="BU36" i="1"/>
  <c r="BX36" i="1"/>
  <c r="BP36" i="1"/>
  <c r="BW36" i="1"/>
  <c r="BV36" i="1"/>
  <c r="BN36" i="1"/>
  <c r="BO37" i="1" s="1"/>
  <c r="BU47" i="1"/>
  <c r="BX47" i="1"/>
  <c r="BP47" i="1"/>
  <c r="BW47" i="1"/>
  <c r="BV47" i="1"/>
  <c r="BN47" i="1"/>
  <c r="BO48" i="1" s="1"/>
  <c r="BU31" i="1"/>
  <c r="BW31" i="1"/>
  <c r="BX31" i="1"/>
  <c r="BP31" i="1"/>
  <c r="BV31" i="1"/>
  <c r="BN31" i="1"/>
  <c r="BO32" i="1" s="1"/>
  <c r="BU41" i="1"/>
  <c r="BX41" i="1"/>
  <c r="BP41" i="1"/>
  <c r="BW41" i="1"/>
  <c r="BV41" i="1"/>
  <c r="BN41" i="1"/>
  <c r="BO42" i="1" s="1"/>
  <c r="BN22" i="1" l="1"/>
</calcChain>
</file>

<file path=xl/sharedStrings.xml><?xml version="1.0" encoding="utf-8"?>
<sst xmlns="http://schemas.openxmlformats.org/spreadsheetml/2006/main" count="33" uniqueCount="31">
  <si>
    <t>rate</t>
  </si>
  <si>
    <t>Percentage</t>
  </si>
  <si>
    <t>Capital</t>
  </si>
  <si>
    <t>Target</t>
  </si>
  <si>
    <t>at least lose</t>
  </si>
  <si>
    <t>worst</t>
  </si>
  <si>
    <t>Team Name</t>
  </si>
  <si>
    <t>SV Werder Bremen</t>
  </si>
  <si>
    <t>Round</t>
  </si>
  <si>
    <t>Amount</t>
  </si>
  <si>
    <t>ODD HID</t>
  </si>
  <si>
    <t>ODDS</t>
  </si>
  <si>
    <t>W/L</t>
  </si>
  <si>
    <t>PROFIT/LOSS</t>
  </si>
  <si>
    <t>Cum Profit</t>
  </si>
  <si>
    <t>won rate</t>
  </si>
  <si>
    <t>lost rate</t>
  </si>
  <si>
    <t>largest</t>
  </si>
  <si>
    <t>Middle</t>
  </si>
  <si>
    <t>minumum</t>
  </si>
  <si>
    <t>Doub. Ch.</t>
  </si>
  <si>
    <t>Odd %</t>
  </si>
  <si>
    <t>Strategy</t>
  </si>
  <si>
    <t>FOCUS</t>
  </si>
  <si>
    <t>TOTAL REPORT</t>
  </si>
  <si>
    <t>won</t>
  </si>
  <si>
    <t>lost</t>
  </si>
  <si>
    <t>SKIP</t>
  </si>
  <si>
    <t>won streak rate</t>
  </si>
  <si>
    <t>lost streak rate</t>
  </si>
  <si>
    <t>MAXIMUM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</si>
</sst>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4" fontId="2" fillId="0" borderId="0" xfId="0" applyNumberFormat="1" applyFont="1"/>
    <xf numFmtId="3" fontId="2" fillId="0" borderId="0" xfId="0" applyNumberFormat="1" applyFont="1" applyProtection="1">
      <protection locked="0"/>
    </xf>
    <xf numFmtId="0" fontId="4" fillId="2" borderId="0" xfId="0" applyFont="1" applyFill="1"/>
    <xf numFmtId="4" fontId="4" fillId="2" borderId="0" xfId="0" applyNumberFormat="1" applyFont="1" applyFill="1"/>
    <xf numFmtId="2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4" fontId="4" fillId="2" borderId="0" xfId="0" applyNumberFormat="1" applyFont="1" applyFill="1" applyAlignment="1">
      <alignment horizontal="center"/>
    </xf>
    <xf numFmtId="4" fontId="5" fillId="2" borderId="0" xfId="0" applyNumberFormat="1" applyFont="1" applyFill="1"/>
    <xf numFmtId="4" fontId="3" fillId="3" borderId="0" xfId="0" applyNumberFormat="1" applyFont="1" applyFill="1"/>
    <xf numFmtId="0" fontId="3" fillId="3" borderId="0" xfId="0" applyFont="1" applyFill="1"/>
    <xf numFmtId="4" fontId="3" fillId="3" borderId="0" xfId="0" applyNumberFormat="1" applyFont="1" applyFill="1" applyAlignment="1">
      <alignment horizontal="right"/>
    </xf>
    <xf numFmtId="2" fontId="0" fillId="4" borderId="0" xfId="0" applyNumberFormat="1" applyFont="1" applyFill="1" applyProtection="1"/>
    <xf numFmtId="0" fontId="0" fillId="0" borderId="0" xfId="0" applyProtection="1"/>
    <xf numFmtId="4" fontId="6" fillId="4" borderId="0" xfId="0" applyNumberFormat="1" applyFont="1" applyFill="1"/>
    <xf numFmtId="4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0" fontId="0" fillId="0" borderId="0" xfId="0" applyNumberFormat="1"/>
    <xf numFmtId="2" fontId="1" fillId="4" borderId="0" xfId="0" applyNumberFormat="1" applyFont="1" applyFill="1" applyProtection="1"/>
    <xf numFmtId="0" fontId="2" fillId="5" borderId="0" xfId="0" applyFont="1" applyFill="1" applyAlignment="1">
      <alignment horizontal="center"/>
    </xf>
    <xf numFmtId="0" fontId="4" fillId="6" borderId="0" xfId="0" applyFont="1" applyFill="1"/>
  </cellXfs>
  <cellStyles count="1">
    <cellStyle name="Normal" xfId="0" builtinId="0"/>
  </cellStyles>
  <dxfs count="5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rgb="FFFFFF99"/>
        </patternFill>
      </fill>
    </dxf>
    <dxf>
      <font>
        <color rgb="FF00B050"/>
      </font>
      <fill>
        <patternFill>
          <bgColor rgb="FFFFFF9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3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3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theme="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L21:CG52"/>
  <sheetViews>
    <sheetView tabSelected="1" topLeftCell="BG16" workbookViewId="0">
      <selection activeCell="BL21" sqref="BL21:CG52"/>
    </sheetView>
  </sheetViews>
  <sheetFormatPr defaultRowHeight="15" x14ac:dyDescent="0.25"/>
  <sheetData>
    <row r="21" spans="64:85" x14ac:dyDescent="0.25">
      <c r="BN21" s="1"/>
      <c r="BO21" s="2" t="s">
        <v>0</v>
      </c>
      <c r="BP21" s="3">
        <v>3</v>
      </c>
      <c r="BQ21" s="4"/>
      <c r="BR21" s="5" t="s">
        <v>1</v>
      </c>
      <c r="BS21" s="6">
        <v>2E-3</v>
      </c>
      <c r="BU21" s="7" t="s">
        <v>2</v>
      </c>
      <c r="BV21" s="8">
        <v>5000</v>
      </c>
      <c r="BW21" s="7"/>
      <c r="BX21" s="2" t="s">
        <v>3</v>
      </c>
      <c r="BY21" s="2"/>
      <c r="BZ21" s="2"/>
      <c r="CA21" s="7">
        <f>(BV21*BS21)*BP21+BV21</f>
        <v>5030</v>
      </c>
      <c r="CB21" s="1" t="s">
        <v>4</v>
      </c>
      <c r="CC21" s="7">
        <f>BV21*-0.1</f>
        <v>-500</v>
      </c>
      <c r="CD21" s="1" t="s">
        <v>5</v>
      </c>
      <c r="CE21" s="1">
        <f>BV21*-0.3</f>
        <v>-1500</v>
      </c>
    </row>
    <row r="22" spans="64:85" x14ac:dyDescent="0.25">
      <c r="BL22" t="s">
        <v>6</v>
      </c>
      <c r="BM22" t="s">
        <v>7</v>
      </c>
      <c r="BN22" s="9" t="str">
        <f>IF(MIN(BN23:BN52)&lt;0,"Bankruptcy","Balance")</f>
        <v>Balance</v>
      </c>
      <c r="BO22" s="9" t="s">
        <v>8</v>
      </c>
      <c r="BP22" s="10" t="s">
        <v>9</v>
      </c>
      <c r="BQ22" s="10" t="s">
        <v>10</v>
      </c>
      <c r="BR22" s="11" t="s">
        <v>11</v>
      </c>
      <c r="BS22" s="11"/>
      <c r="BT22" s="12" t="s">
        <v>12</v>
      </c>
      <c r="BU22" s="13" t="s">
        <v>3</v>
      </c>
      <c r="BV22" s="14" t="s">
        <v>13</v>
      </c>
      <c r="BW22" s="10" t="s">
        <v>14</v>
      </c>
      <c r="BX22" s="9" t="s">
        <v>1</v>
      </c>
      <c r="BY22" s="9" t="s">
        <v>15</v>
      </c>
      <c r="BZ22" s="9" t="s">
        <v>16</v>
      </c>
      <c r="CA22" s="9" t="s">
        <v>17</v>
      </c>
      <c r="CB22" s="9" t="s">
        <v>18</v>
      </c>
      <c r="CC22" s="9" t="s">
        <v>19</v>
      </c>
      <c r="CD22" s="9"/>
      <c r="CE22" s="9" t="s">
        <v>20</v>
      </c>
      <c r="CF22" s="9"/>
      <c r="CG22" s="9" t="s">
        <v>21</v>
      </c>
    </row>
    <row r="23" spans="64:85" x14ac:dyDescent="0.25">
      <c r="BL23" t="s">
        <v>22</v>
      </c>
      <c r="BM23" t="s">
        <v>23</v>
      </c>
      <c r="BN23" s="15" t="str">
        <f>IFERROR(IF(OR(BQ23=""),"",IF(BT23="SKIP",BV21,BV21-BP23)),"")</f>
        <v/>
      </c>
      <c r="BO23" s="16">
        <v>1</v>
      </c>
      <c r="BP23" s="17" t="str">
        <f t="shared" ref="BP23:BP52" si="0">IFERROR(IF(BQ23="","",IF(BT23="SKIP","NO BET",BU23/(BQ23-1))),"")</f>
        <v/>
      </c>
      <c r="BQ23" s="17" t="e">
        <f t="shared" ref="BQ23:BQ52" si="1">IF(AND(BR23="",BT23=""),"",IF(AND(BR23="",OR(BT23="WON",BT23="LOST")),"",IF(OR(BT23="WON",BT23="LOST"),BR23,1.4)))</f>
        <v>#N/A</v>
      </c>
      <c r="BR23" s="18" t="e">
        <f>IF($BM$23="FOCUS",CC23,CE23)</f>
        <v>#N/A</v>
      </c>
      <c r="BS23" s="18" t="e">
        <f>IF($BM$23="FOCUS",CD23,CF23)</f>
        <v>#N/A</v>
      </c>
      <c r="BT23" s="19" t="e">
        <f t="shared" ref="BT23:BT52" si="2">IF(BS23="","LOST",BS23)</f>
        <v>#N/A</v>
      </c>
      <c r="BU23" s="20" t="e">
        <f>IF(BQ23="","",BV21*BS21)</f>
        <v>#N/A</v>
      </c>
      <c r="BV23" s="21" t="e">
        <f>IF(BQ23="","",BW23-BV21)</f>
        <v>#N/A</v>
      </c>
      <c r="BW23" s="21" t="e">
        <f>IF(BQ23="","",IF(BT23="SKIP",BV21,IF(BT23="won",BU23+BV21,BV21-BP23)))</f>
        <v>#N/A</v>
      </c>
      <c r="BX23" s="22" t="e">
        <f>IF(BQ23="","",(BW23-BV21)/BV21)</f>
        <v>#N/A</v>
      </c>
      <c r="BY23" s="23" t="e">
        <f>IF(BS23="WON",1,0)</f>
        <v>#N/A</v>
      </c>
      <c r="BZ23" s="23" t="e">
        <f>IF(BS23="LOST",1,0)</f>
        <v>#N/A</v>
      </c>
      <c r="CA23" t="e">
        <f>MAX(INDEX($D:$F, VLOOKUP($BM$22,$A$1:$BN$17,66,), ))</f>
        <v>#N/A</v>
      </c>
      <c r="CB23" t="e">
        <f>LARGE(INDEX($D:$F, VLOOKUP($BM$22,$A$1:$BN$17,66,), ),2)</f>
        <v>#N/A</v>
      </c>
      <c r="CC23" s="18" t="e">
        <f>MIN(INDEX($D:$F, VLOOKUP($BM$22,$A$1:$BN$17,66,), ))</f>
        <v>#N/A</v>
      </c>
      <c r="CD23" s="19" t="e">
        <f>IF(VLOOKUP($BM$22,$A$1:$BN$17,4,FALSE)="yes","WON","LOST")</f>
        <v>#N/A</v>
      </c>
      <c r="CE23" s="24" t="e">
        <f>1+((1-(CG23))/CG23)</f>
        <v>#N/A</v>
      </c>
      <c r="CF23" s="24" t="e">
        <f>IF(CD23="WON","LOST",IF(CD23="LOST","WON"))</f>
        <v>#N/A</v>
      </c>
      <c r="CG23" s="25" t="e">
        <f>(1/CA23)+(1/CB23)</f>
        <v>#N/A</v>
      </c>
    </row>
    <row r="24" spans="64:85" x14ac:dyDescent="0.25">
      <c r="BN24" s="15" t="str">
        <f t="shared" ref="BN24:BN52" si="3">IFERROR(IF(BQ24="","",IF(BT24="SKIP",BN23,BW23-BP24)),"")</f>
        <v/>
      </c>
      <c r="BO24" s="16" t="str">
        <f t="shared" ref="BO24:BO52" si="4">IF(BN23&lt;&gt;"",BO23+1,"")</f>
        <v/>
      </c>
      <c r="BP24" s="17" t="str">
        <f t="shared" si="0"/>
        <v/>
      </c>
      <c r="BQ24" s="17" t="e">
        <f t="shared" si="1"/>
        <v>#N/A</v>
      </c>
      <c r="BR24" s="18" t="e">
        <f t="shared" ref="BR24:BS52" si="5">IF($BM$23="FOCUS",CC24,CE24)</f>
        <v>#N/A</v>
      </c>
      <c r="BS24" s="18" t="e">
        <f t="shared" si="5"/>
        <v>#N/A</v>
      </c>
      <c r="BT24" s="19" t="e">
        <f t="shared" si="2"/>
        <v>#N/A</v>
      </c>
      <c r="BU24" s="20" t="str">
        <f>IFERROR(IF(BQ24="","",IF(BT23="SKIP",BU23,IF(BT23="LOST",BP23+BU23,BW23*BS21))),"")</f>
        <v/>
      </c>
      <c r="BV24" s="21" t="str">
        <f>IFERROR(IF(BQ24="","",IF(BT24="SKIP",BV23,BW24-BV21)),"")</f>
        <v/>
      </c>
      <c r="BW24" s="21" t="str">
        <f t="shared" ref="BW24:BW52" si="6">IFERROR(IF(BQ24="","",IF(BT24="SKIP",BW23,IF(BT24="Won",BU24+BW23,BW23-BP24))),"")</f>
        <v/>
      </c>
      <c r="BX24" s="22" t="str">
        <f>IFERROR(IF(BQ24="","",IF(BT24="SKIP",BX23,(BW24-BV21)/BV21)),"")</f>
        <v/>
      </c>
      <c r="BY24" s="23" t="e">
        <f t="shared" ref="BY24:BY52" si="7">IF(BS24="WON",BY23+1,0)</f>
        <v>#N/A</v>
      </c>
      <c r="BZ24" s="23" t="e">
        <f t="shared" ref="BZ24:BZ52" si="8">IF(BS24="LOST",BZ23+1,0)</f>
        <v>#N/A</v>
      </c>
      <c r="CA24" t="e">
        <f>MAX(INDEX($D:$F, VLOOKUP($BM$22,$A$1:$BO$17,67,), ))</f>
        <v>#N/A</v>
      </c>
      <c r="CB24" t="e">
        <f>LARGE(INDEX($D:$F, VLOOKUP($BM$22,$A$1:$BO$17,67,), ),2)</f>
        <v>#N/A</v>
      </c>
      <c r="CC24" s="18" t="e">
        <f>MIN(INDEX($D:$F, VLOOKUP($BM$22,$A$1:$BO$17,67,), ))</f>
        <v>#N/A</v>
      </c>
      <c r="CD24" s="19" t="e">
        <f>IF(VLOOKUP($BM$22,$A$1:$BO$17,5,FALSE)="yes","WON","LOST")</f>
        <v>#N/A</v>
      </c>
      <c r="CE24" s="24" t="e">
        <f t="shared" ref="CE24:CE52" si="9">1+((1-(CG24))/CG24)</f>
        <v>#N/A</v>
      </c>
      <c r="CF24" s="24" t="e">
        <f t="shared" ref="CF24:CF52" si="10">IF(CD24="WON","LOST",IF(CD24="LOST","WON"))</f>
        <v>#N/A</v>
      </c>
      <c r="CG24" s="25" t="e">
        <f t="shared" ref="CG24:CG52" si="11">(1/CA24)+(1/CB24)</f>
        <v>#N/A</v>
      </c>
    </row>
    <row r="25" spans="64:85" x14ac:dyDescent="0.25">
      <c r="BN25" s="15" t="str">
        <f t="shared" si="3"/>
        <v/>
      </c>
      <c r="BO25" s="16" t="str">
        <f t="shared" si="4"/>
        <v/>
      </c>
      <c r="BP25" s="17" t="str">
        <f t="shared" si="0"/>
        <v/>
      </c>
      <c r="BQ25" s="17" t="e">
        <f t="shared" si="1"/>
        <v>#N/A</v>
      </c>
      <c r="BR25" s="18" t="e">
        <f t="shared" si="5"/>
        <v>#N/A</v>
      </c>
      <c r="BS25" s="18" t="e">
        <f t="shared" si="5"/>
        <v>#N/A</v>
      </c>
      <c r="BT25" s="19" t="e">
        <f t="shared" si="2"/>
        <v>#N/A</v>
      </c>
      <c r="BU25" s="20" t="str">
        <f>IFERROR(IF(BQ25="","",IF(BT24="SKIP",BU24,IF(BT24="LOST",BP24+BU24,BW24*BS21))),"")</f>
        <v/>
      </c>
      <c r="BV25" s="21" t="str">
        <f>IFERROR(IF(BQ25="","",IF(BT25="SKIP",BV24,BW25-BV21)),"")</f>
        <v/>
      </c>
      <c r="BW25" s="21" t="str">
        <f t="shared" si="6"/>
        <v/>
      </c>
      <c r="BX25" s="22" t="str">
        <f>IFERROR(IF(BQ25="","",IF(BT25="SKIP",BX24,(BW25-BV21)/BV21)),"")</f>
        <v/>
      </c>
      <c r="BY25" s="23" t="e">
        <f t="shared" si="7"/>
        <v>#N/A</v>
      </c>
      <c r="BZ25" s="23" t="e">
        <f t="shared" si="8"/>
        <v>#N/A</v>
      </c>
      <c r="CA25" s="1" t="e">
        <f>MAX(INDEX($D:$F, VLOOKUP($BM$22,$A$1:$BP$17,68,), ))</f>
        <v>#N/A</v>
      </c>
      <c r="CB25" t="e">
        <f>LARGE(INDEX($D:$F, VLOOKUP($BM$22,$A$1:$BP$17,68,), ),2)</f>
        <v>#N/A</v>
      </c>
      <c r="CC25" s="18" t="e">
        <f>MIN(INDEX($D:$F, VLOOKUP($BM$22,$A$1:$BP$17,68,), ))</f>
        <v>#N/A</v>
      </c>
      <c r="CD25" s="19" t="e">
        <f>IF(VLOOKUP($BM$22,$A$1:$BP$17,6,FALSE)="yes","WON","LOST")</f>
        <v>#N/A</v>
      </c>
      <c r="CE25" s="24" t="e">
        <f t="shared" si="9"/>
        <v>#N/A</v>
      </c>
      <c r="CF25" s="24" t="e">
        <f t="shared" si="10"/>
        <v>#N/A</v>
      </c>
      <c r="CG25" s="25" t="e">
        <f t="shared" si="11"/>
        <v>#N/A</v>
      </c>
    </row>
    <row r="26" spans="64:85" x14ac:dyDescent="0.25">
      <c r="BN26" s="15" t="str">
        <f t="shared" si="3"/>
        <v/>
      </c>
      <c r="BO26" s="16" t="str">
        <f t="shared" si="4"/>
        <v/>
      </c>
      <c r="BP26" s="17" t="str">
        <f t="shared" si="0"/>
        <v/>
      </c>
      <c r="BQ26" s="17" t="e">
        <f t="shared" si="1"/>
        <v>#N/A</v>
      </c>
      <c r="BR26" s="18" t="e">
        <f t="shared" si="5"/>
        <v>#N/A</v>
      </c>
      <c r="BS26" s="18" t="e">
        <f t="shared" si="5"/>
        <v>#N/A</v>
      </c>
      <c r="BT26" s="19" t="e">
        <f t="shared" si="2"/>
        <v>#N/A</v>
      </c>
      <c r="BU26" s="20" t="str">
        <f>IFERROR(IF(BQ26="","",IF(BT25="SKIP",BU25,IF(BT25="LOST",BP25+BU25,BW25*BS21))),"")</f>
        <v/>
      </c>
      <c r="BV26" s="21" t="str">
        <f>IFERROR(IF(BQ26="","",IF(BT26="SKIP",BV25,BW26-BV21)),"")</f>
        <v/>
      </c>
      <c r="BW26" s="21" t="str">
        <f t="shared" si="6"/>
        <v/>
      </c>
      <c r="BX26" s="22" t="str">
        <f>IFERROR(IF(BQ26="","",IF(BT26="SKIP",BX25,(BW26-BV21)/BV21)),"")</f>
        <v/>
      </c>
      <c r="BY26" s="23" t="e">
        <f t="shared" si="7"/>
        <v>#N/A</v>
      </c>
      <c r="BZ26" s="23" t="e">
        <f t="shared" si="8"/>
        <v>#N/A</v>
      </c>
      <c r="CA26" s="26" t="e">
        <f>MAX(INDEX($D:$F, VLOOKUP($BM$22,$A$1:$BQ$17,69,), ))</f>
        <v>#N/A</v>
      </c>
      <c r="CB26" s="26" t="e">
        <f>LARGE(INDEX($D:$F, VLOOKUP($BM$22,$A$1:$BQ$17,69,), ),2)</f>
        <v>#N/A</v>
      </c>
      <c r="CC26" s="26" t="e">
        <f>MIN(INDEX($D:$F, VLOOKUP($BM$22,$A$1:$BQ$17,69,), ))</f>
        <v>#N/A</v>
      </c>
      <c r="CD26" s="19" t="e">
        <f>IF(VLOOKUP($BM$22,$A$1:$BQ$17,7,FALSE)="yes","WON","LOST")</f>
        <v>#N/A</v>
      </c>
      <c r="CE26" s="24" t="e">
        <f t="shared" si="9"/>
        <v>#N/A</v>
      </c>
      <c r="CF26" s="24" t="e">
        <f t="shared" si="10"/>
        <v>#N/A</v>
      </c>
      <c r="CG26" s="25" t="e">
        <f t="shared" si="11"/>
        <v>#N/A</v>
      </c>
    </row>
    <row r="27" spans="64:85" x14ac:dyDescent="0.25">
      <c r="BN27" s="15" t="str">
        <f t="shared" si="3"/>
        <v/>
      </c>
      <c r="BO27" s="16" t="str">
        <f t="shared" si="4"/>
        <v/>
      </c>
      <c r="BP27" s="17" t="str">
        <f t="shared" si="0"/>
        <v/>
      </c>
      <c r="BQ27" s="17" t="e">
        <f t="shared" si="1"/>
        <v>#N/A</v>
      </c>
      <c r="BR27" s="18" t="e">
        <f t="shared" si="5"/>
        <v>#N/A</v>
      </c>
      <c r="BS27" s="18" t="e">
        <f t="shared" si="5"/>
        <v>#N/A</v>
      </c>
      <c r="BT27" s="19" t="e">
        <f t="shared" si="2"/>
        <v>#N/A</v>
      </c>
      <c r="BU27" s="20" t="str">
        <f>IFERROR(IF(BQ27="","",IF(BT26="SKIP",BU26,IF(BT26="LOST",BP26+BU26,BW26*BS21))),"")</f>
        <v/>
      </c>
      <c r="BV27" s="21" t="str">
        <f>IFERROR(IF(BQ27="","",IF(BT27="SKIP",BV26,BW27-BV21)),"")</f>
        <v/>
      </c>
      <c r="BW27" s="21" t="str">
        <f t="shared" si="6"/>
        <v/>
      </c>
      <c r="BX27" s="22" t="str">
        <f>IFERROR(IF(BQ27="","",IF(BT27="SKIP",BX26,(BW27-BV21)/BV21)),"")</f>
        <v/>
      </c>
      <c r="BY27" s="23" t="e">
        <f t="shared" si="7"/>
        <v>#N/A</v>
      </c>
      <c r="BZ27" s="23" t="e">
        <f t="shared" si="8"/>
        <v>#N/A</v>
      </c>
      <c r="CA27" s="26" t="e">
        <f>MAX(INDEX($D:$F, VLOOKUP($BM$22,$A$1:$BR$17,70,), ))</f>
        <v>#N/A</v>
      </c>
      <c r="CB27" s="26" t="e">
        <f>LARGE(INDEX($D:$F, VLOOKUP($BM$22,$A$1:$BR$17,70,), ),2)</f>
        <v>#N/A</v>
      </c>
      <c r="CC27" s="26" t="e">
        <f>MIN(INDEX($D:$F, VLOOKUP($BM$22,$A$1:$BR$17,70,), ))</f>
        <v>#N/A</v>
      </c>
      <c r="CD27" s="19" t="e">
        <f>IF(VLOOKUP($BM$22,$A$1:$BR$17,8,FALSE)="yes","WON","LOST")</f>
        <v>#N/A</v>
      </c>
      <c r="CE27" s="24" t="e">
        <f t="shared" si="9"/>
        <v>#N/A</v>
      </c>
      <c r="CF27" s="24" t="e">
        <f t="shared" si="10"/>
        <v>#N/A</v>
      </c>
      <c r="CG27" s="25" t="e">
        <f t="shared" si="11"/>
        <v>#N/A</v>
      </c>
    </row>
    <row r="28" spans="64:85" x14ac:dyDescent="0.25">
      <c r="BN28" s="15" t="str">
        <f t="shared" si="3"/>
        <v/>
      </c>
      <c r="BO28" s="16" t="str">
        <f t="shared" si="4"/>
        <v/>
      </c>
      <c r="BP28" s="17" t="str">
        <f t="shared" si="0"/>
        <v/>
      </c>
      <c r="BQ28" s="17" t="e">
        <f t="shared" si="1"/>
        <v>#N/A</v>
      </c>
      <c r="BR28" s="18" t="e">
        <f t="shared" si="5"/>
        <v>#N/A</v>
      </c>
      <c r="BS28" s="18" t="e">
        <f t="shared" si="5"/>
        <v>#N/A</v>
      </c>
      <c r="BT28" s="19" t="e">
        <f t="shared" si="2"/>
        <v>#N/A</v>
      </c>
      <c r="BU28" s="20" t="str">
        <f>IFERROR(IF(BQ28="","",IF(BT27="SKIP",BU27,IF(BT27="LOST",BP27+BU27,BW27*BS21))),"")</f>
        <v/>
      </c>
      <c r="BV28" s="21" t="str">
        <f>IFERROR(IF(BQ28="","",IF(BT28="SKIP",BV27,BW28-BV21)),"")</f>
        <v/>
      </c>
      <c r="BW28" s="21" t="str">
        <f t="shared" si="6"/>
        <v/>
      </c>
      <c r="BX28" s="22" t="str">
        <f>IFERROR(IF(BQ28="","",IF(BT28="SKIP",BX27,(BW28-BV21)/BV21)),"")</f>
        <v/>
      </c>
      <c r="BY28" s="23" t="e">
        <f t="shared" si="7"/>
        <v>#N/A</v>
      </c>
      <c r="BZ28" s="23" t="e">
        <f t="shared" si="8"/>
        <v>#N/A</v>
      </c>
      <c r="CA28" s="26" t="e">
        <f>MAX(INDEX($D:$F, VLOOKUP($BM$22,$A$1:$BS$17,71,), ))</f>
        <v>#N/A</v>
      </c>
      <c r="CB28" s="26" t="e">
        <f>LARGE(INDEX($D:$F, VLOOKUP($BM$22,$A$1:$BS$17,71,), ),2)</f>
        <v>#N/A</v>
      </c>
      <c r="CC28" s="26" t="e">
        <f>MIN(INDEX($D:$F, VLOOKUP($BM$22,$A$1:$BS$17,71,), ))</f>
        <v>#N/A</v>
      </c>
      <c r="CD28" s="19" t="e">
        <f>IF(VLOOKUP($BM$22,$A$1:$BS$17,9,FALSE)="yes","WON","LOST")</f>
        <v>#N/A</v>
      </c>
      <c r="CE28" s="24" t="e">
        <f t="shared" si="9"/>
        <v>#N/A</v>
      </c>
      <c r="CF28" s="24" t="e">
        <f t="shared" si="10"/>
        <v>#N/A</v>
      </c>
      <c r="CG28" s="25" t="e">
        <f t="shared" si="11"/>
        <v>#N/A</v>
      </c>
    </row>
    <row r="29" spans="64:85" x14ac:dyDescent="0.25">
      <c r="BN29" s="15" t="str">
        <f t="shared" si="3"/>
        <v/>
      </c>
      <c r="BO29" s="16" t="str">
        <f t="shared" si="4"/>
        <v/>
      </c>
      <c r="BP29" s="17" t="str">
        <f t="shared" si="0"/>
        <v/>
      </c>
      <c r="BQ29" s="17" t="e">
        <f t="shared" si="1"/>
        <v>#N/A</v>
      </c>
      <c r="BR29" s="18" t="e">
        <f t="shared" si="5"/>
        <v>#N/A</v>
      </c>
      <c r="BS29" s="18" t="e">
        <f t="shared" si="5"/>
        <v>#N/A</v>
      </c>
      <c r="BT29" s="19" t="e">
        <f t="shared" si="2"/>
        <v>#N/A</v>
      </c>
      <c r="BU29" s="20" t="str">
        <f>IFERROR(IF(BQ29="","",IF(BT28="SKIP",BU28,IF(BT28="LOST",BP28+BU28,BW28*BS21))),"")</f>
        <v/>
      </c>
      <c r="BV29" s="21" t="str">
        <f>IFERROR(IF(BQ29="","",IF(BT29="SKIP",BV28,BW29-BV21)),"")</f>
        <v/>
      </c>
      <c r="BW29" s="21" t="str">
        <f t="shared" si="6"/>
        <v/>
      </c>
      <c r="BX29" s="22" t="str">
        <f>IFERROR(IF(BQ29="","",IF(BT29="SKIP",BX28,(BW29-BV21)/BV21)),"")</f>
        <v/>
      </c>
      <c r="BY29" s="23" t="e">
        <f t="shared" si="7"/>
        <v>#N/A</v>
      </c>
      <c r="BZ29" s="23" t="e">
        <f t="shared" si="8"/>
        <v>#N/A</v>
      </c>
      <c r="CA29" s="26" t="e">
        <f>MAX(INDEX($D:$F, VLOOKUP($BM$22,$A$1:$BT$17,72,), ))</f>
        <v>#N/A</v>
      </c>
      <c r="CB29" s="26" t="e">
        <f>LARGE(INDEX($D:$F, VLOOKUP($BM$22,$A$1:$BT$17,72,), ),2)</f>
        <v>#N/A</v>
      </c>
      <c r="CC29" s="26" t="e">
        <f>MIN(INDEX($D:$F, VLOOKUP($BM$22,$A$1:$BT$17,72,), ))</f>
        <v>#N/A</v>
      </c>
      <c r="CD29" s="19" t="e">
        <f>IF(VLOOKUP($BM$22,$A$1:$BT$17,10,FALSE)="yes","WON","LOST")</f>
        <v>#N/A</v>
      </c>
      <c r="CE29" s="24" t="e">
        <f t="shared" si="9"/>
        <v>#N/A</v>
      </c>
      <c r="CF29" s="24" t="e">
        <f t="shared" si="10"/>
        <v>#N/A</v>
      </c>
      <c r="CG29" s="25" t="e">
        <f t="shared" si="11"/>
        <v>#N/A</v>
      </c>
    </row>
    <row r="30" spans="64:85" x14ac:dyDescent="0.25">
      <c r="BL30" s="27" t="s">
        <v>24</v>
      </c>
      <c r="BM30" s="27"/>
      <c r="BN30" s="15" t="str">
        <f t="shared" si="3"/>
        <v/>
      </c>
      <c r="BO30" s="16" t="str">
        <f t="shared" si="4"/>
        <v/>
      </c>
      <c r="BP30" s="17" t="str">
        <f t="shared" si="0"/>
        <v/>
      </c>
      <c r="BQ30" s="17" t="e">
        <f t="shared" si="1"/>
        <v>#N/A</v>
      </c>
      <c r="BR30" s="18" t="e">
        <f t="shared" si="5"/>
        <v>#N/A</v>
      </c>
      <c r="BS30" s="18" t="e">
        <f t="shared" si="5"/>
        <v>#N/A</v>
      </c>
      <c r="BT30" s="19" t="e">
        <f t="shared" si="2"/>
        <v>#N/A</v>
      </c>
      <c r="BU30" s="20" t="str">
        <f>IFERROR(IF(BQ30="","",IF(BT29="SKIP",BU29,IF(BT29="LOST",BP29+BU29,BW29*BS21))),"")</f>
        <v/>
      </c>
      <c r="BV30" s="21" t="str">
        <f>IFERROR(IF(BQ30="","",IF(BT30="SKIP",BV29,BW30-BV21)),"")</f>
        <v/>
      </c>
      <c r="BW30" s="21" t="str">
        <f t="shared" si="6"/>
        <v/>
      </c>
      <c r="BX30" s="22" t="str">
        <f>IFERROR(IF(BQ30="","",IF(BT30="SKIP",BX29,(BW30-BV21)/BV21)),"")</f>
        <v/>
      </c>
      <c r="BY30" s="23" t="e">
        <f t="shared" si="7"/>
        <v>#N/A</v>
      </c>
      <c r="BZ30" s="23" t="e">
        <f t="shared" si="8"/>
        <v>#N/A</v>
      </c>
      <c r="CA30" s="26" t="e">
        <f>MAX(INDEX($D:$F, VLOOKUP($BM$22,$A$1:$BU$17,73,), ))</f>
        <v>#N/A</v>
      </c>
      <c r="CB30" s="26" t="e">
        <f>LARGE(INDEX($D:$F, VLOOKUP($BM$22,$A$1:$BU$17,73,), ),2)</f>
        <v>#N/A</v>
      </c>
      <c r="CC30" s="26" t="e">
        <f>MIN(INDEX($D:$F, VLOOKUP($BM$22,$A$1:$BU$17,73,), ))</f>
        <v>#N/A</v>
      </c>
      <c r="CD30" s="19" t="e">
        <f>IF(VLOOKUP($BM$22,$A$1:$BU$17,11,FALSE)="yes","WON","LOST")</f>
        <v>#N/A</v>
      </c>
      <c r="CE30" s="24" t="e">
        <f t="shared" si="9"/>
        <v>#N/A</v>
      </c>
      <c r="CF30" s="24" t="e">
        <f t="shared" si="10"/>
        <v>#N/A</v>
      </c>
      <c r="CG30" s="25" t="e">
        <f t="shared" si="11"/>
        <v>#N/A</v>
      </c>
    </row>
    <row r="31" spans="64:85" x14ac:dyDescent="0.25">
      <c r="BL31" s="28" t="s">
        <v>25</v>
      </c>
      <c r="BM31" s="1">
        <f>COUNTIF(BS23:BS52,BL31)</f>
        <v>0</v>
      </c>
      <c r="BN31" s="15" t="str">
        <f t="shared" si="3"/>
        <v/>
      </c>
      <c r="BO31" s="16" t="str">
        <f t="shared" si="4"/>
        <v/>
      </c>
      <c r="BP31" s="17" t="str">
        <f t="shared" si="0"/>
        <v/>
      </c>
      <c r="BQ31" s="17" t="e">
        <f t="shared" si="1"/>
        <v>#N/A</v>
      </c>
      <c r="BR31" s="18" t="e">
        <f t="shared" si="5"/>
        <v>#N/A</v>
      </c>
      <c r="BS31" s="18" t="e">
        <f t="shared" si="5"/>
        <v>#N/A</v>
      </c>
      <c r="BT31" s="19" t="e">
        <f t="shared" si="2"/>
        <v>#N/A</v>
      </c>
      <c r="BU31" s="20" t="str">
        <f>IFERROR(IF(BQ31="","",IF(BT30="SKIP",BU30,IF(BT30="LOST",BP30+BU30,BW30*BS21))),"")</f>
        <v/>
      </c>
      <c r="BV31" s="21" t="str">
        <f>IFERROR(IF(BQ31="","",IF(BT31="SKIP",BV30,BW31-BV21)),"")</f>
        <v/>
      </c>
      <c r="BW31" s="21" t="str">
        <f t="shared" si="6"/>
        <v/>
      </c>
      <c r="BX31" s="22" t="str">
        <f>IFERROR(IF(BQ31="","",IF(BT31="SKIP",BX30,(BW31-BV21)/BV21)),"")</f>
        <v/>
      </c>
      <c r="BY31" s="23" t="e">
        <f t="shared" si="7"/>
        <v>#N/A</v>
      </c>
      <c r="BZ31" s="23" t="e">
        <f t="shared" si="8"/>
        <v>#N/A</v>
      </c>
      <c r="CA31" s="26" t="e">
        <f>MAX(INDEX($D:$F, VLOOKUP($BM$22,$A$1:$BV$17,74,), ))</f>
        <v>#N/A</v>
      </c>
      <c r="CB31" s="26" t="e">
        <f>LARGE(INDEX($D:$F, VLOOKUP($BM$22,$A$1:$BV$17,74,), ),2)</f>
        <v>#N/A</v>
      </c>
      <c r="CC31" s="26" t="e">
        <f>MIN(INDEX($D:$F, VLOOKUP($BM$22,$A$1:$BV$17,74,), ))</f>
        <v>#N/A</v>
      </c>
      <c r="CD31" s="19" t="e">
        <f>IF(VLOOKUP($BM$22,$A$1:$BV$17,12,FALSE)="yes","WON","LOST")</f>
        <v>#N/A</v>
      </c>
      <c r="CE31" s="24" t="e">
        <f t="shared" si="9"/>
        <v>#N/A</v>
      </c>
      <c r="CF31" s="24" t="e">
        <f t="shared" si="10"/>
        <v>#N/A</v>
      </c>
      <c r="CG31" s="25" t="e">
        <f t="shared" si="11"/>
        <v>#N/A</v>
      </c>
    </row>
    <row r="32" spans="64:85" x14ac:dyDescent="0.25">
      <c r="BL32" s="28" t="s">
        <v>26</v>
      </c>
      <c r="BM32" s="1">
        <f>COUNTIF(BS23:BS52,BL32)</f>
        <v>0</v>
      </c>
      <c r="BN32" s="15" t="str">
        <f t="shared" si="3"/>
        <v/>
      </c>
      <c r="BO32" s="16" t="str">
        <f t="shared" si="4"/>
        <v/>
      </c>
      <c r="BP32" s="17" t="str">
        <f t="shared" si="0"/>
        <v/>
      </c>
      <c r="BQ32" s="17" t="e">
        <f t="shared" si="1"/>
        <v>#N/A</v>
      </c>
      <c r="BR32" s="18" t="e">
        <f t="shared" si="5"/>
        <v>#N/A</v>
      </c>
      <c r="BS32" s="18" t="e">
        <f t="shared" si="5"/>
        <v>#N/A</v>
      </c>
      <c r="BT32" s="19" t="e">
        <f t="shared" si="2"/>
        <v>#N/A</v>
      </c>
      <c r="BU32" s="20" t="str">
        <f>IFERROR(IF(BQ32="","",IF(BT31="SKIP",BU31,IF(BT31="LOST",BP31+BU31,BW31*BS21))),"")</f>
        <v/>
      </c>
      <c r="BV32" s="21" t="str">
        <f>IFERROR(IF(BQ32="","",IF(BT32="SKIP",BV31,BW32-BV21)),"")</f>
        <v/>
      </c>
      <c r="BW32" s="21" t="str">
        <f t="shared" si="6"/>
        <v/>
      </c>
      <c r="BX32" s="22" t="str">
        <f>IFERROR(IF(BQ32="","",IF(BT32="SKIP",BX31,(BW32-BV21)/BV21)),"")</f>
        <v/>
      </c>
      <c r="BY32" s="23" t="e">
        <f t="shared" si="7"/>
        <v>#N/A</v>
      </c>
      <c r="BZ32" s="23" t="e">
        <f t="shared" si="8"/>
        <v>#N/A</v>
      </c>
      <c r="CA32" s="26" t="e">
        <f>MAX(INDEX($D:$F, VLOOKUP($BM$22,$A$1:$BW$17,75,), ))</f>
        <v>#N/A</v>
      </c>
      <c r="CB32" s="26" t="e">
        <f>LARGE(INDEX($D:$F, VLOOKUP($BM$22,$A$1:$BW$17,75,), ),2)</f>
        <v>#N/A</v>
      </c>
      <c r="CC32" s="26" t="e">
        <f>MIN(INDEX($D:$F, VLOOKUP($BM$22,$A$1:$BW$17,75,), ))</f>
        <v>#N/A</v>
      </c>
      <c r="CD32" s="19" t="e">
        <f>IF(VLOOKUP($BM$22,$A$1:$BW$17,13,FALSE)="yes","WON","LOST")</f>
        <v>#N/A</v>
      </c>
      <c r="CE32" s="24" t="e">
        <f t="shared" si="9"/>
        <v>#N/A</v>
      </c>
      <c r="CF32" s="24" t="e">
        <f t="shared" si="10"/>
        <v>#N/A</v>
      </c>
      <c r="CG32" s="25" t="e">
        <f t="shared" si="11"/>
        <v>#N/A</v>
      </c>
    </row>
    <row r="33" spans="64:85" x14ac:dyDescent="0.25">
      <c r="BL33" s="28" t="s">
        <v>27</v>
      </c>
      <c r="BM33" s="1">
        <f>COUNTIF(BS23:BS52,BL33)</f>
        <v>0</v>
      </c>
      <c r="BN33" s="15" t="str">
        <f t="shared" si="3"/>
        <v/>
      </c>
      <c r="BO33" s="16" t="str">
        <f t="shared" si="4"/>
        <v/>
      </c>
      <c r="BP33" s="17" t="str">
        <f t="shared" si="0"/>
        <v/>
      </c>
      <c r="BQ33" s="17" t="e">
        <f t="shared" si="1"/>
        <v>#N/A</v>
      </c>
      <c r="BR33" s="18" t="e">
        <f t="shared" si="5"/>
        <v>#N/A</v>
      </c>
      <c r="BS33" s="18" t="e">
        <f t="shared" si="5"/>
        <v>#N/A</v>
      </c>
      <c r="BT33" s="19" t="e">
        <f t="shared" si="2"/>
        <v>#N/A</v>
      </c>
      <c r="BU33" s="20" t="str">
        <f>IFERROR(IF(BQ33="","",IF(BT32="SKIP",BU32,IF(BT32="LOST",BP32+BU32,BW32*BS21))),"")</f>
        <v/>
      </c>
      <c r="BV33" s="21" t="str">
        <f>IFERROR(IF(BQ33="","",IF(BT33="SKIP",BV32,BW33-BV21)),"")</f>
        <v/>
      </c>
      <c r="BW33" s="21" t="str">
        <f t="shared" si="6"/>
        <v/>
      </c>
      <c r="BX33" s="22" t="str">
        <f>IFERROR(IF(BQ33="","",IF(BT33="SKIP",BX32,(BW33-BV21)/BV21)),"")</f>
        <v/>
      </c>
      <c r="BY33" s="23" t="e">
        <f t="shared" si="7"/>
        <v>#N/A</v>
      </c>
      <c r="BZ33" s="23" t="e">
        <f t="shared" si="8"/>
        <v>#N/A</v>
      </c>
      <c r="CA33" s="26" t="e">
        <f>MAX(INDEX($D:$F, VLOOKUP($BM$22,$A$1:$BX$17,76,), ))</f>
        <v>#N/A</v>
      </c>
      <c r="CB33" s="26" t="e">
        <f>LARGE(INDEX($D:$F, VLOOKUP($BM$22,$A$1:$BX$17,76,), ),2)</f>
        <v>#N/A</v>
      </c>
      <c r="CC33" s="26" t="e">
        <f>MIN(INDEX($D:$F, VLOOKUP($BM$22,$A$1:$BX$17,76,), ))</f>
        <v>#N/A</v>
      </c>
      <c r="CD33" s="19" t="e">
        <f>IF(VLOOKUP($BM$22,$A$1:$BX$17,14,FALSE)="yes","WON","LOST")</f>
        <v>#N/A</v>
      </c>
      <c r="CE33" s="24" t="e">
        <f t="shared" si="9"/>
        <v>#N/A</v>
      </c>
      <c r="CF33" s="24" t="e">
        <f t="shared" si="10"/>
        <v>#N/A</v>
      </c>
      <c r="CG33" s="25" t="e">
        <f t="shared" si="11"/>
        <v>#N/A</v>
      </c>
    </row>
    <row r="34" spans="64:85" x14ac:dyDescent="0.25">
      <c r="BL34" s="28" t="s">
        <v>28</v>
      </c>
      <c r="BM34" s="23" t="e">
        <f>MAX(BY23:BY52)</f>
        <v>#N/A</v>
      </c>
      <c r="BN34" s="15" t="str">
        <f t="shared" si="3"/>
        <v/>
      </c>
      <c r="BO34" s="16" t="str">
        <f t="shared" si="4"/>
        <v/>
      </c>
      <c r="BP34" s="17" t="str">
        <f t="shared" si="0"/>
        <v/>
      </c>
      <c r="BQ34" s="17" t="e">
        <f t="shared" si="1"/>
        <v>#N/A</v>
      </c>
      <c r="BR34" s="18" t="e">
        <f t="shared" si="5"/>
        <v>#N/A</v>
      </c>
      <c r="BS34" s="18" t="e">
        <f t="shared" si="5"/>
        <v>#N/A</v>
      </c>
      <c r="BT34" s="19" t="e">
        <f t="shared" si="2"/>
        <v>#N/A</v>
      </c>
      <c r="BU34" s="20" t="str">
        <f>IFERROR(IF(BQ34="","",IF(BT33="SKIP",BU33,IF(BT33="LOST",BP33+BU33,BW33*BS21))),"")</f>
        <v/>
      </c>
      <c r="BV34" s="21" t="str">
        <f>IFERROR(IF(BQ34="","",IF(BT34="SKIP",BV33,BW34-BV21)),"")</f>
        <v/>
      </c>
      <c r="BW34" s="21" t="str">
        <f t="shared" si="6"/>
        <v/>
      </c>
      <c r="BX34" s="22" t="str">
        <f>IFERROR(IF(BQ34="","",IF(BT34="SKIP",BX33,(BW34-BV21)/BV21)),"")</f>
        <v/>
      </c>
      <c r="BY34" s="23" t="e">
        <f t="shared" si="7"/>
        <v>#N/A</v>
      </c>
      <c r="BZ34" s="23" t="e">
        <f t="shared" si="8"/>
        <v>#N/A</v>
      </c>
      <c r="CA34" s="26" t="e">
        <f>MAX(INDEX($D:$F, VLOOKUP($BM$22,$A$1:$BY$17,77,), ))</f>
        <v>#N/A</v>
      </c>
      <c r="CB34" s="26" t="e">
        <f>LARGE(INDEX($D:$F, VLOOKUP($BM$22,$A$1:$BY$17,77,), ),2)</f>
        <v>#N/A</v>
      </c>
      <c r="CC34" s="26" t="e">
        <f>MIN(INDEX($D:$F, VLOOKUP($BM$22,$A$1:$BY$17,77,), ))</f>
        <v>#N/A</v>
      </c>
      <c r="CD34" s="19" t="e">
        <f>IF(VLOOKUP($BM$22,$A$1:$BY$17,15,FALSE)="yes","WON","LOST")</f>
        <v>#N/A</v>
      </c>
      <c r="CE34" s="24" t="e">
        <f t="shared" si="9"/>
        <v>#N/A</v>
      </c>
      <c r="CF34" s="24" t="e">
        <f t="shared" si="10"/>
        <v>#N/A</v>
      </c>
      <c r="CG34" s="25" t="e">
        <f t="shared" si="11"/>
        <v>#N/A</v>
      </c>
    </row>
    <row r="35" spans="64:85" x14ac:dyDescent="0.25">
      <c r="BL35" s="28" t="s">
        <v>29</v>
      </c>
      <c r="BM35" s="23" t="e">
        <f>MAX(BZ23:BZ52)</f>
        <v>#N/A</v>
      </c>
      <c r="BN35" s="15" t="str">
        <f t="shared" si="3"/>
        <v/>
      </c>
      <c r="BO35" s="16" t="str">
        <f t="shared" si="4"/>
        <v/>
      </c>
      <c r="BP35" s="17" t="str">
        <f t="shared" si="0"/>
        <v/>
      </c>
      <c r="BQ35" s="17" t="e">
        <f t="shared" si="1"/>
        <v>#N/A</v>
      </c>
      <c r="BR35" s="18" t="e">
        <f t="shared" si="5"/>
        <v>#N/A</v>
      </c>
      <c r="BS35" s="18" t="e">
        <f t="shared" si="5"/>
        <v>#N/A</v>
      </c>
      <c r="BT35" s="19" t="e">
        <f t="shared" si="2"/>
        <v>#N/A</v>
      </c>
      <c r="BU35" s="20" t="str">
        <f>IFERROR(IF(BQ35="","",IF(BT34="SKIP",BU34,IF(BT34="LOST",BP34+BU34,BW34*BS21))),"")</f>
        <v/>
      </c>
      <c r="BV35" s="21" t="str">
        <f>IFERROR(IF(BQ35="","",IF(BT35="SKIP",BV34,BW35-BV21)),"")</f>
        <v/>
      </c>
      <c r="BW35" s="21" t="str">
        <f t="shared" si="6"/>
        <v/>
      </c>
      <c r="BX35" s="22" t="str">
        <f>IFERROR(IF(BQ35="","",IF(BT35="SKIP",BX34,(BW35-BV21)/BV21)),"")</f>
        <v/>
      </c>
      <c r="BY35" s="23" t="e">
        <f t="shared" si="7"/>
        <v>#N/A</v>
      </c>
      <c r="BZ35" s="23" t="e">
        <f t="shared" si="8"/>
        <v>#N/A</v>
      </c>
      <c r="CA35" s="26" t="e">
        <f>MAX(INDEX($D:$F, VLOOKUP($BM$22,$A$1:$BZ$17,78,), ))</f>
        <v>#N/A</v>
      </c>
      <c r="CB35" s="26" t="e">
        <f>LARGE(INDEX($D:$F, VLOOKUP($BM$22,$A$1:$BZ$17,78,), ),2)</f>
        <v>#N/A</v>
      </c>
      <c r="CC35" s="26" t="e">
        <f>MIN(INDEX($D:$F, VLOOKUP($BM$22,$A$1:$BZ$17,78,), ))</f>
        <v>#N/A</v>
      </c>
      <c r="CD35" s="19" t="e">
        <f>IF(VLOOKUP($BM$22,$A$1:$BZ$17,16,FALSE)="yes","WON","LOST")</f>
        <v>#N/A</v>
      </c>
      <c r="CE35" s="24" t="e">
        <f t="shared" si="9"/>
        <v>#N/A</v>
      </c>
      <c r="CF35" s="24" t="e">
        <f t="shared" si="10"/>
        <v>#N/A</v>
      </c>
      <c r="CG35" s="25" t="e">
        <f t="shared" si="11"/>
        <v>#N/A</v>
      </c>
    </row>
    <row r="36" spans="64:85" x14ac:dyDescent="0.25">
      <c r="BL36" s="28" t="s">
        <v>30</v>
      </c>
      <c r="BM36" s="21" t="e">
        <f>MAX(BW23:BW52)-BV21</f>
        <v>#N/A</v>
      </c>
      <c r="BN36" s="15" t="str">
        <f t="shared" si="3"/>
        <v/>
      </c>
      <c r="BO36" s="16" t="str">
        <f t="shared" si="4"/>
        <v/>
      </c>
      <c r="BP36" s="17" t="str">
        <f t="shared" si="0"/>
        <v/>
      </c>
      <c r="BQ36" s="17" t="e">
        <f t="shared" si="1"/>
        <v>#N/A</v>
      </c>
      <c r="BR36" s="18" t="e">
        <f t="shared" si="5"/>
        <v>#N/A</v>
      </c>
      <c r="BS36" s="18" t="e">
        <f t="shared" si="5"/>
        <v>#N/A</v>
      </c>
      <c r="BT36" s="19" t="e">
        <f t="shared" si="2"/>
        <v>#N/A</v>
      </c>
      <c r="BU36" s="20" t="str">
        <f>IFERROR(IF(BQ36="","",IF(BT35="SKIP",BU35,IF(BT35="LOST",BP35+BU35,BW35*BS21))),"")</f>
        <v/>
      </c>
      <c r="BV36" s="21" t="str">
        <f>IFERROR(IF(BQ36="","",IF(BT36="SKIP",BV35,BW36-BV21)),"")</f>
        <v/>
      </c>
      <c r="BW36" s="21" t="str">
        <f t="shared" si="6"/>
        <v/>
      </c>
      <c r="BX36" s="22" t="str">
        <f>IFERROR(IF(BQ36="","",IF(BT36="SKIP",BX35,(BW36-BV21)/BV21)),"")</f>
        <v/>
      </c>
      <c r="BY36" s="23" t="e">
        <f t="shared" si="7"/>
        <v>#N/A</v>
      </c>
      <c r="BZ36" s="23" t="e">
        <f t="shared" si="8"/>
        <v>#N/A</v>
      </c>
      <c r="CA36" s="26" t="e">
        <f>MAX(INDEX($D:$F, VLOOKUP($BM$22,$A$1:$CA$17,79,), ))</f>
        <v>#N/A</v>
      </c>
      <c r="CB36" s="26" t="e">
        <f>LARGE(INDEX($D:$F, VLOOKUP($BM$22,$A$1:$CA$17,79,), ),2)</f>
        <v>#N/A</v>
      </c>
      <c r="CC36" s="26" t="e">
        <f>MIN(INDEX($D:$F, VLOOKUP($BM$22,$A$1:$CA$17,79,), ))</f>
        <v>#N/A</v>
      </c>
      <c r="CD36" s="19" t="e">
        <f>IF(VLOOKUP($BM$22,$A$1:$CA$17,17,FALSE)="yes","WON","LOST")</f>
        <v>#N/A</v>
      </c>
      <c r="CE36" s="24" t="e">
        <f t="shared" si="9"/>
        <v>#N/A</v>
      </c>
      <c r="CF36" s="24" t="e">
        <f t="shared" si="10"/>
        <v>#N/A</v>
      </c>
      <c r="CG36" s="25" t="e">
        <f t="shared" si="11"/>
        <v>#N/A</v>
      </c>
    </row>
    <row r="37" spans="64:85" x14ac:dyDescent="0.25">
      <c r="BN37" s="15" t="str">
        <f t="shared" si="3"/>
        <v/>
      </c>
      <c r="BO37" s="16" t="str">
        <f t="shared" si="4"/>
        <v/>
      </c>
      <c r="BP37" s="17" t="str">
        <f t="shared" si="0"/>
        <v/>
      </c>
      <c r="BQ37" s="17" t="e">
        <f t="shared" si="1"/>
        <v>#N/A</v>
      </c>
      <c r="BR37" s="18" t="e">
        <f t="shared" si="5"/>
        <v>#N/A</v>
      </c>
      <c r="BS37" s="18" t="e">
        <f t="shared" si="5"/>
        <v>#N/A</v>
      </c>
      <c r="BT37" s="19" t="e">
        <f t="shared" si="2"/>
        <v>#N/A</v>
      </c>
      <c r="BU37" s="20" t="str">
        <f>IFERROR(IF(BQ37="","",IF(BT36="SKIP",BU36,IF(BT36="LOST",BP36+BU36,BW36*BS21))),"")</f>
        <v/>
      </c>
      <c r="BV37" s="21" t="str">
        <f>IFERROR(IF(BQ37="","",IF(BT37="SKIP",BV36,BW37-BV21)),"")</f>
        <v/>
      </c>
      <c r="BW37" s="21" t="str">
        <f t="shared" si="6"/>
        <v/>
      </c>
      <c r="BX37" s="22" t="str">
        <f>IFERROR(IF(BQ37="","",IF(BT37="SKIP",BX36,(BW37-BV21)/BV21)),"")</f>
        <v/>
      </c>
      <c r="BY37" s="23" t="e">
        <f t="shared" si="7"/>
        <v>#N/A</v>
      </c>
      <c r="BZ37" s="23" t="e">
        <f t="shared" si="8"/>
        <v>#N/A</v>
      </c>
      <c r="CA37" s="26" t="e">
        <f>MAX(INDEX($D:$F, VLOOKUP($BM$22,$A$1:$CB$17,80,), ))</f>
        <v>#N/A</v>
      </c>
      <c r="CB37" s="26" t="e">
        <f>LARGE(INDEX($D:$F, VLOOKUP($BM$22,$A$1:$CB$17,80,), ),2)</f>
        <v>#N/A</v>
      </c>
      <c r="CC37" s="26" t="e">
        <f>MIN(INDEX($D:$F, VLOOKUP($BM$22,$A$1:$CB$17,80,), ))</f>
        <v>#N/A</v>
      </c>
      <c r="CD37" s="19" t="e">
        <f>IF(VLOOKUP($BM$22,$A$1:$CB$17,18,FALSE)="yes","WON","LOST")</f>
        <v>#N/A</v>
      </c>
      <c r="CE37" s="24" t="e">
        <f t="shared" si="9"/>
        <v>#N/A</v>
      </c>
      <c r="CF37" s="24" t="e">
        <f t="shared" si="10"/>
        <v>#N/A</v>
      </c>
      <c r="CG37" s="25" t="e">
        <f t="shared" si="11"/>
        <v>#N/A</v>
      </c>
    </row>
    <row r="38" spans="64:85" x14ac:dyDescent="0.25">
      <c r="BN38" s="15" t="str">
        <f t="shared" si="3"/>
        <v/>
      </c>
      <c r="BO38" s="16" t="str">
        <f t="shared" si="4"/>
        <v/>
      </c>
      <c r="BP38" s="17" t="str">
        <f t="shared" si="0"/>
        <v/>
      </c>
      <c r="BQ38" s="17" t="e">
        <f t="shared" si="1"/>
        <v>#N/A</v>
      </c>
      <c r="BR38" s="18" t="e">
        <f t="shared" si="5"/>
        <v>#N/A</v>
      </c>
      <c r="BS38" s="18" t="e">
        <f t="shared" si="5"/>
        <v>#N/A</v>
      </c>
      <c r="BT38" s="19" t="e">
        <f t="shared" si="2"/>
        <v>#N/A</v>
      </c>
      <c r="BU38" s="20" t="str">
        <f>IFERROR(IF(BQ38="","",IF(BT37="SKIP",BU37,IF(BT37="LOST",BP37+BU37,BW37*BS21))),"")</f>
        <v/>
      </c>
      <c r="BV38" s="21" t="str">
        <f>IFERROR(IF(BQ38="","",IF(BT38="SKIP",BV37,BW38-BV21)),"")</f>
        <v/>
      </c>
      <c r="BW38" s="21" t="str">
        <f t="shared" si="6"/>
        <v/>
      </c>
      <c r="BX38" s="22" t="str">
        <f>IFERROR(IF(BQ38="","",IF(BT38="SKIP",BX37,(BW38-BV21)/BV21)),"")</f>
        <v/>
      </c>
      <c r="BY38" s="23" t="e">
        <f t="shared" si="7"/>
        <v>#N/A</v>
      </c>
      <c r="BZ38" s="23" t="e">
        <f t="shared" si="8"/>
        <v>#N/A</v>
      </c>
      <c r="CA38" s="26" t="e">
        <f>MAX(INDEX($D:$F, VLOOKUP($BM$22,$A$1:$CC$17,81,), ))</f>
        <v>#N/A</v>
      </c>
      <c r="CB38" s="26" t="e">
        <f>LARGE(INDEX($D:$F, VLOOKUP($BM$22,$A$1:$CC$17,81,), ),2)</f>
        <v>#N/A</v>
      </c>
      <c r="CC38" s="26" t="e">
        <f>MIN(INDEX($D:$F, VLOOKUP($BM$22,$A$1:$CC$17,81,), ))</f>
        <v>#N/A</v>
      </c>
      <c r="CD38" s="19" t="e">
        <f>IF(VLOOKUP($BM$22,$A$1:$CC$17,19,FALSE)="yes","WON","LOST")</f>
        <v>#N/A</v>
      </c>
      <c r="CE38" s="24" t="e">
        <f t="shared" si="9"/>
        <v>#N/A</v>
      </c>
      <c r="CF38" s="24" t="e">
        <f t="shared" si="10"/>
        <v>#N/A</v>
      </c>
      <c r="CG38" s="25" t="e">
        <f t="shared" si="11"/>
        <v>#N/A</v>
      </c>
    </row>
    <row r="39" spans="64:85" x14ac:dyDescent="0.25">
      <c r="BN39" s="15" t="str">
        <f t="shared" si="3"/>
        <v/>
      </c>
      <c r="BO39" s="16" t="str">
        <f t="shared" si="4"/>
        <v/>
      </c>
      <c r="BP39" s="17" t="str">
        <f t="shared" si="0"/>
        <v/>
      </c>
      <c r="BQ39" s="17" t="e">
        <f t="shared" si="1"/>
        <v>#N/A</v>
      </c>
      <c r="BR39" s="18" t="e">
        <f t="shared" si="5"/>
        <v>#N/A</v>
      </c>
      <c r="BS39" s="18" t="e">
        <f t="shared" si="5"/>
        <v>#N/A</v>
      </c>
      <c r="BT39" s="19" t="e">
        <f t="shared" si="2"/>
        <v>#N/A</v>
      </c>
      <c r="BU39" s="20" t="str">
        <f>IFERROR(IF(BQ39="","",IF(BT38="SKIP",BU38,IF(BT38="LOST",BP38+BU38,BW38*BS21))),"")</f>
        <v/>
      </c>
      <c r="BV39" s="21" t="str">
        <f>IFERROR(IF(BQ39="","",IF(BT39="SKIP",BV38,BW39-BV21)),"")</f>
        <v/>
      </c>
      <c r="BW39" s="21" t="str">
        <f t="shared" si="6"/>
        <v/>
      </c>
      <c r="BX39" s="22" t="str">
        <f>IFERROR(IF(BQ39="","",IF(BT39="SKIP",BX38,(BW39-BV21)/BV21)),"")</f>
        <v/>
      </c>
      <c r="BY39" s="23" t="e">
        <f t="shared" si="7"/>
        <v>#N/A</v>
      </c>
      <c r="BZ39" s="23" t="e">
        <f t="shared" si="8"/>
        <v>#N/A</v>
      </c>
      <c r="CA39" s="26" t="e">
        <f>MAX(INDEX($D:$F, VLOOKUP($BM$22,$A$1:$CD$17,82,), ))</f>
        <v>#N/A</v>
      </c>
      <c r="CB39" s="26" t="e">
        <f>LARGE(INDEX($D:$F, VLOOKUP($BM$22,$A$1:$CD$17,82,), ),2)</f>
        <v>#N/A</v>
      </c>
      <c r="CC39" s="26" t="e">
        <f>MIN(INDEX($D:$F, VLOOKUP($BM$22,$A$1:$CD$17,82,), ))</f>
        <v>#N/A</v>
      </c>
      <c r="CD39" s="19" t="e">
        <f>IF(VLOOKUP($BM$22,$A$1:$CD$17,20,FALSE)="yes","WON","LOST")</f>
        <v>#N/A</v>
      </c>
      <c r="CE39" s="24" t="e">
        <f t="shared" si="9"/>
        <v>#N/A</v>
      </c>
      <c r="CF39" s="24" t="e">
        <f t="shared" si="10"/>
        <v>#N/A</v>
      </c>
      <c r="CG39" s="25" t="e">
        <f t="shared" si="11"/>
        <v>#N/A</v>
      </c>
    </row>
    <row r="40" spans="64:85" x14ac:dyDescent="0.25">
      <c r="BN40" s="15" t="str">
        <f t="shared" si="3"/>
        <v/>
      </c>
      <c r="BO40" s="16" t="str">
        <f t="shared" si="4"/>
        <v/>
      </c>
      <c r="BP40" s="17" t="str">
        <f t="shared" si="0"/>
        <v/>
      </c>
      <c r="BQ40" s="17" t="e">
        <f t="shared" si="1"/>
        <v>#N/A</v>
      </c>
      <c r="BR40" s="18" t="e">
        <f t="shared" si="5"/>
        <v>#N/A</v>
      </c>
      <c r="BS40" s="18" t="e">
        <f t="shared" si="5"/>
        <v>#N/A</v>
      </c>
      <c r="BT40" s="19" t="e">
        <f t="shared" si="2"/>
        <v>#N/A</v>
      </c>
      <c r="BU40" s="20" t="str">
        <f>IFERROR(IF(BQ40="","",IF(BT39="SKIP",BU39,IF(BT39="LOST",BP39+BU39,BW39*BS21))),"")</f>
        <v/>
      </c>
      <c r="BV40" s="21" t="str">
        <f>IFERROR(IF(BQ40="","",IF(BT40="SKIP",BV39,BW40-BV21)),"")</f>
        <v/>
      </c>
      <c r="BW40" s="21" t="str">
        <f t="shared" si="6"/>
        <v/>
      </c>
      <c r="BX40" s="22" t="str">
        <f>IFERROR(IF(BQ40="","",IF(BT40="SKIP",BX39,(BW40-BV21)/BV21)),"")</f>
        <v/>
      </c>
      <c r="BY40" s="23" t="e">
        <f t="shared" si="7"/>
        <v>#N/A</v>
      </c>
      <c r="BZ40" s="23" t="e">
        <f t="shared" si="8"/>
        <v>#N/A</v>
      </c>
      <c r="CA40" s="26" t="e">
        <f>MAX(INDEX($D:$F, VLOOKUP($BM$22,$A$1:$CE$17,83,), ))</f>
        <v>#N/A</v>
      </c>
      <c r="CB40" s="26" t="e">
        <f>LARGE(INDEX($D:$F, VLOOKUP($BM$22,$A$1:$CE$17,83,), ),2)</f>
        <v>#N/A</v>
      </c>
      <c r="CC40" s="26" t="e">
        <f>MIN(INDEX($D:$F, VLOOKUP($BM$22,$A$1:$CE$17,83,), ))</f>
        <v>#N/A</v>
      </c>
      <c r="CD40" s="19" t="e">
        <f>IF(VLOOKUP($BM$22,$A$1:$CE$17,21,FALSE)="yes","WON","LOST")</f>
        <v>#N/A</v>
      </c>
      <c r="CE40" s="24" t="e">
        <f t="shared" si="9"/>
        <v>#N/A</v>
      </c>
      <c r="CF40" s="24" t="e">
        <f t="shared" si="10"/>
        <v>#N/A</v>
      </c>
      <c r="CG40" s="25" t="e">
        <f t="shared" si="11"/>
        <v>#N/A</v>
      </c>
    </row>
    <row r="41" spans="64:85" x14ac:dyDescent="0.25">
      <c r="BN41" s="15" t="str">
        <f t="shared" si="3"/>
        <v/>
      </c>
      <c r="BO41" s="16" t="str">
        <f t="shared" si="4"/>
        <v/>
      </c>
      <c r="BP41" s="17" t="str">
        <f t="shared" si="0"/>
        <v/>
      </c>
      <c r="BQ41" s="17" t="e">
        <f t="shared" si="1"/>
        <v>#N/A</v>
      </c>
      <c r="BR41" s="18" t="e">
        <f t="shared" si="5"/>
        <v>#N/A</v>
      </c>
      <c r="BS41" s="18" t="e">
        <f t="shared" si="5"/>
        <v>#N/A</v>
      </c>
      <c r="BT41" s="19" t="e">
        <f t="shared" si="2"/>
        <v>#N/A</v>
      </c>
      <c r="BU41" s="20" t="str">
        <f>IFERROR(IF(BQ41="","",IF(BT40="SKIP",BU40,IF(BT40="LOST",BP40+BU40,BW40*BS21))),"")</f>
        <v/>
      </c>
      <c r="BV41" s="21" t="str">
        <f>IFERROR(IF(BQ41="","",IF(BT41="SKIP",BV40,BW41-BV21)),"")</f>
        <v/>
      </c>
      <c r="BW41" s="21" t="str">
        <f t="shared" si="6"/>
        <v/>
      </c>
      <c r="BX41" s="22" t="str">
        <f>IFERROR(IF(BQ41="","",IF(BT41="SKIP",BX40,(BW41-BV21)/BV21)),"")</f>
        <v/>
      </c>
      <c r="BY41" s="23" t="e">
        <f t="shared" si="7"/>
        <v>#N/A</v>
      </c>
      <c r="BZ41" s="23" t="e">
        <f t="shared" si="8"/>
        <v>#N/A</v>
      </c>
      <c r="CA41" s="26" t="e">
        <f>MAX(INDEX($D:$F, VLOOKUP($BM$22,$A$1:$CF$17,84,), ))</f>
        <v>#N/A</v>
      </c>
      <c r="CB41" s="26" t="e">
        <f>LARGE(INDEX($D:$F, VLOOKUP($BM$22,$A$1:$CF$17,84,), ),2)</f>
        <v>#N/A</v>
      </c>
      <c r="CC41" s="26" t="e">
        <f>MIN(INDEX($D:$F, VLOOKUP($BM$22,$A$1:$CF$17,84,), ))</f>
        <v>#N/A</v>
      </c>
      <c r="CD41" s="19" t="e">
        <f>IF(VLOOKUP($BM$22,$A$1:$CF$17,22,FALSE)="yes","WON","LOST")</f>
        <v>#N/A</v>
      </c>
      <c r="CE41" s="24" t="e">
        <f t="shared" si="9"/>
        <v>#N/A</v>
      </c>
      <c r="CF41" s="24" t="e">
        <f t="shared" si="10"/>
        <v>#N/A</v>
      </c>
      <c r="CG41" s="25" t="e">
        <f t="shared" si="11"/>
        <v>#N/A</v>
      </c>
    </row>
    <row r="42" spans="64:85" x14ac:dyDescent="0.25">
      <c r="BN42" s="15" t="str">
        <f t="shared" si="3"/>
        <v/>
      </c>
      <c r="BO42" s="16" t="str">
        <f t="shared" si="4"/>
        <v/>
      </c>
      <c r="BP42" s="17" t="str">
        <f t="shared" si="0"/>
        <v/>
      </c>
      <c r="BQ42" s="17" t="e">
        <f t="shared" si="1"/>
        <v>#N/A</v>
      </c>
      <c r="BR42" s="18" t="e">
        <f t="shared" si="5"/>
        <v>#N/A</v>
      </c>
      <c r="BS42" s="18" t="e">
        <f t="shared" si="5"/>
        <v>#N/A</v>
      </c>
      <c r="BT42" s="19" t="e">
        <f t="shared" si="2"/>
        <v>#N/A</v>
      </c>
      <c r="BU42" s="20" t="str">
        <f>IFERROR(IF(BQ42="","",IF(BT41="SKIP",BU41,IF(BT41="LOST",BP41+BU41,BW41*BS21))),"")</f>
        <v/>
      </c>
      <c r="BV42" s="21" t="str">
        <f>IFERROR(IF(BQ42="","",IF(BT42="SKIP",BV41,BW42-BV21)),"")</f>
        <v/>
      </c>
      <c r="BW42" s="21" t="str">
        <f t="shared" si="6"/>
        <v/>
      </c>
      <c r="BX42" s="22" t="str">
        <f>IFERROR(IF(BQ42="","",IF(BT42="SKIP",BX41,(BW42-BV21)/BV21)),"")</f>
        <v/>
      </c>
      <c r="BY42" s="23" t="e">
        <f t="shared" si="7"/>
        <v>#N/A</v>
      </c>
      <c r="BZ42" s="23" t="e">
        <f t="shared" si="8"/>
        <v>#N/A</v>
      </c>
      <c r="CA42" s="26" t="e">
        <f>MAX(INDEX($D:$F, VLOOKUP($BM$22,$A$1:$CG$17,85,), ))</f>
        <v>#N/A</v>
      </c>
      <c r="CB42" s="26" t="e">
        <f>LARGE(INDEX($D:$F, VLOOKUP($BM$22,$A$1:$CG$17,85,), ),2)</f>
        <v>#N/A</v>
      </c>
      <c r="CC42" s="26" t="e">
        <f>MIN(INDEX($D:$F, VLOOKUP($BM$22,$A$1:$CG$17,85,), ))</f>
        <v>#N/A</v>
      </c>
      <c r="CD42" s="19" t="e">
        <f>IF(VLOOKUP($BM$22,$A$1:$CG$17,23,FALSE)="yes","WON","LOST")</f>
        <v>#N/A</v>
      </c>
      <c r="CE42" s="24" t="e">
        <f t="shared" si="9"/>
        <v>#N/A</v>
      </c>
      <c r="CF42" s="24" t="e">
        <f t="shared" si="10"/>
        <v>#N/A</v>
      </c>
      <c r="CG42" s="25" t="e">
        <f t="shared" si="11"/>
        <v>#N/A</v>
      </c>
    </row>
    <row r="43" spans="64:85" x14ac:dyDescent="0.25">
      <c r="BN43" s="15" t="str">
        <f t="shared" si="3"/>
        <v/>
      </c>
      <c r="BO43" s="16" t="str">
        <f t="shared" si="4"/>
        <v/>
      </c>
      <c r="BP43" s="17" t="str">
        <f t="shared" si="0"/>
        <v/>
      </c>
      <c r="BQ43" s="17" t="e">
        <f t="shared" si="1"/>
        <v>#N/A</v>
      </c>
      <c r="BR43" s="18" t="e">
        <f t="shared" si="5"/>
        <v>#N/A</v>
      </c>
      <c r="BS43" s="18" t="e">
        <f t="shared" si="5"/>
        <v>#N/A</v>
      </c>
      <c r="BT43" s="19" t="e">
        <f t="shared" si="2"/>
        <v>#N/A</v>
      </c>
      <c r="BU43" s="20" t="str">
        <f>IFERROR(IF(BQ43="","",IF(BT42="SKIP",BU42,IF(BT42="LOST",BP42+BU42,BW42*BS21))),"")</f>
        <v/>
      </c>
      <c r="BV43" s="21" t="str">
        <f>IFERROR(IF(BQ43="","",IF(BT43="SKIP",BV42,BW43-BV21)),"")</f>
        <v/>
      </c>
      <c r="BW43" s="21" t="str">
        <f t="shared" si="6"/>
        <v/>
      </c>
      <c r="BX43" s="22" t="str">
        <f>IFERROR(IF(BQ43="","",IF(BT43="SKIP",BX42,(BW43-BV21)/BV21)),"")</f>
        <v/>
      </c>
      <c r="BY43" s="23" t="e">
        <f t="shared" si="7"/>
        <v>#N/A</v>
      </c>
      <c r="BZ43" s="23" t="e">
        <f t="shared" si="8"/>
        <v>#N/A</v>
      </c>
      <c r="CA43" s="26" t="e">
        <f>MAX(INDEX($D:$F, VLOOKUP($BM$22,$A$1:$CH$17,86,), ))</f>
        <v>#N/A</v>
      </c>
      <c r="CB43" s="26" t="e">
        <f>LARGE(INDEX($D:$F, VLOOKUP($BM$22,$A$1:$CH$17,86,), ),2)</f>
        <v>#N/A</v>
      </c>
      <c r="CC43" s="26" t="e">
        <f>MIN(INDEX($D:$F, VLOOKUP($BM$22,$A$1:$CH$17,86,), ))</f>
        <v>#N/A</v>
      </c>
      <c r="CD43" s="19" t="e">
        <f>IF(VLOOKUP($BM$22,$A$1:$CH$17,24,FALSE)="yes","WON","LOST")</f>
        <v>#N/A</v>
      </c>
      <c r="CE43" s="24" t="e">
        <f t="shared" si="9"/>
        <v>#N/A</v>
      </c>
      <c r="CF43" s="24" t="e">
        <f t="shared" si="10"/>
        <v>#N/A</v>
      </c>
      <c r="CG43" s="25" t="e">
        <f t="shared" si="11"/>
        <v>#N/A</v>
      </c>
    </row>
    <row r="44" spans="64:85" x14ac:dyDescent="0.25">
      <c r="BN44" s="15" t="str">
        <f t="shared" si="3"/>
        <v/>
      </c>
      <c r="BO44" s="16" t="str">
        <f t="shared" si="4"/>
        <v/>
      </c>
      <c r="BP44" s="17" t="str">
        <f t="shared" si="0"/>
        <v/>
      </c>
      <c r="BQ44" s="17" t="e">
        <f t="shared" si="1"/>
        <v>#N/A</v>
      </c>
      <c r="BR44" s="18" t="e">
        <f t="shared" si="5"/>
        <v>#N/A</v>
      </c>
      <c r="BS44" s="18" t="e">
        <f t="shared" si="5"/>
        <v>#N/A</v>
      </c>
      <c r="BT44" s="19" t="e">
        <f t="shared" si="2"/>
        <v>#N/A</v>
      </c>
      <c r="BU44" s="20" t="str">
        <f>IFERROR(IF(BQ44="","",IF(BT43="SKIP",BU43,IF(BT43="LOST",BP43+BU43,BW43*BS21))),"")</f>
        <v/>
      </c>
      <c r="BV44" s="21" t="str">
        <f>IFERROR(IF(BQ44="","",IF(BT44="SKIP",BV43,BW44-BV21)),"")</f>
        <v/>
      </c>
      <c r="BW44" s="21" t="str">
        <f t="shared" si="6"/>
        <v/>
      </c>
      <c r="BX44" s="22" t="str">
        <f>IFERROR(IF(BQ44="","",IF(BT44="SKIP",BX43,(BW44-BV21)/BV21)),"")</f>
        <v/>
      </c>
      <c r="BY44" s="23" t="e">
        <f t="shared" si="7"/>
        <v>#N/A</v>
      </c>
      <c r="BZ44" s="23" t="e">
        <f t="shared" si="8"/>
        <v>#N/A</v>
      </c>
      <c r="CA44" s="26" t="e">
        <f>MAX(INDEX($D:$F, VLOOKUP($BM$22,$A$1:$CI$17,87,), ))</f>
        <v>#N/A</v>
      </c>
      <c r="CB44" s="26" t="e">
        <f>LARGE(INDEX($D:$F, VLOOKUP($BM$22,$A$1:$CI$17,87,), ),2)</f>
        <v>#N/A</v>
      </c>
      <c r="CC44" s="26" t="e">
        <f>MIN(INDEX($D:$F, VLOOKUP($BM$22,$A$1:$CI$17,87,), ))</f>
        <v>#N/A</v>
      </c>
      <c r="CD44" s="19" t="e">
        <f>IF(VLOOKUP($BM$22,$A$1:$CI$17,25,FALSE)="yes","WON","LOST")</f>
        <v>#N/A</v>
      </c>
      <c r="CE44" s="24" t="e">
        <f t="shared" si="9"/>
        <v>#N/A</v>
      </c>
      <c r="CF44" s="24" t="e">
        <f t="shared" si="10"/>
        <v>#N/A</v>
      </c>
      <c r="CG44" s="25" t="e">
        <f t="shared" si="11"/>
        <v>#N/A</v>
      </c>
    </row>
    <row r="45" spans="64:85" x14ac:dyDescent="0.25">
      <c r="BN45" s="15" t="str">
        <f t="shared" si="3"/>
        <v/>
      </c>
      <c r="BO45" s="16" t="str">
        <f t="shared" si="4"/>
        <v/>
      </c>
      <c r="BP45" s="17" t="str">
        <f t="shared" si="0"/>
        <v/>
      </c>
      <c r="BQ45" s="17" t="e">
        <f t="shared" si="1"/>
        <v>#N/A</v>
      </c>
      <c r="BR45" s="18" t="e">
        <f t="shared" si="5"/>
        <v>#N/A</v>
      </c>
      <c r="BS45" s="18" t="e">
        <f t="shared" si="5"/>
        <v>#N/A</v>
      </c>
      <c r="BT45" s="19" t="e">
        <f t="shared" si="2"/>
        <v>#N/A</v>
      </c>
      <c r="BU45" s="20" t="str">
        <f>IFERROR(IF(BQ45="","",IF(BT44="SKIP",BU44,IF(BT44="LOST",BP44+BU44,BW44*BS21))),"")</f>
        <v/>
      </c>
      <c r="BV45" s="21" t="str">
        <f>IFERROR(IF(BQ45="","",IF(BT45="SKIP",BV44,BW45-BV21)),"")</f>
        <v/>
      </c>
      <c r="BW45" s="21" t="str">
        <f t="shared" si="6"/>
        <v/>
      </c>
      <c r="BX45" s="22" t="str">
        <f>IFERROR(IF(BQ45="","",IF(BT45="SKIP",BX44,(BW45-BV21)/BV21)),"")</f>
        <v/>
      </c>
      <c r="BY45" s="23" t="e">
        <f t="shared" si="7"/>
        <v>#N/A</v>
      </c>
      <c r="BZ45" s="23" t="e">
        <f t="shared" si="8"/>
        <v>#N/A</v>
      </c>
      <c r="CA45" s="26" t="e">
        <f>MAX(INDEX($D:$F, VLOOKUP($BM$22,$A$1:$CJ$17,88,), ))</f>
        <v>#N/A</v>
      </c>
      <c r="CB45" s="26" t="e">
        <f>LARGE(INDEX($D:$F, VLOOKUP($BM$22,$A$1:$CJ$17,88,), ),2)</f>
        <v>#N/A</v>
      </c>
      <c r="CC45" s="26" t="e">
        <f>MIN(INDEX($D:$F, VLOOKUP($BM$22,$A$1:$CJ$17,88,), ))</f>
        <v>#N/A</v>
      </c>
      <c r="CD45" s="19" t="e">
        <f>IF(VLOOKUP($BM$22,$A$1:$CJ$17,26,FALSE)="yes","WON","LOST")</f>
        <v>#N/A</v>
      </c>
      <c r="CE45" s="24" t="e">
        <f t="shared" si="9"/>
        <v>#N/A</v>
      </c>
      <c r="CF45" s="24" t="e">
        <f t="shared" si="10"/>
        <v>#N/A</v>
      </c>
      <c r="CG45" s="25" t="e">
        <f t="shared" si="11"/>
        <v>#N/A</v>
      </c>
    </row>
    <row r="46" spans="64:85" x14ac:dyDescent="0.25">
      <c r="BN46" s="15" t="str">
        <f t="shared" si="3"/>
        <v/>
      </c>
      <c r="BO46" s="16" t="str">
        <f t="shared" si="4"/>
        <v/>
      </c>
      <c r="BP46" s="17" t="str">
        <f t="shared" si="0"/>
        <v/>
      </c>
      <c r="BQ46" s="17" t="e">
        <f t="shared" si="1"/>
        <v>#N/A</v>
      </c>
      <c r="BR46" s="18" t="e">
        <f t="shared" si="5"/>
        <v>#N/A</v>
      </c>
      <c r="BS46" s="18" t="e">
        <f t="shared" si="5"/>
        <v>#N/A</v>
      </c>
      <c r="BT46" s="19" t="e">
        <f t="shared" si="2"/>
        <v>#N/A</v>
      </c>
      <c r="BU46" s="20" t="str">
        <f>IFERROR(IF(BQ46="","",IF(BT45="SKIP",BU45,IF(BT45="LOST",BP45+BU45,BW45*BS21))),"")</f>
        <v/>
      </c>
      <c r="BV46" s="21" t="str">
        <f>IFERROR(IF(BQ46="","",IF(BT46="SKIP",BV45,BW46-BV21)),"")</f>
        <v/>
      </c>
      <c r="BW46" s="21" t="str">
        <f t="shared" si="6"/>
        <v/>
      </c>
      <c r="BX46" s="22" t="str">
        <f>IFERROR(IF(BQ46="","",IF(BT46="SKIP",BX45,(BW46-BV21)/BV21)),"")</f>
        <v/>
      </c>
      <c r="BY46" s="23" t="e">
        <f t="shared" si="7"/>
        <v>#N/A</v>
      </c>
      <c r="BZ46" s="23" t="e">
        <f t="shared" si="8"/>
        <v>#N/A</v>
      </c>
      <c r="CA46" s="26" t="e">
        <f>MAX(INDEX($D:$F, VLOOKUP($BM$22,$A$1:$CK$17,89,), ))</f>
        <v>#N/A</v>
      </c>
      <c r="CB46" s="26" t="e">
        <f>LARGE(INDEX($D:$F, VLOOKUP($BM$22,$A$1:$CK$17,89,), ),2)</f>
        <v>#N/A</v>
      </c>
      <c r="CC46" s="26" t="e">
        <f>MIN(INDEX($D:$F, VLOOKUP($BM$22,$A$1:$CK$17,89,), ))</f>
        <v>#N/A</v>
      </c>
      <c r="CD46" s="19" t="e">
        <f>IF(VLOOKUP($BM$22,$A$1:$CK$17,27,FALSE)="yes","WON","LOST")</f>
        <v>#N/A</v>
      </c>
      <c r="CE46" s="24" t="e">
        <f t="shared" si="9"/>
        <v>#N/A</v>
      </c>
      <c r="CF46" s="24" t="e">
        <f t="shared" si="10"/>
        <v>#N/A</v>
      </c>
      <c r="CG46" s="25" t="e">
        <f t="shared" si="11"/>
        <v>#N/A</v>
      </c>
    </row>
    <row r="47" spans="64:85" x14ac:dyDescent="0.25">
      <c r="BN47" s="15" t="str">
        <f t="shared" si="3"/>
        <v/>
      </c>
      <c r="BO47" s="16" t="str">
        <f t="shared" si="4"/>
        <v/>
      </c>
      <c r="BP47" s="17" t="str">
        <f t="shared" si="0"/>
        <v/>
      </c>
      <c r="BQ47" s="17" t="e">
        <f t="shared" si="1"/>
        <v>#N/A</v>
      </c>
      <c r="BR47" s="18" t="e">
        <f t="shared" si="5"/>
        <v>#N/A</v>
      </c>
      <c r="BS47" s="18" t="e">
        <f t="shared" si="5"/>
        <v>#N/A</v>
      </c>
      <c r="BT47" s="19" t="e">
        <f t="shared" si="2"/>
        <v>#N/A</v>
      </c>
      <c r="BU47" s="20" t="str">
        <f>IFERROR(IF(BQ47="","",IF(BT46="SKIP",BU46,IF(BT46="LOST",BP46+BU46,BW46*BS21))),"")</f>
        <v/>
      </c>
      <c r="BV47" s="21" t="str">
        <f>IFERROR(IF(BQ47="","",IF(BT47="SKIP",BV46,BW47-BV21)),"")</f>
        <v/>
      </c>
      <c r="BW47" s="21" t="str">
        <f t="shared" si="6"/>
        <v/>
      </c>
      <c r="BX47" s="22" t="str">
        <f>IFERROR(IF(BQ47="","",IF(BT47="SKIP",BX46,(BW47-BV21)/BV21)),"")</f>
        <v/>
      </c>
      <c r="BY47" s="23" t="e">
        <f t="shared" si="7"/>
        <v>#N/A</v>
      </c>
      <c r="BZ47" s="23" t="e">
        <f t="shared" si="8"/>
        <v>#N/A</v>
      </c>
      <c r="CA47" s="26" t="e">
        <f>MAX(INDEX($D:$F, VLOOKUP($BM$22,$A$1:$CL$17,90,), ))</f>
        <v>#N/A</v>
      </c>
      <c r="CB47" s="26" t="e">
        <f>LARGE(INDEX($D:$F, VLOOKUP($BM$22,$A$1:$CL$17,90,), ),2)</f>
        <v>#N/A</v>
      </c>
      <c r="CC47" s="26" t="e">
        <f>MIN(INDEX($D:$F, VLOOKUP($BM$22,$A$1:$CL$17,90,), ))</f>
        <v>#N/A</v>
      </c>
      <c r="CD47" s="19" t="e">
        <f>IF(VLOOKUP($BM$22,$A$1:$CL$17,28,FALSE)="yes","WON","LOST")</f>
        <v>#N/A</v>
      </c>
      <c r="CE47" s="24" t="e">
        <f t="shared" si="9"/>
        <v>#N/A</v>
      </c>
      <c r="CF47" s="24" t="e">
        <f t="shared" si="10"/>
        <v>#N/A</v>
      </c>
      <c r="CG47" s="25" t="e">
        <f t="shared" si="11"/>
        <v>#N/A</v>
      </c>
    </row>
    <row r="48" spans="64:85" x14ac:dyDescent="0.25">
      <c r="BN48" s="15" t="str">
        <f t="shared" si="3"/>
        <v/>
      </c>
      <c r="BO48" s="16" t="str">
        <f t="shared" si="4"/>
        <v/>
      </c>
      <c r="BP48" s="17" t="str">
        <f t="shared" si="0"/>
        <v/>
      </c>
      <c r="BQ48" s="17" t="e">
        <f t="shared" si="1"/>
        <v>#N/A</v>
      </c>
      <c r="BR48" s="18" t="e">
        <f t="shared" si="5"/>
        <v>#N/A</v>
      </c>
      <c r="BS48" s="18" t="e">
        <f t="shared" si="5"/>
        <v>#N/A</v>
      </c>
      <c r="BT48" s="19" t="e">
        <f t="shared" si="2"/>
        <v>#N/A</v>
      </c>
      <c r="BU48" s="20" t="str">
        <f>IFERROR(IF(BQ48="","",IF(BT47="SKIP",BU47,IF(BT47="LOST",BP47+BU47,BW47*BS21))),"")</f>
        <v/>
      </c>
      <c r="BV48" s="21" t="str">
        <f>IFERROR(IF(BQ48="","",IF(BT48="SKIP",BV47,BW48-BV21)),"")</f>
        <v/>
      </c>
      <c r="BW48" s="21" t="str">
        <f t="shared" si="6"/>
        <v/>
      </c>
      <c r="BX48" s="22" t="str">
        <f>IFERROR(IF(BQ48="","",IF(BT48="SKIP",BX47,(BW48-BV21)/BV21)),"")</f>
        <v/>
      </c>
      <c r="BY48" s="23" t="e">
        <f t="shared" si="7"/>
        <v>#N/A</v>
      </c>
      <c r="BZ48" s="23" t="e">
        <f t="shared" si="8"/>
        <v>#N/A</v>
      </c>
      <c r="CA48" s="26" t="e">
        <f>MAX(INDEX($D:$F, VLOOKUP($BM$22,$A$1:$CM$17,91,), ))</f>
        <v>#N/A</v>
      </c>
      <c r="CB48" s="26" t="e">
        <f>LARGE(INDEX($D:$F, VLOOKUP($BM$22,$A$1:$CM$17,91,), ),2)</f>
        <v>#N/A</v>
      </c>
      <c r="CC48" s="26" t="e">
        <f>MIN(INDEX($D:$F, VLOOKUP($BM$22,$A$1:$CM$17,91,), ))</f>
        <v>#N/A</v>
      </c>
      <c r="CD48" s="19" t="e">
        <f>IF(VLOOKUP($BM$22,$A$1:$CM$17,29,FALSE)="yes","WON","LOST")</f>
        <v>#N/A</v>
      </c>
      <c r="CE48" s="24" t="e">
        <f t="shared" si="9"/>
        <v>#N/A</v>
      </c>
      <c r="CF48" s="24" t="e">
        <f t="shared" si="10"/>
        <v>#N/A</v>
      </c>
      <c r="CG48" s="25" t="e">
        <f t="shared" si="11"/>
        <v>#N/A</v>
      </c>
    </row>
    <row r="49" spans="66:85" x14ac:dyDescent="0.25">
      <c r="BN49" s="15" t="str">
        <f t="shared" si="3"/>
        <v/>
      </c>
      <c r="BO49" s="16" t="str">
        <f t="shared" si="4"/>
        <v/>
      </c>
      <c r="BP49" s="17" t="str">
        <f t="shared" si="0"/>
        <v/>
      </c>
      <c r="BQ49" s="17" t="e">
        <f t="shared" si="1"/>
        <v>#N/A</v>
      </c>
      <c r="BR49" s="18" t="e">
        <f t="shared" si="5"/>
        <v>#N/A</v>
      </c>
      <c r="BS49" s="18" t="e">
        <f t="shared" si="5"/>
        <v>#N/A</v>
      </c>
      <c r="BT49" s="19" t="e">
        <f t="shared" si="2"/>
        <v>#N/A</v>
      </c>
      <c r="BU49" s="20" t="str">
        <f>IFERROR(IF(BQ49="","",IF(BT48="SKIP",BU48,IF(BT48="LOST",BP48+BU48,BW48*BS21))),"")</f>
        <v/>
      </c>
      <c r="BV49" s="21" t="str">
        <f>IFERROR(IF(BQ49="","",IF(BT49="SKIP",BV48,BW49-BV21)),"")</f>
        <v/>
      </c>
      <c r="BW49" s="21" t="str">
        <f t="shared" si="6"/>
        <v/>
      </c>
      <c r="BX49" s="22" t="str">
        <f>IFERROR(IF(BQ49="","",IF(BT49="SKIP",BX48,(BW49-BV21)/BV21)),"")</f>
        <v/>
      </c>
      <c r="BY49" s="23" t="e">
        <f t="shared" si="7"/>
        <v>#N/A</v>
      </c>
      <c r="BZ49" s="23" t="e">
        <f t="shared" si="8"/>
        <v>#N/A</v>
      </c>
      <c r="CA49" s="26" t="e">
        <f>MAX(INDEX($D:$F, VLOOKUP($BM$22,$A$1:$CN$17,92,), ))</f>
        <v>#N/A</v>
      </c>
      <c r="CB49" s="26" t="e">
        <f>LARGE(INDEX($D:$F, VLOOKUP($BM$22,$A$1:$CN$17,92,), ),2)</f>
        <v>#N/A</v>
      </c>
      <c r="CC49" s="26" t="e">
        <f>MIN(INDEX($D:$F, VLOOKUP($BM$22,$A$1:$CN$17,92,), ))</f>
        <v>#N/A</v>
      </c>
      <c r="CD49" s="19" t="e">
        <f>IF(VLOOKUP($BM$22,$A$1:$CN$17,30,FALSE)="yes","WON","LOST")</f>
        <v>#N/A</v>
      </c>
      <c r="CE49" s="24" t="e">
        <f t="shared" si="9"/>
        <v>#N/A</v>
      </c>
      <c r="CF49" s="24" t="e">
        <f t="shared" si="10"/>
        <v>#N/A</v>
      </c>
      <c r="CG49" s="25" t="e">
        <f t="shared" si="11"/>
        <v>#N/A</v>
      </c>
    </row>
    <row r="50" spans="66:85" x14ac:dyDescent="0.25">
      <c r="BN50" s="15" t="str">
        <f t="shared" si="3"/>
        <v/>
      </c>
      <c r="BO50" s="16" t="str">
        <f t="shared" si="4"/>
        <v/>
      </c>
      <c r="BP50" s="17" t="str">
        <f t="shared" si="0"/>
        <v/>
      </c>
      <c r="BQ50" s="17" t="e">
        <f t="shared" si="1"/>
        <v>#N/A</v>
      </c>
      <c r="BR50" s="18" t="e">
        <f t="shared" si="5"/>
        <v>#N/A</v>
      </c>
      <c r="BS50" s="18" t="e">
        <f t="shared" si="5"/>
        <v>#N/A</v>
      </c>
      <c r="BT50" s="19" t="e">
        <f t="shared" si="2"/>
        <v>#N/A</v>
      </c>
      <c r="BU50" s="20" t="str">
        <f>IFERROR(IF(BQ50="","",IF(BT49="SKIP",BU49,IF(BT49="LOST",BP49+BU49,BW49*BS21))),"")</f>
        <v/>
      </c>
      <c r="BV50" s="21" t="str">
        <f>IFERROR(IF(BQ50="","",IF(BT50="SKIP",BV49,BW50-BV21)),"")</f>
        <v/>
      </c>
      <c r="BW50" s="21" t="str">
        <f t="shared" si="6"/>
        <v/>
      </c>
      <c r="BX50" s="22" t="str">
        <f>IFERROR(IF(BQ50="","",IF(BT50="SKIP",BX49,(BW50-BV21)/BV21)),"")</f>
        <v/>
      </c>
      <c r="BY50" s="23" t="e">
        <f t="shared" si="7"/>
        <v>#N/A</v>
      </c>
      <c r="BZ50" s="23" t="e">
        <f t="shared" si="8"/>
        <v>#N/A</v>
      </c>
      <c r="CA50" s="26" t="e">
        <f>MAX(INDEX($D:$F, VLOOKUP($BM$22,$A$1:$CO$17,93,), ))</f>
        <v>#N/A</v>
      </c>
      <c r="CB50" s="26" t="e">
        <f>LARGE(INDEX($D:$F, VLOOKUP($BM$22,$A$1:$CO$17,93,), ),2)</f>
        <v>#N/A</v>
      </c>
      <c r="CC50" s="26" t="e">
        <f>MIN(INDEX($D:$F, VLOOKUP($BM$22,$A$1:$CO$17,93,), ))</f>
        <v>#N/A</v>
      </c>
      <c r="CD50" s="19" t="e">
        <f>IF(VLOOKUP($BM$22,$A$1:$CO$17,31,FALSE)="yes","WON","LOST")</f>
        <v>#N/A</v>
      </c>
      <c r="CE50" s="24" t="e">
        <f t="shared" si="9"/>
        <v>#N/A</v>
      </c>
      <c r="CF50" s="24" t="e">
        <f t="shared" si="10"/>
        <v>#N/A</v>
      </c>
      <c r="CG50" s="25" t="e">
        <f t="shared" si="11"/>
        <v>#N/A</v>
      </c>
    </row>
    <row r="51" spans="66:85" x14ac:dyDescent="0.25">
      <c r="BN51" s="15" t="str">
        <f t="shared" si="3"/>
        <v/>
      </c>
      <c r="BO51" s="16" t="str">
        <f t="shared" si="4"/>
        <v/>
      </c>
      <c r="BP51" s="17" t="str">
        <f t="shared" si="0"/>
        <v/>
      </c>
      <c r="BQ51" s="17" t="e">
        <f t="shared" si="1"/>
        <v>#N/A</v>
      </c>
      <c r="BR51" s="18" t="e">
        <f t="shared" si="5"/>
        <v>#N/A</v>
      </c>
      <c r="BS51" s="18" t="e">
        <f t="shared" si="5"/>
        <v>#N/A</v>
      </c>
      <c r="BT51" s="19" t="e">
        <f t="shared" si="2"/>
        <v>#N/A</v>
      </c>
      <c r="BU51" s="20" t="str">
        <f>IFERROR(IF(BQ51="","",IF(BT50="SKIP",BU50,IF(BT50="LOST",BP50+BU50,BW50*BS21))),"")</f>
        <v/>
      </c>
      <c r="BV51" s="21" t="str">
        <f>IFERROR(IF(BQ51="","",IF(BT51="SKIP",BV50,BW51-BV21)),"")</f>
        <v/>
      </c>
      <c r="BW51" s="21" t="str">
        <f t="shared" si="6"/>
        <v/>
      </c>
      <c r="BX51" s="22" t="str">
        <f>IFERROR(IF(BQ51="","",IF(BT51="SKIP",BX50,(BW51-BV21)/BV21)),"")</f>
        <v/>
      </c>
      <c r="BY51" s="23" t="e">
        <f t="shared" si="7"/>
        <v>#N/A</v>
      </c>
      <c r="BZ51" s="23" t="e">
        <f t="shared" si="8"/>
        <v>#N/A</v>
      </c>
      <c r="CA51" s="26" t="e">
        <f>MAX(INDEX($D:$F, VLOOKUP($BM$22,$A$1:$CP$17,94,), ))</f>
        <v>#N/A</v>
      </c>
      <c r="CB51" s="26" t="e">
        <f>LARGE(INDEX($D:$F, VLOOKUP($BM$22,$A$1:$CP$17,94,), ),2)</f>
        <v>#N/A</v>
      </c>
      <c r="CC51" s="26" t="e">
        <f>MIN(INDEX($D:$F, VLOOKUP($BM$22,$A$1:$CP$17,94,), ))</f>
        <v>#N/A</v>
      </c>
      <c r="CD51" s="19" t="e">
        <f>IF(VLOOKUP($BM$22,$A$1:$CP$17,32,FALSE)="yes","WON","LOST")</f>
        <v>#N/A</v>
      </c>
      <c r="CE51" s="24" t="e">
        <f t="shared" si="9"/>
        <v>#N/A</v>
      </c>
      <c r="CF51" s="24" t="e">
        <f t="shared" si="10"/>
        <v>#N/A</v>
      </c>
      <c r="CG51" s="25" t="e">
        <f t="shared" si="11"/>
        <v>#N/A</v>
      </c>
    </row>
    <row r="52" spans="66:85" x14ac:dyDescent="0.25">
      <c r="BN52" s="15" t="str">
        <f t="shared" si="3"/>
        <v/>
      </c>
      <c r="BO52" s="16" t="str">
        <f t="shared" si="4"/>
        <v/>
      </c>
      <c r="BP52" s="17" t="str">
        <f t="shared" si="0"/>
        <v/>
      </c>
      <c r="BQ52" s="17" t="e">
        <f t="shared" si="1"/>
        <v>#N/A</v>
      </c>
      <c r="BR52" s="18" t="e">
        <f t="shared" si="5"/>
        <v>#N/A</v>
      </c>
      <c r="BS52" s="18" t="e">
        <f t="shared" si="5"/>
        <v>#N/A</v>
      </c>
      <c r="BT52" s="19" t="e">
        <f t="shared" si="2"/>
        <v>#N/A</v>
      </c>
      <c r="BU52" s="20" t="str">
        <f>IFERROR(IF(BQ52="","",IF(BT51="SKIP",BU51,IF(BT51="LOST",BP51+BU51,BW51*BS21))),"")</f>
        <v/>
      </c>
      <c r="BV52" s="21" t="str">
        <f>IFERROR(IF(BQ52="","",IF(BT52="SKIP",BV51,BW52-BV21)),"")</f>
        <v/>
      </c>
      <c r="BW52" s="21" t="str">
        <f t="shared" si="6"/>
        <v/>
      </c>
      <c r="BX52" s="22" t="str">
        <f>IFERROR(IF(BQ52="","",IF(BT52="SKIP",BX51,(BW52-BV21)/BV21)),"")</f>
        <v/>
      </c>
      <c r="BY52" s="23" t="e">
        <f t="shared" si="7"/>
        <v>#N/A</v>
      </c>
      <c r="BZ52" s="23" t="e">
        <f t="shared" si="8"/>
        <v>#N/A</v>
      </c>
      <c r="CA52" s="26" t="e">
        <f>MAX(INDEX($D:$F, VLOOKUP($BM$22,$A$1:$CQ$17,95,), ))</f>
        <v>#N/A</v>
      </c>
      <c r="CB52" s="26" t="e">
        <f>LARGE(INDEX($D:$F, VLOOKUP($BM$22,$A$1:$CQ$17,95,), ),2)</f>
        <v>#N/A</v>
      </c>
      <c r="CC52" s="26" t="e">
        <f>MIN(INDEX($D:$F, VLOOKUP($BM$22,$A$1:$CQ$17,95,), ))</f>
        <v>#N/A</v>
      </c>
      <c r="CD52" s="19" t="e">
        <f>IF(VLOOKUP($BM$22,$A$1:$CQ$17,33,FALSE)="yes","WON","LOST")</f>
        <v>#N/A</v>
      </c>
      <c r="CE52" s="24" t="e">
        <f t="shared" si="9"/>
        <v>#N/A</v>
      </c>
      <c r="CF52" s="24" t="e">
        <f t="shared" si="10"/>
        <v>#N/A</v>
      </c>
      <c r="CG52" s="25" t="e">
        <f t="shared" si="11"/>
        <v>#N/A</v>
      </c>
    </row>
  </sheetData>
  <mergeCells count="1">
    <mergeCell ref="BL30:BM30"/>
  </mergeCells>
  <conditionalFormatting sqref="BT23:BT52">
    <cfRule type="containsText" dxfId="55" priority="18" operator="containsText" text="SKIP">
      <formula>NOT(ISERROR(SEARCH("SKIP",BT23)))</formula>
    </cfRule>
    <cfRule type="containsText" dxfId="54" priority="24" operator="containsText" text="Lost">
      <formula>NOT(ISERROR(SEARCH("Lost",BT23)))</formula>
    </cfRule>
    <cfRule type="containsText" dxfId="53" priority="25" operator="containsText" text="Won">
      <formula>NOT(ISERROR(SEARCH("Won",BT23)))</formula>
    </cfRule>
  </conditionalFormatting>
  <conditionalFormatting sqref="BX23:BZ52">
    <cfRule type="cellIs" dxfId="49" priority="22" operator="greaterThan">
      <formula>0</formula>
    </cfRule>
    <cfRule type="cellIs" dxfId="48" priority="23" operator="lessThan">
      <formula>0</formula>
    </cfRule>
  </conditionalFormatting>
  <conditionalFormatting sqref="BN23:BN52">
    <cfRule type="cellIs" dxfId="45" priority="21" operator="lessThanOrEqual">
      <formula>0</formula>
    </cfRule>
  </conditionalFormatting>
  <conditionalFormatting sqref="BT23:BT52">
    <cfRule type="containsText" dxfId="43" priority="19" operator="containsText" text="Lost">
      <formula>NOT(ISERROR(SEARCH("Lost",BT23)))</formula>
    </cfRule>
    <cfRule type="containsText" dxfId="42" priority="20" operator="containsText" text="Won">
      <formula>NOT(ISERROR(SEARCH("Won",BT23)))</formula>
    </cfRule>
  </conditionalFormatting>
  <conditionalFormatting sqref="BP23:BQ52">
    <cfRule type="containsText" dxfId="39" priority="16" operator="containsText" text="NO BET">
      <formula>NOT(ISERROR(SEARCH("NO BET",BP23)))</formula>
    </cfRule>
    <cfRule type="cellIs" dxfId="38" priority="17" operator="lessThan">
      <formula>50</formula>
    </cfRule>
  </conditionalFormatting>
  <conditionalFormatting sqref="BW23:BW52">
    <cfRule type="cellIs" dxfId="35" priority="26" operator="lessThan">
      <formula>$I$1</formula>
    </cfRule>
    <cfRule type="cellIs" dxfId="34" priority="27" operator="greaterThanOrEqual">
      <formula>$N$1</formula>
    </cfRule>
  </conditionalFormatting>
  <conditionalFormatting sqref="BW23:BW52">
    <cfRule type="cellIs" dxfId="31" priority="28" operator="between">
      <formula>$I$1</formula>
      <formula>$N$1</formula>
    </cfRule>
  </conditionalFormatting>
  <conditionalFormatting sqref="CD23:CD52">
    <cfRule type="containsText" dxfId="29" priority="11" operator="containsText" text="SKIP">
      <formula>NOT(ISERROR(SEARCH("SKIP",CD23)))</formula>
    </cfRule>
    <cfRule type="containsText" dxfId="28" priority="14" operator="containsText" text="Lost">
      <formula>NOT(ISERROR(SEARCH("Lost",CD23)))</formula>
    </cfRule>
    <cfRule type="containsText" dxfId="27" priority="15" operator="containsText" text="Won">
      <formula>NOT(ISERROR(SEARCH("Won",CD23)))</formula>
    </cfRule>
  </conditionalFormatting>
  <conditionalFormatting sqref="CD23:CD52">
    <cfRule type="containsText" dxfId="23" priority="12" operator="containsText" text="Lost">
      <formula>NOT(ISERROR(SEARCH("Lost",CD23)))</formula>
    </cfRule>
    <cfRule type="containsText" dxfId="22" priority="13" operator="containsText" text="Won">
      <formula>NOT(ISERROR(SEARCH("Won",CD23)))</formula>
    </cfRule>
  </conditionalFormatting>
  <conditionalFormatting sqref="CD23:CD52">
    <cfRule type="containsText" dxfId="19" priority="9" operator="containsText" text="Lost">
      <formula>NOT(ISERROR(SEARCH("Lost",CD23)))</formula>
    </cfRule>
    <cfRule type="containsText" dxfId="18" priority="10" operator="containsText" text="Won">
      <formula>NOT(ISERROR(SEARCH("Won",CD23)))</formula>
    </cfRule>
  </conditionalFormatting>
  <conditionalFormatting sqref="CD23:CD52">
    <cfRule type="containsText" dxfId="15" priority="7" operator="containsText" text="Lost">
      <formula>NOT(ISERROR(SEARCH("Lost",CD23)))</formula>
    </cfRule>
    <cfRule type="containsText" dxfId="14" priority="8" operator="containsText" text="Won">
      <formula>NOT(ISERROR(SEARCH("Won",CD23)))</formula>
    </cfRule>
  </conditionalFormatting>
  <conditionalFormatting sqref="CD23:CD52">
    <cfRule type="containsText" dxfId="11" priority="5" operator="containsText" text="Lost">
      <formula>NOT(ISERROR(SEARCH("Lost",CD23)))</formula>
    </cfRule>
    <cfRule type="containsText" dxfId="10" priority="6" operator="containsText" text="Won">
      <formula>NOT(ISERROR(SEARCH("Won",CD23)))</formula>
    </cfRule>
  </conditionalFormatting>
  <conditionalFormatting sqref="CD23:CD52">
    <cfRule type="containsText" dxfId="7" priority="3" operator="containsText" text="Lost">
      <formula>NOT(ISERROR(SEARCH("Lost",CD23)))</formula>
    </cfRule>
    <cfRule type="containsText" dxfId="6" priority="4" operator="containsText" text="Won">
      <formula>NOT(ISERROR(SEARCH("Won",CD23)))</formula>
    </cfRule>
  </conditionalFormatting>
  <conditionalFormatting sqref="CD23:CD52">
    <cfRule type="containsText" dxfId="3" priority="1" operator="containsText" text="Lost">
      <formula>NOT(ISERROR(SEARCH("Lost",CD23)))</formula>
    </cfRule>
    <cfRule type="containsText" dxfId="2" priority="2" operator="containsText" text="Won">
      <formula>NOT(ISERROR(SEARCH("Won",CD23)))</formula>
    </cfRule>
  </conditionalFormatting>
  <dataValidations count="7">
    <dataValidation type="list" allowBlank="1" showInputMessage="1" showErrorMessage="1" sqref="BM26 BM23">
      <formula1>"FOCUS, SPLIT"</formula1>
    </dataValidation>
    <dataValidation type="list" allowBlank="1" showInputMessage="1" showErrorMessage="1" sqref="BM22">
      <formula1>$A$2:$A$17</formula1>
    </dataValidation>
    <dataValidation type="list" errorStyle="warning" allowBlank="1" showInputMessage="1" showErrorMessage="1" sqref="BS21">
      <formula1>".1%,.2%,.5%,1%,2%,3%,4%,5%,6%"</formula1>
    </dataValidation>
    <dataValidation allowBlank="1" showInputMessage="1" showErrorMessage="1" errorTitle="ENTER ONLY ODDS" error="ODDS YOU SEE FROM BET9JA LIKE 1.5, 2.00, 1.7 DAT'S ALL" sqref="CC23:CC52 CA26:CB52 BR21:BR52 BS22:BS52"/>
    <dataValidation type="list" errorStyle="information" allowBlank="1" showInputMessage="1" showErrorMessage="1" sqref="BV21">
      <formula1>"500,1000,2000,3000, 5000, 10000,12500,15000, 20000, 30000,50000, 100000, 500000, 1000000"</formula1>
    </dataValidation>
    <dataValidation type="list" allowBlank="1" showInputMessage="1" showErrorMessage="1" errorTitle="ARE YOU NUT" error="ENTER ONLY LOST OR WON IN CAPITAL LETTER" promptTitle="WON OR LOSE" sqref="BT23:BT52">
      <formula1>"WON, LOST,SKIP"</formula1>
    </dataValidation>
    <dataValidation type="list" allowBlank="1" showInputMessage="1" showErrorMessage="1" errorTitle="ARE YOU NUT" error="ENTER ONLY LOST OR WON IN CAPITAL LETTER" promptTitle="WON OR LOSE" sqref="CD23:CD52">
      <formula1>"WON, LOST,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2025-10-05T08:50:44Z</dcterms:created>
  <dcterms:modified xsi:type="dcterms:W3CDTF">2025-10-05T08:51:51Z</dcterms:modified>
</cp:coreProperties>
</file>